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73.xml" ContentType="application/vnd.ms-excel.controlproperties+xml"/>
  <Override PartName="/xl/ctrlProps/ctrlProp74.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1.xml" ContentType="application/vnd.ms-excel.controlproperties+xml"/>
  <Override PartName="/xl/drawings/drawing11.xml" ContentType="application/vnd.openxmlformats-officedocument.drawing+xml"/>
  <Override PartName="/xl/ctrlProps/ctrlProp82.xml" ContentType="application/vnd.ms-excel.controlproperties+xml"/>
  <Override PartName="/xl/drawings/drawing12.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3.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4.xml" ContentType="application/vnd.openxmlformats-officedocument.drawing+xml"/>
  <Override PartName="/xl/ctrlProps/ctrlProp90.xml" ContentType="application/vnd.ms-excel.controlproperties+xml"/>
  <Override PartName="/xl/drawings/drawing15.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16.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17.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8.xml" ContentType="application/vnd.openxmlformats-officedocument.drawing+xml"/>
  <Override PartName="/xl/ctrlProps/ctrlProp104.xml" ContentType="application/vnd.ms-excel.controlproperties+xml"/>
  <Override PartName="/xl/drawings/drawing1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20.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omments11.xml" ContentType="application/vnd.openxmlformats-officedocument.spreadsheetml.comments+xml"/>
  <Override PartName="/xl/drawings/drawing21.xml" ContentType="application/vnd.openxmlformats-officedocument.drawing+xml"/>
  <Override PartName="/xl/ctrlProps/ctrlProp129.xml" ContentType="application/vnd.ms-excel.controlproperties+xml"/>
  <Override PartName="/xl/drawings/drawing22.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6000947\Desktop\"/>
    </mc:Choice>
  </mc:AlternateContent>
  <bookViews>
    <workbookView xWindow="-15" yWindow="-15" windowWidth="10590" windowHeight="5025" tabRatio="866" firstSheet="2" activeTab="4"/>
  </bookViews>
  <sheets>
    <sheet name="Library" sheetId="471" state="hidden" r:id="rId1"/>
    <sheet name="data" sheetId="426" state="hidden" r:id="rId2"/>
    <sheet name="Changes log" sheetId="475" r:id="rId3"/>
    <sheet name="Read me" sheetId="474" r:id="rId4"/>
    <sheet name="Test Case index" sheetId="472" r:id="rId5"/>
    <sheet name="Selector" sheetId="460" r:id="rId6"/>
    <sheet name="More Select" sheetId="470" r:id="rId7"/>
    <sheet name="tc_template" sheetId="473" state="hidden" r:id="rId8"/>
    <sheet name="target" sheetId="424" state="hidden" r:id="rId9"/>
    <sheet name="C0" sheetId="458" state="hidden" r:id="rId10"/>
    <sheet name="C1" sheetId="457" state="hidden" r:id="rId11"/>
    <sheet name="C2" sheetId="462" state="hidden" r:id="rId12"/>
    <sheet name="C3" sheetId="463" state="hidden" r:id="rId13"/>
    <sheet name="C4" sheetId="464" state="hidden" r:id="rId14"/>
    <sheet name="C5" sheetId="465" state="hidden" r:id="rId15"/>
    <sheet name="C6" sheetId="466" state="hidden" r:id="rId16"/>
    <sheet name="C7" sheetId="467" state="hidden" r:id="rId17"/>
    <sheet name="C8C9C10" sheetId="468" state="hidden" r:id="rId18"/>
    <sheet name="Add pages" sheetId="478" r:id="rId19"/>
    <sheet name="Test case" sheetId="461" r:id="rId20"/>
    <sheet name="SA302" sheetId="60" state="hidden" r:id="rId21"/>
    <sheet name="Taxable Income" sheetId="307" state="hidden" r:id="rId22"/>
    <sheet name="Income types" sheetId="266" state="hidden" r:id="rId23"/>
    <sheet name="CRC" sheetId="388" state="hidden" r:id="rId24"/>
    <sheet name="Swiss Tax Credit" sheetId="482" state="hidden" r:id="rId25"/>
    <sheet name="Liability" sheetId="389" state="hidden" r:id="rId26"/>
    <sheet name="SA302_interface" sheetId="436" state="hidden" r:id="rId27"/>
    <sheet name="liability_template" sheetId="390" state="hidden" r:id="rId28"/>
    <sheet name="INC(1)" sheetId="448" r:id="rId29"/>
    <sheet name="INC(2)" sheetId="112" r:id="rId30"/>
    <sheet name="REL(1)" sheetId="477" r:id="rId31"/>
    <sheet name="REL(2)" sheetId="132" r:id="rId32"/>
    <sheet name="AOI" sheetId="120" state="hidden" r:id="rId33"/>
    <sheet name="Multi-UK-gains" sheetId="396" state="hidden" r:id="rId34"/>
    <sheet name="ASE" sheetId="449" state="hidden" r:id="rId35"/>
    <sheet name="AOR" sheetId="131" state="hidden" r:id="rId36"/>
    <sheet name="MCA" sheetId="479" state="hidden" r:id="rId37"/>
    <sheet name="AIL" sheetId="445" state="hidden" r:id="rId38"/>
    <sheet name="EMP" sheetId="50" state="hidden" r:id="rId39"/>
    <sheet name="MOR" sheetId="77" state="hidden" r:id="rId40"/>
    <sheet name="SE" sheetId="74" state="hidden" r:id="rId41"/>
    <sheet name="LUN" sheetId="80" state="hidden" r:id="rId42"/>
    <sheet name="PS" sheetId="83" state="hidden" r:id="rId43"/>
    <sheet name="NI" sheetId="488" state="hidden" r:id="rId44"/>
    <sheet name="PRO" sheetId="92" state="hidden" r:id="rId45"/>
    <sheet name="FOR" sheetId="95" state="hidden" r:id="rId46"/>
    <sheet name="Swiss Tax" sheetId="480" state="hidden" r:id="rId47"/>
    <sheet name="FTCR" sheetId="395" state="hidden" r:id="rId48"/>
    <sheet name="Multi-foreign-gains" sheetId="397" state="hidden" r:id="rId49"/>
    <sheet name="TRU" sheetId="102" state="hidden" r:id="rId50"/>
    <sheet name="CGT" sheetId="450" state="hidden" r:id="rId51"/>
    <sheet name="NRD" sheetId="103" state="hidden" r:id="rId52"/>
    <sheet name="CAL" sheetId="386" state="hidden" r:id="rId53"/>
    <sheet name="SA302_template" sheetId="49" state="hidden" r:id="rId54"/>
    <sheet name="SA302_template (W)" sheetId="489" state="hidden" r:id="rId55"/>
    <sheet name="IRCX_template" sheetId="435" state="hidden" r:id="rId56"/>
    <sheet name="TCRWS" sheetId="394" state="hidden" r:id="rId57"/>
    <sheet name="FTCR_Calc" sheetId="490" state="hidden" r:id="rId58"/>
    <sheet name="NS income (c1)" sheetId="2" state="hidden" r:id="rId59"/>
    <sheet name="Savings (c2)" sheetId="452" state="hidden" r:id="rId60"/>
    <sheet name="Divs (c3)" sheetId="451" state="hidden" r:id="rId61"/>
    <sheet name="Status (c3a)" sheetId="492" state="hidden" r:id="rId62"/>
    <sheet name="Deductions (c4)" sheetId="3" state="hidden" r:id="rId63"/>
    <sheet name="Taxable (c5)" sheetId="381" state="hidden" r:id="rId64"/>
    <sheet name="tax it (c6)" sheetId="4" state="hidden" r:id="rId65"/>
    <sheet name="CDR (c7)" sheetId="441" state="hidden" r:id="rId66"/>
    <sheet name="tax it (c8)" sheetId="382" state="hidden" r:id="rId67"/>
    <sheet name="Tax adj (c9)" sheetId="7" state="hidden" r:id="rId68"/>
    <sheet name="CRC_template" sheetId="362" state="hidden" r:id="rId69"/>
    <sheet name="Div Cr (c10)" sheetId="453" state="hidden" r:id="rId70"/>
    <sheet name="Tax paid (c11)" sheetId="6" state="hidden" r:id="rId71"/>
    <sheet name="Tax due (c12)" sheetId="454" state="hidden" r:id="rId72"/>
    <sheet name="POAs (c13)" sheetId="32" state="hidden" r:id="rId73"/>
    <sheet name="allowances (c14c15)" sheetId="9" state="hidden" r:id="rId74"/>
    <sheet name="Class 4 NIC (c16)" sheetId="392" state="hidden" r:id="rId75"/>
    <sheet name="TSR (c17)" sheetId="375" state="hidden" r:id="rId76"/>
    <sheet name="930_template" sheetId="12" state="hidden" r:id="rId77"/>
    <sheet name="CG (c18)" sheetId="391" state="hidden" r:id="rId78"/>
    <sheet name="RBC (c19)" sheetId="485" state="hidden" r:id="rId79"/>
    <sheet name="RBC &amp; Cap (C20a)" sheetId="486" state="hidden" r:id="rId80"/>
    <sheet name="Notional (c21c23)" sheetId="47" state="hidden" r:id="rId81"/>
    <sheet name="LLIR (c24)" sheetId="491" state="hidden" r:id="rId82"/>
    <sheet name="Pensions (c25c26)" sheetId="442" state="hidden" r:id="rId83"/>
    <sheet name="S loans(c27)" sheetId="376" state="hidden" r:id="rId84"/>
    <sheet name="CBC(c28)" sheetId="476" state="hidden" r:id="rId85"/>
    <sheet name="non-res (c91)" sheetId="48" state="hidden" r:id="rId86"/>
    <sheet name="c99" sheetId="487" state="hidden" r:id="rId87"/>
    <sheet name="Swiss (SW)" sheetId="481" state="hidden" r:id="rId88"/>
  </sheets>
  <externalReferences>
    <externalReference r:id="rId89"/>
    <externalReference r:id="rId90"/>
    <externalReference r:id="rId91"/>
    <externalReference r:id="rId92"/>
    <externalReference r:id="rId93"/>
    <externalReference r:id="rId94"/>
  </externalReferences>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4">tc_template!$H$17</definedName>
    <definedName name="_AOI15">tc_template!$H$18</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tc_template!$H$38</definedName>
    <definedName name="_AOR10">tc_template!$H$47</definedName>
    <definedName name="_AOR11">tc_template!$H$48</definedName>
    <definedName name="_AOR2">tc_template!$H$39</definedName>
    <definedName name="_AOR3">tc_template!$H$40</definedName>
    <definedName name="_AOR4">tc_template!$H$41</definedName>
    <definedName name="_AOR5">tc_template!$H$42</definedName>
    <definedName name="_AOR6">tc_template!$H$43</definedName>
    <definedName name="_AOR7">tc_template!$H$44</definedName>
    <definedName name="_AOR8">tc_template!$H$45</definedName>
    <definedName name="_AOR9">tc_template!$H$46</definedName>
    <definedName name="_ASE1">tc_template!$H$21</definedName>
    <definedName name="_ASE10">tc_template!$H$30</definedName>
    <definedName name="_ASE11">tc_template!$H$31</definedName>
    <definedName name="_ASE12">tc_template!$H$32</definedName>
    <definedName name="_ASE13">tc_template!$H$33</definedName>
    <definedName name="_ASE14">tc_template!$H$34</definedName>
    <definedName name="_ASE15">tc_template!$H$35</definedName>
    <definedName name="_ASE2">tc_template!$H$22</definedName>
    <definedName name="_ASE3">tc_template!$H$23</definedName>
    <definedName name="_ASE4">tc_template!$H$24</definedName>
    <definedName name="_ASE5">tc_template!$H$25</definedName>
    <definedName name="_ASE6">tc_template!$H$26</definedName>
    <definedName name="_ASE7">tc_template!$H$27</definedName>
    <definedName name="_ASE8">tc_template!$H$28</definedName>
    <definedName name="_ASE9">tc_template!$H$29</definedName>
    <definedName name="_AUI3">tc_template!$H$6</definedName>
    <definedName name="_CAL1">tc_template!$BJ$4</definedName>
    <definedName name="_CAL10">tc_template!$BJ$14</definedName>
    <definedName name="_CAL11">tc_template!$BJ$15</definedName>
    <definedName name="_CAL12">tc_template!$BJ$16</definedName>
    <definedName name="_CAL13">tc_template!$BJ$17</definedName>
    <definedName name="_CAL14">tc_template!$BJ$18</definedName>
    <definedName name="_CAL15">tc_template!$BJ$19</definedName>
    <definedName name="_CAL16">tc_template!$BJ$20</definedName>
    <definedName name="_CAL17">tc_template!$BJ$21</definedName>
    <definedName name="_CAL2">tc_template!$BJ$5</definedName>
    <definedName name="_CAL3">tc_template!$BJ$6</definedName>
    <definedName name="_CAL4">tc_template!$BJ$7</definedName>
    <definedName name="_CAL4.1">tc_template!$BJ$8</definedName>
    <definedName name="_CAL5">tc_template!$BJ$9</definedName>
    <definedName name="_CAL6">tc_template!$BJ$10</definedName>
    <definedName name="_CAL7">tc_template!$BJ$11</definedName>
    <definedName name="_CAL8">tc_template!$BJ$12</definedName>
    <definedName name="_CAL9">tc_template!$BJ$13</definedName>
    <definedName name="_CBC1">tc_template!$B$40</definedName>
    <definedName name="_CBC2">tc_template!$B$41</definedName>
    <definedName name="_CBC3">tc_template!$B$42</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1">tc_template!$BD$54</definedName>
    <definedName name="_CGT52">tc_template!$BD$55</definedName>
    <definedName name="_CGT53">tc_template!$BD$56</definedName>
    <definedName name="_CGT54">tc_template!$BD$57</definedName>
    <definedName name="_CGT6">tc_template!$BD$9</definedName>
    <definedName name="_CGT7">tc_template!$BD$10</definedName>
    <definedName name="_CGT8">tc_template!$BD$11</definedName>
    <definedName name="_CGT9">tc_template!$BD$12</definedName>
    <definedName name="_CL1">tc_template!$BJ$30</definedName>
    <definedName name="_CL2">tc_template!$BJ$25</definedName>
    <definedName name="_CL2wkamt">tc_template!$BJ$26</definedName>
    <definedName name="_EMPA1">tc_template!$N$4</definedName>
    <definedName name="_EMPA10">tc_template!$N$14</definedName>
    <definedName name="_EMPA11">tc_template!$N$15</definedName>
    <definedName name="_EMPA12">tc_template!$N$16</definedName>
    <definedName name="_EMPA13">tc_template!$N$17</definedName>
    <definedName name="_EMPA14">tc_template!$N$18</definedName>
    <definedName name="_EMPA15">tc_template!$N$19</definedName>
    <definedName name="_EMPA16">tc_template!$N$20</definedName>
    <definedName name="_EMPA17">tc_template!$N$21</definedName>
    <definedName name="_EMPA18">tc_template!$N$22</definedName>
    <definedName name="_EMPA19">tc_template!$N$23</definedName>
    <definedName name="_EMPA2">tc_template!$N$5</definedName>
    <definedName name="_EMPA20">tc_template!$N$24</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9">tc_template!$N$13</definedName>
    <definedName name="_EMPB1">tc_template!$N$28</definedName>
    <definedName name="_EMPB10">tc_template!$N$38</definedName>
    <definedName name="_EMPB11">tc_template!$N$39</definedName>
    <definedName name="_EMPB12">tc_template!$N$40</definedName>
    <definedName name="_EMPB13">tc_template!$N$41</definedName>
    <definedName name="_EMPB14">tc_template!$N$42</definedName>
    <definedName name="_EMPB15">tc_template!$N$43</definedName>
    <definedName name="_EMPB16">tc_template!$N$44</definedName>
    <definedName name="_EMPB17">tc_template!$N$45</definedName>
    <definedName name="_EMPB18">tc_template!$N$46</definedName>
    <definedName name="_EMPB19">tc_template!$N$47</definedName>
    <definedName name="_EMPB2">tc_template!$N$29</definedName>
    <definedName name="_EMPB20">tc_template!$N$48</definedName>
    <definedName name="_EMPB3">tc_template!$N$30</definedName>
    <definedName name="_EMPB4">tc_template!$N$31</definedName>
    <definedName name="_EMPB5">tc_template!$N$32</definedName>
    <definedName name="_EMPB6">tc_template!$N$33</definedName>
    <definedName name="_EMPB6.1">tc_template!$N$34</definedName>
    <definedName name="_EMPB7">tc_template!$N$35</definedName>
    <definedName name="_EMPB8">tc_template!$N$36</definedName>
    <definedName name="_EMPB9">tc_template!$N$37</definedName>
    <definedName name="_EMPCL1">tc_template!$N$49</definedName>
    <definedName name="_xlnm._FilterDatabase" localSheetId="0" hidden="1">Library!$A$1:$AO$201</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1">tc_template!$E$42</definedName>
    <definedName name="_FIN22">tc_template!$E$43</definedName>
    <definedName name="_FIN23">tc_template!$E$44</definedName>
    <definedName name="_FIN24">tc_template!$E$45</definedName>
    <definedName name="_FIN25">tc_template!$E$46</definedName>
    <definedName name="_FIN26">tc_template!$E$47</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tc_template!$AX$9</definedName>
    <definedName name="_FOR_25B_1">tc_template!$AX$19</definedName>
    <definedName name="_FOR_29D_1">tc_template!$AX$21</definedName>
    <definedName name="_FOR_30F_1">tc_template!$AX$23</definedName>
    <definedName name="_FOR_A_1">tc_template!$AX$32</definedName>
    <definedName name="_FOR_A_2">tc_template!$AX$36</definedName>
    <definedName name="_FOR_A_3">tc_template!$AX$40</definedName>
    <definedName name="_FOR_A_4">tc_template!$AX$44</definedName>
    <definedName name="_FOR_C_1">tc_template!$AX$33</definedName>
    <definedName name="_FOR_C_2">tc_template!$AX$37</definedName>
    <definedName name="_FOR_C_3">tc_template!$AX$41</definedName>
    <definedName name="_FOR_C_4">tc_template!$AX$45</definedName>
    <definedName name="_FOR_DIV_A">tc_template!$AU$61</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tc_template!$AU$62</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tc_template!$AU$63</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tc_template!$AU$65</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tc_template!$AX$34</definedName>
    <definedName name="_FOR_E_2">tc_template!$AX$38</definedName>
    <definedName name="_FOR_E_3">tc_template!$AX$42</definedName>
    <definedName name="_FOR_E_4">tc_template!$AX$46</definedName>
    <definedName name="_FOR_F_1">tc_template!$AX$35</definedName>
    <definedName name="_FOR_F_2">tc_template!$AX$39</definedName>
    <definedName name="_FOR_F_3">tc_template!$AX$43</definedName>
    <definedName name="_FOR_F_4">tc_template!$AX$47</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tc_template!$AX$18</definedName>
    <definedName name="_FOR_LP_E_1">tc_template!$AX$22</definedName>
    <definedName name="_FOR_OVE_A_1">tc_template!$AU$53</definedName>
    <definedName name="_FOR_OVE_B_1">tc_template!$AU$54</definedName>
    <definedName name="_FOR_OVE_C_1">tc_template!$AU$55</definedName>
    <definedName name="_FOR_OVE_E_1">tc_template!$AU$57</definedName>
    <definedName name="_FOR1">tc_template!$AU$4</definedName>
    <definedName name="_FOR10">tc_template!$AU$67</definedName>
    <definedName name="_FOR10D">tc_template!$AU$64</definedName>
    <definedName name="_FOR11">tc_template!$AU$68</definedName>
    <definedName name="_FOR11F_1">tc_template!$AU$66</definedName>
    <definedName name="_FOR12">tc_template!$AU$75</definedName>
    <definedName name="_FOR13">tc_template!$AU$76</definedName>
    <definedName name="_FOR13.1">tc_template!$AU$77</definedName>
    <definedName name="_FOR13A">tc_template!$AU$69</definedName>
    <definedName name="_FOR13B">tc_template!$AU$70</definedName>
    <definedName name="_FOR13C">tc_template!$AU$71</definedName>
    <definedName name="_FOR13D">tc_template!$AU$72</definedName>
    <definedName name="_FOR13E">tc_template!$AU$73</definedName>
    <definedName name="_FOR13F">tc_template!$AU$74</definedName>
    <definedName name="_FOR14">tc_template!$AX$4</definedName>
    <definedName name="_FOR14.1">tc_template!$AX$5</definedName>
    <definedName name="_FOR14.2">tc_template!$AX$6</definedName>
    <definedName name="_FOR15">tc_template!$AX$7</definedName>
    <definedName name="_FOR16">tc_template!$AX$8</definedName>
    <definedName name="_FOR18">tc_template!$AX$10</definedName>
    <definedName name="_FOR19">tc_template!$AX$11</definedName>
    <definedName name="_FOR2">tc_template!$AU$5</definedName>
    <definedName name="_FOR20">tc_template!$AX$12</definedName>
    <definedName name="_FOR21">tc_template!$AX$13</definedName>
    <definedName name="_FOR22">tc_template!$AX$14</definedName>
    <definedName name="_FOR23">tc_template!$AX$15</definedName>
    <definedName name="_FOR24">tc_template!$AX$16</definedName>
    <definedName name="_FOR24A">tc_template!$AX$17</definedName>
    <definedName name="_FOR25">tc_template!$AX$24</definedName>
    <definedName name="_FOR26">tc_template!$AX$25</definedName>
    <definedName name="_FOR27">tc_template!$AX$26</definedName>
    <definedName name="_FOR28">tc_template!$AX$27</definedName>
    <definedName name="_FOR28C_1">tc_template!$AX$20</definedName>
    <definedName name="_FOR29">tc_template!$AX$28</definedName>
    <definedName name="_FOR3">tc_template!$AU$18</definedName>
    <definedName name="_FOR30">tc_template!$AX$29</definedName>
    <definedName name="_FOR31">tc_template!$AX$30</definedName>
    <definedName name="_FOR32">tc_template!$AX$31</definedName>
    <definedName name="_FOR33">tc_template!$AX$48</definedName>
    <definedName name="_FOR34">tc_template!$AX$49</definedName>
    <definedName name="_FOR35">tc_template!$AX$50</definedName>
    <definedName name="_FOR36">tc_template!$AX$51</definedName>
    <definedName name="_FOR37">tc_template!$AX$52</definedName>
    <definedName name="_FOR38">tc_template!$AX$53</definedName>
    <definedName name="_FOR39">tc_template!$AX$54</definedName>
    <definedName name="_FOR3D_2">tc_template!$AU$15</definedName>
    <definedName name="_FOR4">tc_template!$AU$19</definedName>
    <definedName name="_FOR40">tc_template!$AX$55</definedName>
    <definedName name="_FOR41">tc_template!$AX$56</definedName>
    <definedName name="_FOR42">tc_template!$AX$57</definedName>
    <definedName name="_FOR43">tc_template!$AX$58</definedName>
    <definedName name="_FOR44">tc_template!$AX$59</definedName>
    <definedName name="_FOR45">tc_template!$AX$60</definedName>
    <definedName name="_FOR46">tc_template!$AX$61</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8">tc_template!$AU$59</definedName>
    <definedName name="_FOR8D_1">tc_template!$AU$56</definedName>
    <definedName name="_FOR9">tc_template!$AU$60</definedName>
    <definedName name="_FOR9F_1">tc_template!$AU$58</definedName>
    <definedName name="_FOS63.1">tc_template!$AO$16</definedName>
    <definedName name="_FPS_AF1">tc_template!$AL$46</definedName>
    <definedName name="_FPS_AF2">tc_template!$AO$17</definedName>
    <definedName name="_FPS1">tc_template!$AL$4</definedName>
    <definedName name="_FPS10">tc_template!$AL$13</definedName>
    <definedName name="_FPS11">tc_template!$AL$14</definedName>
    <definedName name="_FPS12">tc_template!$AL$15</definedName>
    <definedName name="_FPS13">tc_template!$AL$16</definedName>
    <definedName name="_FPS14">tc_template!$AL$17</definedName>
    <definedName name="_FPS15">tc_template!$AL$18</definedName>
    <definedName name="_FPS16">tc_template!$AL$19</definedName>
    <definedName name="_FPS17">tc_template!$AL$20</definedName>
    <definedName name="_FPS18">tc_template!$AL$21</definedName>
    <definedName name="_FPS19">tc_template!$AL$22</definedName>
    <definedName name="_FPS2">tc_template!$AL$5</definedName>
    <definedName name="_FPS20">tc_template!$AL$23</definedName>
    <definedName name="_FPS21">tc_template!$AL$24</definedName>
    <definedName name="_FPS22">tc_template!$AL$25</definedName>
    <definedName name="_FPS23">tc_template!$AL$26</definedName>
    <definedName name="_FPS24">tc_template!$AL$27</definedName>
    <definedName name="_FPS25">tc_template!$AL$28</definedName>
    <definedName name="_FPS26">tc_template!$AL$29</definedName>
    <definedName name="_FPS27">tc_template!$AL$30</definedName>
    <definedName name="_FPS28">tc_template!$AL$31</definedName>
    <definedName name="_FPS29">tc_template!$AL$32</definedName>
    <definedName name="_FPS3">tc_template!$AL$6</definedName>
    <definedName name="_FPS30">tc_template!$AL$33</definedName>
    <definedName name="_FPS31">tc_template!$AL$34</definedName>
    <definedName name="_FPS32">tc_template!$AL$35</definedName>
    <definedName name="_FPS33">tc_template!$AL$36</definedName>
    <definedName name="_FPS34">tc_template!$AL$37</definedName>
    <definedName name="_FPS35">tc_template!$AL$38</definedName>
    <definedName name="_FPS36">tc_template!$AL$39</definedName>
    <definedName name="_FPS37">tc_template!$AL$40</definedName>
    <definedName name="_FPS38">tc_template!$AL$41</definedName>
    <definedName name="_FPS39">tc_template!$AL$42</definedName>
    <definedName name="_FPS4">tc_template!$AL$7</definedName>
    <definedName name="_FPS40">tc_template!$AL$43</definedName>
    <definedName name="_FPS41">tc_template!$AL$44</definedName>
    <definedName name="_FPS41.1">tc_template!$AL$45</definedName>
    <definedName name="_FPS42">tc_template!$AL$47</definedName>
    <definedName name="_FPS43">tc_template!$AL$48</definedName>
    <definedName name="_FPS44">tc_template!$AL$49</definedName>
    <definedName name="_FPS45">tc_template!$AL$50</definedName>
    <definedName name="_FPS46">tc_template!$AL$51</definedName>
    <definedName name="_FPS47">tc_template!$AL$52</definedName>
    <definedName name="_FPS48">tc_template!$AL$53</definedName>
    <definedName name="_FPS49">tc_template!$AL$54</definedName>
    <definedName name="_FPS5">tc_template!$AL$8</definedName>
    <definedName name="_FPS50">tc_template!$AL$55</definedName>
    <definedName name="_FPS51">tc_template!$AL$56</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4">tc_template!$AO$18</definedName>
    <definedName name="_FPS65">tc_template!$AO$19</definedName>
    <definedName name="_FPS66">tc_template!$AO$20</definedName>
    <definedName name="_FPS67">tc_template!$AO$21</definedName>
    <definedName name="_FPS68">tc_template!$AO$22</definedName>
    <definedName name="_FPS69">tc_template!$AO$23</definedName>
    <definedName name="_FPS7">tc_template!$AL$10</definedName>
    <definedName name="_FPS70">tc_template!$AO$24</definedName>
    <definedName name="_FPS71">tc_template!$AO$25</definedName>
    <definedName name="_FPS72">tc_template!$AO$26</definedName>
    <definedName name="_FPS73">tc_template!$AO$27</definedName>
    <definedName name="_FPS74">tc_template!$AO$28</definedName>
    <definedName name="_FPS75">tc_template!$AO$29</definedName>
    <definedName name="_FPS76">tc_template!$AO$30</definedName>
    <definedName name="_FPS77">tc_template!$AO$31</definedName>
    <definedName name="_FPS78">tc_template!$AO$32</definedName>
    <definedName name="_FPS79">tc_template!$AO$33</definedName>
    <definedName name="_FPS8">tc_template!$AL$11</definedName>
    <definedName name="_FPS80">tc_template!$AO$34</definedName>
    <definedName name="_FPS9">tc_template!$AL$12</definedName>
    <definedName name="_FSE1">tc_template!$W$4</definedName>
    <definedName name="_FSE10">tc_template!$W$13</definedName>
    <definedName name="_FSE100">tc_template!$Z$51</definedName>
    <definedName name="_FSE101">tc_template!$Z$52</definedName>
    <definedName name="_FSE102">tc_template!$Z$53</definedName>
    <definedName name="_FSE103">tc_template!$Z$54</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1">tc_template!$Z$22</definedName>
    <definedName name="_FSE72">tc_template!$Z$23</definedName>
    <definedName name="_FSE73">tc_template!$Z$24</definedName>
    <definedName name="_FSE74">tc_template!$Z$25</definedName>
    <definedName name="_FSE75">tc_template!$Z$26</definedName>
    <definedName name="_FSE76">tc_template!$Z$27</definedName>
    <definedName name="_FSE77">tc_template!$Z$28</definedName>
    <definedName name="_FSE78">tc_template!$Z$29</definedName>
    <definedName name="_FSE79">tc_template!$Z$30</definedName>
    <definedName name="_FSE8">tc_template!$W$11</definedName>
    <definedName name="_FSE80">tc_template!$Z$31</definedName>
    <definedName name="_FSE81">tc_template!$Z$32</definedName>
    <definedName name="_FSE82">tc_template!$Z$33</definedName>
    <definedName name="_FSE83">tc_template!$Z$34</definedName>
    <definedName name="_FSE84">tc_template!$Z$35</definedName>
    <definedName name="_FSE85">tc_template!$Z$36</definedName>
    <definedName name="_FSE86">tc_template!$Z$37</definedName>
    <definedName name="_FSE87">tc_template!$Z$38</definedName>
    <definedName name="_FSE88">tc_template!$Z$39</definedName>
    <definedName name="_FSE89">tc_template!$Z$40</definedName>
    <definedName name="_FSE9">tc_template!$W$12</definedName>
    <definedName name="_FSE90">tc_template!$Z$41</definedName>
    <definedName name="_FSE91">tc_template!$Z$42</definedName>
    <definedName name="_FSE92">tc_template!$Z$43</definedName>
    <definedName name="_FSE93">tc_template!$Z$44</definedName>
    <definedName name="_FSE94">tc_template!$Z$45</definedName>
    <definedName name="_FSE95">tc_template!$Z$46</definedName>
    <definedName name="_FSE96">tc_template!$Z$47</definedName>
    <definedName name="_FSE97">tc_template!$Z$48</definedName>
    <definedName name="_FSE98">tc_template!$Z$49</definedName>
    <definedName name="_FSE99">tc_template!$Z$50</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tc_template!$B$52</definedName>
    <definedName name="_MAT_OUT">tc_template!$B$51</definedName>
    <definedName name="_MAT0">tc_template!$B$45</definedName>
    <definedName name="_MAT1">tc_template!$B$46</definedName>
    <definedName name="_MAT2">tc_template!$B$47</definedName>
    <definedName name="_MAT3">tc_template!$B$48</definedName>
    <definedName name="_MAT4">tc_template!$B$49</definedName>
    <definedName name="_MAT5">tc_template!$B$50</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2">tc_template!$BG$16</definedName>
    <definedName name="_NRD13">tc_template!$BG$17</definedName>
    <definedName name="_NRD14">tc_template!$BG$18</definedName>
    <definedName name="_NRD15">tc_template!$BG$19</definedName>
    <definedName name="_NRD16">tc_template!$BG$20</definedName>
    <definedName name="_NRD17">tc_template!$BG$21</definedName>
    <definedName name="_NRD18">tc_template!$BG$22</definedName>
    <definedName name="_NRD19">tc_template!$BG$23</definedName>
    <definedName name="_NRD2">tc_template!$BG$5</definedName>
    <definedName name="_NRD20">tc_template!$BG$24</definedName>
    <definedName name="_NRD21">tc_template!$BG$25</definedName>
    <definedName name="_NRD22">tc_template!$BG$26</definedName>
    <definedName name="_NRD23">tc_template!$BG$27</definedName>
    <definedName name="_NRD23.1">tc_template!$BG$28</definedName>
    <definedName name="_NRD23.2">tc_template!$BG$29</definedName>
    <definedName name="_NRD23.3">tc_template!$BG$30</definedName>
    <definedName name="_NRD24">tc_template!$BG$31</definedName>
    <definedName name="_NRD25">tc_template!$BG$32</definedName>
    <definedName name="_NRD26">tc_template!$BG$33</definedName>
    <definedName name="_NRD27">tc_template!$BG$34</definedName>
    <definedName name="_NRD28">tc_template!$BG$35</definedName>
    <definedName name="_NRD29">tc_template!$BG$36</definedName>
    <definedName name="_NRD3">tc_template!$BG$6</definedName>
    <definedName name="_NRD3.1">tc_template!$BG$7</definedName>
    <definedName name="_NRD30">tc_template!$BG$37</definedName>
    <definedName name="_NRD31">tc_template!$BG$38</definedName>
    <definedName name="_NRD32">tc_template!$BG$39</definedName>
    <definedName name="_NRD33">tc_template!$BG$40</definedName>
    <definedName name="_NRD34">tc_template!$BG$41</definedName>
    <definedName name="_NRD35">tc_template!$BG$42</definedName>
    <definedName name="_NRD36">tc_template!$BG$43</definedName>
    <definedName name="_NRD37">tc_template!$BG$44</definedName>
    <definedName name="_NRD38">tc_template!$BG$45</definedName>
    <definedName name="_NRD39">tc_template!$BG$46</definedName>
    <definedName name="_NRD4">tc_template!$BG$8</definedName>
    <definedName name="_NRD40">tc_template!$BG$47</definedName>
    <definedName name="_NRD5">tc_template!$BG$9</definedName>
    <definedName name="_NRD6">tc_template!$BG$10</definedName>
    <definedName name="_NRD7">tc_template!$BG$11</definedName>
    <definedName name="_NRD8">tc_template!$BG$12</definedName>
    <definedName name="_NRD9">tc_template!$BG$13</definedName>
    <definedName name="_PRO1">tc_template!$AR$4</definedName>
    <definedName name="_PRO10">tc_template!$AR$15</definedName>
    <definedName name="_PRO10.2">tc_template!$AR$32</definedName>
    <definedName name="_PRO11">tc_template!$AR$16</definedName>
    <definedName name="_PRO11.2">tc_template!$AR$33</definedName>
    <definedName name="_PRO12">tc_template!$AR$17</definedName>
    <definedName name="_PRO12.2">tc_template!$AR$34</definedName>
    <definedName name="_PRO13">tc_template!$AR$18</definedName>
    <definedName name="_PRO13.2">tc_template!$AR$35</definedName>
    <definedName name="_PRO14">tc_template!$AR$19</definedName>
    <definedName name="_PRO14.2">tc_template!$AR$36</definedName>
    <definedName name="_PRO15">tc_template!$AR$20</definedName>
    <definedName name="_PRO15.2">tc_template!$AR$37</definedName>
    <definedName name="_PRO16">tc_template!$AR$21</definedName>
    <definedName name="_PRO16.2">tc_template!$AR$38</definedName>
    <definedName name="_PRO17">tc_template!$AR$22</definedName>
    <definedName name="_PRO17.2">tc_template!$AR$39</definedName>
    <definedName name="_PRO18">tc_template!$AR$23</definedName>
    <definedName name="_PRO18.2">tc_template!$AR$40</definedName>
    <definedName name="_PRO19">tc_template!$AR$24</definedName>
    <definedName name="_PRO19.2">tc_template!$AR$41</definedName>
    <definedName name="_PRO2">tc_template!$AR$5</definedName>
    <definedName name="_PRO20">tc_template!$AR$42</definedName>
    <definedName name="_PRO20.1">tc_template!$AR$43</definedName>
    <definedName name="_PRO20.2">tc_template!$AR$44</definedName>
    <definedName name="_PRO21">tc_template!$AR$45</definedName>
    <definedName name="_PRO22">tc_template!$AR$46</definedName>
    <definedName name="_PRO23">tc_template!$AR$47</definedName>
    <definedName name="_PRO24">tc_template!$AR$48</definedName>
    <definedName name="_PRO25">tc_template!$AR$49</definedName>
    <definedName name="_PRO26">tc_template!$AR$50</definedName>
    <definedName name="_PRO27">tc_template!$AR$51</definedName>
    <definedName name="_PRO28">tc_template!$AR$52</definedName>
    <definedName name="_PRO29">tc_template!$AR$53</definedName>
    <definedName name="_PRO3">tc_template!$AR$6</definedName>
    <definedName name="_PRO30">tc_template!$AR$54</definedName>
    <definedName name="_PRO31">tc_template!$AR$55</definedName>
    <definedName name="_PRO32">tc_template!$AR$56</definedName>
    <definedName name="_PRO33">tc_template!$AR$57</definedName>
    <definedName name="_PRO34">tc_template!$AR$58</definedName>
    <definedName name="_PRO35">tc_template!$AR$59</definedName>
    <definedName name="_PRO36">tc_template!$AR$60</definedName>
    <definedName name="_PRO37">tc_template!$AR$61</definedName>
    <definedName name="_PRO38">tc_template!$AR$62</definedName>
    <definedName name="_PRO39">tc_template!$AR$63</definedName>
    <definedName name="_PRO4">tc_template!$AR$7</definedName>
    <definedName name="_PRO40">tc_template!$AR$64</definedName>
    <definedName name="_PRO41">tc_template!$AR$65</definedName>
    <definedName name="_PRO42">tc_template!$AR$66</definedName>
    <definedName name="_PRO43">tc_template!$AR$67</definedName>
    <definedName name="_PRO44">tc_template!$AR$68</definedName>
    <definedName name="_PRO45">tc_template!$AR$69</definedName>
    <definedName name="_PRO5">tc_template!$AR$8</definedName>
    <definedName name="_PRO5.2">tc_template!$AR$25</definedName>
    <definedName name="_PRO5_1">tc_template!$AR$9</definedName>
    <definedName name="_PRO5_1.2">tc_template!$AR$26</definedName>
    <definedName name="_PRO5_2">tc_template!$AR$10</definedName>
    <definedName name="_PRO5_2.2">tc_template!$AR$27</definedName>
    <definedName name="_PRO6">tc_template!$AR$11</definedName>
    <definedName name="_PRO6.2">tc_template!$AR$28</definedName>
    <definedName name="_PRO7">tc_template!$AR$12</definedName>
    <definedName name="_PRO7.2">tc_template!$AR$29</definedName>
    <definedName name="_PRO8">tc_template!$AR$13</definedName>
    <definedName name="_PRO8.2">tc_template!$AR$30</definedName>
    <definedName name="_PRO9">tc_template!$AR$14</definedName>
    <definedName name="_PRO9.2">tc_template!$AR$31</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tc_template!$B$36</definedName>
    <definedName name="_SLR3">tc_template!$B$37</definedName>
    <definedName name="_SLRPT">tc_template!$B$35</definedName>
    <definedName name="_SPS1">tc_template!$AI$4</definedName>
    <definedName name="_SPS10">tc_template!$AI$13</definedName>
    <definedName name="_SPS11">tc_template!$AI$14</definedName>
    <definedName name="_SPS12">tc_template!$AI$15</definedName>
    <definedName name="_SPS13">tc_template!$AI$16</definedName>
    <definedName name="_SPS14">tc_template!$AI$17</definedName>
    <definedName name="_SPS15">tc_template!$AI$18</definedName>
    <definedName name="_SPS16">tc_template!$AI$19</definedName>
    <definedName name="_SPS17">tc_template!$AI$20</definedName>
    <definedName name="_SPS18">tc_template!$AI$21</definedName>
    <definedName name="_SPS19">tc_template!$AI$22</definedName>
    <definedName name="_SPS2">tc_template!$AI$5</definedName>
    <definedName name="_SPS20">tc_template!$AI$23</definedName>
    <definedName name="_SPS21">tc_template!$AI$24</definedName>
    <definedName name="_SPS22">tc_template!$AI$25</definedName>
    <definedName name="_SPS23">tc_template!$AI$26</definedName>
    <definedName name="_SPS24">tc_template!$AI$27</definedName>
    <definedName name="_SPS25">tc_template!$AI$28</definedName>
    <definedName name="_SPS26">tc_template!$AI$29</definedName>
    <definedName name="_SPS27">tc_template!$AI$30</definedName>
    <definedName name="_SPS28">tc_template!$AI$31</definedName>
    <definedName name="_SPS29">tc_template!$AI$32</definedName>
    <definedName name="_SPS3">tc_template!$AI$6</definedName>
    <definedName name="_SPS30">tc_template!$AI$33</definedName>
    <definedName name="_SPS31">tc_template!$AI$34</definedName>
    <definedName name="_SPS32">tc_template!$AI$35</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6">tc_template!$T$30</definedName>
    <definedName name="_SSE27">tc_template!$T$31</definedName>
    <definedName name="_SSE28">tc_template!$T$32</definedName>
    <definedName name="_SSE29">tc_template!$T$33</definedName>
    <definedName name="_SSE3">tc_template!$T$6</definedName>
    <definedName name="_SSE30">tc_template!$T$34</definedName>
    <definedName name="_SSE31">tc_template!$T$35</definedName>
    <definedName name="_SSE32">tc_template!$T$36</definedName>
    <definedName name="_SSE33">tc_template!$T$37</definedName>
    <definedName name="_SSE34">tc_template!$T$38</definedName>
    <definedName name="_SSE35">tc_template!$T$39</definedName>
    <definedName name="_SSE36">tc_template!$T$40</definedName>
    <definedName name="_SSE37">tc_template!$T$41</definedName>
    <definedName name="_SSE38">tc_template!$T$42</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name="_Toc137538025" localSheetId="68">CRC_template!$B$43</definedName>
    <definedName name="_Toc257364484" localSheetId="60">'Divs (c3)'!$B$32</definedName>
    <definedName name="_Toc328722581" localSheetId="72">'POAs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 localSheetId="57">[1]data!$E$47</definedName>
    <definedName name="A_rate">data!$E$67</definedName>
    <definedName name="AA_excess" localSheetId="57">[1]data!$E$97</definedName>
    <definedName name="AA_excess">data!$E$115</definedName>
    <definedName name="AA_limit" localSheetId="57">[1]data!$E$95</definedName>
    <definedName name="AA_limit">data!$E$113</definedName>
    <definedName name="ADD_P_IND">target!$A$149</definedName>
    <definedName name="after_5_4_38" localSheetId="57">[1]data!$D$136</definedName>
    <definedName name="AHdiv_rate" localSheetId="57">[1]data!$E$52</definedName>
    <definedName name="AHdiv_rate">data!#REF!</definedName>
    <definedName name="AHR_band" localSheetId="57">[1]data!$E$68</definedName>
    <definedName name="AHR_band">data!$E$82</definedName>
    <definedName name="AHR_case" localSheetId="57">'[1]tax it (c8)'!$D$66</definedName>
    <definedName name="AHR_case">'tax it (c8)'!$D$91</definedName>
    <definedName name="AHR_case_PSA">'Deductions (c4)'!$M$315</definedName>
    <definedName name="AHR_rate" localSheetId="57">[1]data!$E$54</definedName>
    <definedName name="AHR_rate">data!$E$53</definedName>
    <definedName name="AIL" localSheetId="57">[1]AIL!$A$1</definedName>
    <definedName name="AIL">AIL!$A$1</definedName>
    <definedName name="AIL_IND" localSheetId="57">[1]target!$A$81</definedName>
    <definedName name="AIL_IND">target!$A$81</definedName>
    <definedName name="AIL_RANGE">'C1'!$C$85:$P$109</definedName>
    <definedName name="Alimony" localSheetId="57">[1]IRCX_template!$D$68</definedName>
    <definedName name="Alimony">IRCX_template!$D$73</definedName>
    <definedName name="Allce_BPA" localSheetId="57">[1]IRCX_template!$D$30</definedName>
    <definedName name="Allce_BPA">IRCX_template!$D$27</definedName>
    <definedName name="Allce_BPA_Spare" localSheetId="57">[1]IRCX_template!$D$31</definedName>
    <definedName name="Allce_BPA_Spare">IRCX_template!$D$28</definedName>
    <definedName name="Allce_dedn_total" localSheetId="57">[1]IRCX_template!$D$33</definedName>
    <definedName name="Allce_dedn_total">IRCX_template!$D$30</definedName>
    <definedName name="Allce_PA" localSheetId="57">[1]IRCX_template!$D$28</definedName>
    <definedName name="Allce_PA">IRCX_template!$D$25</definedName>
    <definedName name="AllceIn_TPA" localSheetId="57">[1]IRCX_template!$I$68</definedName>
    <definedName name="AllceIn_TPA">IRCX_template!$D$78</definedName>
    <definedName name="AllceIn_TPA_relief" localSheetId="57">[1]IRCX_template!$I$69</definedName>
    <definedName name="AllceIn_TPA_relief">IRCX_template!$D$79</definedName>
    <definedName name="AllceIn_TPA_relief_restricted" localSheetId="57">[1]IRCX_template!$I$72</definedName>
    <definedName name="AllceOut_TPA" localSheetId="57">[1]IRCX_template!$D$29</definedName>
    <definedName name="AllceOut_TPA">IRCX_template!$D$26</definedName>
    <definedName name="allowedTypes">'[2]browse-data'!$B$3:$B$65536</definedName>
    <definedName name="annuity_amount" localSheetId="57">[1]IRCX_template!$I$13</definedName>
    <definedName name="annuity_amount">IRCX_template!$I$14</definedName>
    <definedName name="annuity_tax" localSheetId="57">[1]IRCX_template!$I$14</definedName>
    <definedName name="annuity_tax">IRCX_template!$I$15</definedName>
    <definedName name="AOI" localSheetId="57">[1]AOI!$A$1</definedName>
    <definedName name="AOI">AOI!$A$1</definedName>
    <definedName name="AOI_A_IND" localSheetId="57">[1]target!$A$49</definedName>
    <definedName name="AOI_A_IND">target!$A$49</definedName>
    <definedName name="AOI_A_RANGE">'C1'!$C$3:$M$6</definedName>
    <definedName name="AOI_B_IND" localSheetId="57">[1]target!$A$53</definedName>
    <definedName name="AOI_B_IND">target!$A$53</definedName>
    <definedName name="AOI_B_RANGE">'C1'!$C$9:$M$17</definedName>
    <definedName name="AOI_C_IND" localSheetId="57">[1]target!$A$57</definedName>
    <definedName name="AOI_C_IND">target!$A$57</definedName>
    <definedName name="AOI_C_RANGE">'C1'!$C$20:$M$24</definedName>
    <definedName name="AOR" localSheetId="57">[1]AOR!$A$1</definedName>
    <definedName name="AOR">AOR!$A$1</definedName>
    <definedName name="AOR_IND" localSheetId="57">[1]target!$A$73</definedName>
    <definedName name="AOR_IND">target!$A$73</definedName>
    <definedName name="AOR_RANGE">'C1'!$C$49:$P$60</definedName>
    <definedName name="ASE" localSheetId="57">[1]ASE!$A$1</definedName>
    <definedName name="ASE">ASE!$A$1</definedName>
    <definedName name="ASE_A_IND" localSheetId="57">[1]target!$A$61</definedName>
    <definedName name="ASE_A_IND">target!$A$61</definedName>
    <definedName name="ASE_A_RANGE">'C1'!$C$27:$M$28</definedName>
    <definedName name="ASE_B_IND" localSheetId="57">[1]target!$A$65</definedName>
    <definedName name="ASE_B_IND">target!$A$65</definedName>
    <definedName name="ASE_B_RANGE">'C1'!$C$31:$M$39</definedName>
    <definedName name="ASE_C_IND" localSheetId="57">[1]target!$A$69</definedName>
    <definedName name="ASE_C_IND">target!$A$69</definedName>
    <definedName name="ASE_C_RANGE">'C1'!$C$42:$M$47</definedName>
    <definedName name="BCD_year" localSheetId="57">[1]data!$E$114</definedName>
    <definedName name="BCD_year">data!$E$136</definedName>
    <definedName name="before_30_sep" localSheetId="57">'[1]POAs (c13)'!$A$22</definedName>
    <definedName name="before_30_sep">'POAs (c13)'!$A$22</definedName>
    <definedName name="Benefits_Emp" localSheetId="57">[1]IRCX_template!$D$3</definedName>
    <definedName name="Benefits_Emp">IRCX_template!$D$3</definedName>
    <definedName name="box_18.5_claim">CAL!$K$21</definedName>
    <definedName name="box_18.8_claim">CAL!$K$26</definedName>
    <definedName name="box_18_3" localSheetId="57">'[1]Tax due (c12)'!$J$61</definedName>
    <definedName name="box_18_3">'Tax due (c12)'!$J$62</definedName>
    <definedName name="box_18_3_1">'Tax due (c12)'!$J$88</definedName>
    <definedName name="box_18_3_2">'Tax due (c12)'!$J$92</definedName>
    <definedName name="Box_CAL7" localSheetId="57">[1]CAL!$D$7</definedName>
    <definedName name="Box_CAL7">CAL!$D$7</definedName>
    <definedName name="Box_CAL8" localSheetId="57">[1]CAL!$D$10</definedName>
    <definedName name="Box_CAL8">CAL!$D$10</definedName>
    <definedName name="Box_CAL9" localSheetId="57">[1]CAL!$H$10</definedName>
    <definedName name="Box_CAL9">CAL!$H$10</definedName>
    <definedName name="box_NRD1" localSheetId="57">[1]NRD!$Q$4</definedName>
    <definedName name="box_NRD1">NRD!$Q$4</definedName>
    <definedName name="box_NRD15" localSheetId="57">[1]NRD!$Q$8</definedName>
    <definedName name="box_NRD15">NRD!$Q$8</definedName>
    <definedName name="box_NRD16" localSheetId="57">[1]NRD!$Q$9</definedName>
    <definedName name="box_NRD16">NRD!$Q$9</definedName>
    <definedName name="box_NRD28">NRD!$Q$10</definedName>
    <definedName name="box_NRD29" localSheetId="57">[1]NRD!$Q$11</definedName>
    <definedName name="box_NRD29">NRD!$Q$11</definedName>
    <definedName name="box_NRD30" localSheetId="57">[1]NRD!$Q$12</definedName>
    <definedName name="box_NRD30">NRD!$Q$12</definedName>
    <definedName name="box_NRD31" localSheetId="57">[1]NRD!$Q$13</definedName>
    <definedName name="box_NRD31">NRD!$Q$13</definedName>
    <definedName name="box_NRD32" localSheetId="57">[1]NRD!$Q$14</definedName>
    <definedName name="box_NRD32">NRD!$Q$14</definedName>
    <definedName name="box_NRD33" localSheetId="57">[1]NRD!$Q$15</definedName>
    <definedName name="box_NRD33">NRD!$Q$15</definedName>
    <definedName name="BPA" localSheetId="57">[1]data!$E$102</definedName>
    <definedName name="BPA">data!$E$124</definedName>
    <definedName name="BPA_claimed" localSheetId="57">'[1]REL(2)'!$N$5</definedName>
    <definedName name="BPA_claimed">'REL(2)'!$N$5</definedName>
    <definedName name="BR_band" localSheetId="57">[1]data!$E$65</definedName>
    <definedName name="BR_band">data!$E$77</definedName>
    <definedName name="BR_rate" localSheetId="57">[1]data!$E$48</definedName>
    <definedName name="BR_rate">data!$E$51</definedName>
    <definedName name="CAL" localSheetId="57">[1]CAL!$A$1</definedName>
    <definedName name="CAL">CAL!$A$1</definedName>
    <definedName name="CAL_IND" localSheetId="57">[1]target!$A$145</definedName>
    <definedName name="CAL_IND">target!$A$145</definedName>
    <definedName name="CAL_range">'C8C9C10'!$C$104:$Q$122</definedName>
    <definedName name="CBC_HR_threshold" localSheetId="57">[1]data!$E$88</definedName>
    <definedName name="CBC_HR_threshold">data!$E$108</definedName>
    <definedName name="CBC_Ind">target!$A$37</definedName>
    <definedName name="CBC_RANGE">C0!$C$65:$J$68</definedName>
    <definedName name="CBC_taper" localSheetId="57">[1]data!$E$89</definedName>
    <definedName name="CBC_taper">data!$E$109</definedName>
    <definedName name="CG_at_ER_rate" localSheetId="57">[1]IRCX_template!$I$53</definedName>
    <definedName name="CG_at_ER_rate">IRCX_template!$I$59</definedName>
    <definedName name="CG_at_higher_rate" localSheetId="57">[1]IRCX_template!$I$57</definedName>
    <definedName name="CG_at_higher_rate">IRCX_template!$I$67</definedName>
    <definedName name="CG_at_higher_rate_RP_CI">IRCX_template!$I$63</definedName>
    <definedName name="CG_at_lower_rate" localSheetId="57">[1]IRCX_template!$I$55</definedName>
    <definedName name="CG_at_lower_rate">IRCX_template!$I$65</definedName>
    <definedName name="CG_at_lower_rate_RP_CI">IRCX_template!$I$61</definedName>
    <definedName name="CG_exempt" localSheetId="57">[1]data!$E$104</definedName>
    <definedName name="CG_exempt">data!$E$126</definedName>
    <definedName name="CG_FTCR" localSheetId="57">[1]IRCX_template!$I$62</definedName>
    <definedName name="CG_FTCR">IRCX_template!$I$71</definedName>
    <definedName name="CG_trust_tax" localSheetId="57">[1]IRCX_template!$I$61</definedName>
    <definedName name="CG_trust_tax">IRCX_template!$I$72</definedName>
    <definedName name="CGT" localSheetId="57">[1]CGT!$A$1</definedName>
    <definedName name="CGT">CGT!$A$1</definedName>
    <definedName name="CGT_adjustment" localSheetId="57">[1]IRCX_template!$I$59</definedName>
    <definedName name="CGT_adjustment">IRCX_template!$I$69</definedName>
    <definedName name="CGT_IND" localSheetId="57">[1]target!$A$137</definedName>
    <definedName name="CGT_IND">target!$A$137</definedName>
    <definedName name="CGT_RANGE">'C8C9C10'!$C$2:$Q$56</definedName>
    <definedName name="CGTax" localSheetId="57">[1]IRCX_template!$I$8</definedName>
    <definedName name="CGTax">IRCX_template!$I$7</definedName>
    <definedName name="Child_Benefit_tax_charge" localSheetId="57">[1]IRCX_template!$I$27</definedName>
    <definedName name="Child_Benefit_tax_charge">IRCX_template!$I$28</definedName>
    <definedName name="CITR" localSheetId="57">[1]IRCX_template!$D$66</definedName>
    <definedName name="CITR">IRCX_template!$D$71</definedName>
    <definedName name="CITR_rate" localSheetId="57">[1]data!$E$41</definedName>
    <definedName name="CITR_rate">data!$E$65</definedName>
    <definedName name="claim_to_reduce" localSheetId="57">[1]CAL!$K$15</definedName>
    <definedName name="claim_to_reduce">CAL!$K$15</definedName>
    <definedName name="Class1_PT">data!$E$84</definedName>
    <definedName name="Class1_UEL">data!$E$85</definedName>
    <definedName name="coded_in_later_year" localSheetId="57">[1]IRCX_template!$I$49</definedName>
    <definedName name="coded_in_later_year">IRCX_template!$I$52</definedName>
    <definedName name="coded_out_limit" localSheetId="57">[1]data!$E$87</definedName>
    <definedName name="coded_out_limit">data!$E$107</definedName>
    <definedName name="date_formatted" localSheetId="57">[1]data!$H$112</definedName>
    <definedName name="date_formatted">data!$H$134</definedName>
    <definedName name="date_formatted_W" localSheetId="57">[1]data!$H$126</definedName>
    <definedName name="date_formatted_W">data!$H$148</definedName>
    <definedName name="debt_coded" localSheetId="57">[1]IRCX_template!$I$37</definedName>
    <definedName name="debt_coded">IRCX_template!$I$40</definedName>
    <definedName name="debt_collected" localSheetId="57">[1]IRCX_template!$I$38</definedName>
    <definedName name="debt_collected">IRCX_template!$I$41</definedName>
    <definedName name="Ded_cap">data!$E$127</definedName>
    <definedName name="ded_Loss" localSheetId="57">[1]IRCX_template!$D$23</definedName>
    <definedName name="ded_Loss">IRCX_template!$D$21</definedName>
    <definedName name="ded_loss_restricted" localSheetId="57">[1]IRCX_template!$D$24</definedName>
    <definedName name="ded_loss_restricted">IRCX_template!$D$22</definedName>
    <definedName name="Ded_taper">data!$E$128</definedName>
    <definedName name="dedn_Annuity" localSheetId="57">[1]IRCX_template!$D$25</definedName>
    <definedName name="dedn_Annuity">IRCX_template!$D$23</definedName>
    <definedName name="Dedn_cap" localSheetId="57">[1]data!$E$105</definedName>
    <definedName name="Dedn_cap">data!$E$127</definedName>
    <definedName name="dedn_Gift" localSheetId="57">[1]IRCX_template!$D$26</definedName>
    <definedName name="dedn_Gift">IRCX_template!$D$24</definedName>
    <definedName name="dedn_RAR" localSheetId="57">[1]IRCX_template!$D$19</definedName>
    <definedName name="dedn_RAR">IRCX_template!$D$19</definedName>
    <definedName name="Dedn_taper" localSheetId="57">[1]data!$E$106</definedName>
    <definedName name="Dedn_taper">data!$E$128</definedName>
    <definedName name="dedn_Trust" localSheetId="57">[1]IRCX_template!$D$20</definedName>
    <definedName name="dedn_Trust">IRCX_template!$D$20</definedName>
    <definedName name="dedn_TUS" localSheetId="57">[1]IRCX_template!$D$27</definedName>
    <definedName name="dedn_TUS" localSheetId="54">IRCX_template!#REF!</definedName>
    <definedName name="deficiency_relief" localSheetId="57">[1]IRCX_template!$D$61</definedName>
    <definedName name="deficiency_relief">IRCX_template!$D$66</definedName>
    <definedName name="div_tax_credits" localSheetId="57">[1]IRCX_template!$I$15</definedName>
    <definedName name="div_tax_credits">IRCX_template!$I$16</definedName>
    <definedName name="DivAR_rate">data!$E$61</definedName>
    <definedName name="DivBR_rate">data!$E$59</definedName>
    <definedName name="DivHR_rate">data!$E$60</definedName>
    <definedName name="DivNil_rate">data!$E$58</definedName>
    <definedName name="divs_gross" localSheetId="57">[1]data!$I$42</definedName>
    <definedName name="divs_gross">data!$I$47</definedName>
    <definedName name="divs_gross_F" localSheetId="57">[1]data!$J$42</definedName>
    <definedName name="divs_gross_F">data!$J$47</definedName>
    <definedName name="divs_gross_P">data!$L$47</definedName>
    <definedName name="divs_taxfree_AHR">IRCX_template!$D$60</definedName>
    <definedName name="divs_taxfree_BR">IRCX_template!$D$54</definedName>
    <definedName name="divs_taxfree_HR">IRCX_template!$D$57</definedName>
    <definedName name="DTA">data!$E$119</definedName>
    <definedName name="EIS" localSheetId="57">[1]IRCX_template!$D$64</definedName>
    <definedName name="EIS">IRCX_template!$D$69</definedName>
    <definedName name="EIS_rate" localSheetId="57">[1]data!$E$49</definedName>
    <definedName name="EIS_rate">data!$E$63</definedName>
    <definedName name="EMP" localSheetId="57">[1]EMP!$A$1</definedName>
    <definedName name="EMP">EMP!$A$1</definedName>
    <definedName name="EMP_A_IND">target!$A$85</definedName>
    <definedName name="EMP_B_IND">target!$A$89</definedName>
    <definedName name="EMP_RANGE">'C2'!$D$2:$T$23</definedName>
    <definedName name="ER_CGT_rate" localSheetId="57">[1]data!$E$59</definedName>
    <definedName name="ER_CGT_rate">data!$E$68</definedName>
    <definedName name="ER_rate_CGT" localSheetId="57">[1]IRCX_template!$I$54</definedName>
    <definedName name="ER_rate_CGT">IRCX_template!$I$60</definedName>
    <definedName name="Exps_Emp" localSheetId="57">[1]IRCX_template!$D$4</definedName>
    <definedName name="Exps_Emp">IRCX_template!$D$4</definedName>
    <definedName name="extended_BR" localSheetId="57">[1]IRCX_template!$D$37</definedName>
    <definedName name="extended_BR">IRCX_template!$D$34</definedName>
    <definedName name="extended_BR_fmt">data!$J$103</definedName>
    <definedName name="extended_BR_STp">IRCX_template!$D$37</definedName>
    <definedName name="FIN" localSheetId="57">'[1]REL(2)'!$A$15</definedName>
    <definedName name="FIN">'REL(2)'!$A$31</definedName>
    <definedName name="FOR" localSheetId="57">[1]FOR!$A$1</definedName>
    <definedName name="FOR">FOR!$A$1</definedName>
    <definedName name="FOR_3D_1">tc_template!$AU$9</definedName>
    <definedName name="FOR_43">FOR!$L$38</definedName>
    <definedName name="FOR_44">FOR!$P$32</definedName>
    <definedName name="FOR_45">FOR!$P$35</definedName>
    <definedName name="FOR_IND" localSheetId="57">[1]target!$A$129</definedName>
    <definedName name="FOR_IND">target!$A$129</definedName>
    <definedName name="FOR_RANGE">'C6'!$C$1:$M$132</definedName>
    <definedName name="foreign_dividends" localSheetId="57">[1]IRCX_template!$D$11</definedName>
    <definedName name="foreign_dividends">IRCX_template!$D$11</definedName>
    <definedName name="FPS" localSheetId="57">[1]PS!$A$16</definedName>
    <definedName name="FPS">PS!$A$16</definedName>
    <definedName name="FPS_RANGE">'C4'!$C$36:$N$120</definedName>
    <definedName name="FSE" localSheetId="57">[1]SE!$A$9</definedName>
    <definedName name="FSE">SE!$A$9</definedName>
    <definedName name="FSE_RANGE">'C3'!$C$43:$R$147</definedName>
    <definedName name="FTCR" localSheetId="57">[1]IRCX_template!$I$3</definedName>
    <definedName name="FTCR">IRCX_template!$I$2</definedName>
    <definedName name="FTCR_CLAIM">'C6'!$W$9</definedName>
    <definedName name="FTCR_run_1" localSheetId="57">FTCR_Calc!$B$32</definedName>
    <definedName name="FTCR_run_1">TCRWS!$B$32</definedName>
    <definedName name="FTCR_run_10" localSheetId="57">FTCR_Calc!$B$41</definedName>
    <definedName name="FTCR_run_10">TCRWS!$B$41</definedName>
    <definedName name="FTCR_run_2" localSheetId="57">FTCR_Calc!$B$33</definedName>
    <definedName name="FTCR_run_2">TCRWS!$B$33</definedName>
    <definedName name="FTCR_run_3" localSheetId="57">FTCR_Calc!$B$34</definedName>
    <definedName name="FTCR_run_3">TCRWS!$B$34</definedName>
    <definedName name="FTCR_run_4" localSheetId="57">FTCR_Calc!$B$35</definedName>
    <definedName name="FTCR_run_4">TCRWS!$B$35</definedName>
    <definedName name="FTCR_run_5" localSheetId="57">FTCR_Calc!$B$36</definedName>
    <definedName name="FTCR_run_5">TCRWS!$B$36</definedName>
    <definedName name="FTCR_run_6" localSheetId="57">FTCR_Calc!$B$37</definedName>
    <definedName name="FTCR_run_6">TCRWS!$B$37</definedName>
    <definedName name="FTCR_run_7" localSheetId="57">FTCR_Calc!$B$38</definedName>
    <definedName name="FTCR_run_7">TCRWS!$B$38</definedName>
    <definedName name="FTCR_run_8" localSheetId="57">FTCR_Calc!$B$39</definedName>
    <definedName name="FTCR_run_8">TCRWS!$B$39</definedName>
    <definedName name="FTCR_run_9" localSheetId="57">FTCR_Calc!$B$40</definedName>
    <definedName name="FTCR_run_9">TCRWS!$B$40</definedName>
    <definedName name="gift_aid" localSheetId="57">[1]data!$I$50</definedName>
    <definedName name="gift_aid">data!$I$55</definedName>
    <definedName name="Gift_aid_amount" localSheetId="57">[1]IRCX_template!$I$6</definedName>
    <definedName name="Gift_aid_amount">IRCX_template!$I$5</definedName>
    <definedName name="gift_aid_F" localSheetId="57">[1]data!$J$50</definedName>
    <definedName name="gift_aid_F">data!$J$55</definedName>
    <definedName name="Gift_aid_tax_due" localSheetId="57">[1]IRCX_template!$I$7</definedName>
    <definedName name="Gift_aid_tax_due">IRCX_template!$I$6</definedName>
    <definedName name="Gift_aid_tax_reduced" localSheetId="57">[1]IRCX_template!$I$11</definedName>
    <definedName name="Gift_aid_tax_reduced">IRCX_template!$I$12</definedName>
    <definedName name="gift_extender" localSheetId="57">[1]IRCX_template!$D$36</definedName>
    <definedName name="gift_extender">IRCX_template!$D$33</definedName>
    <definedName name="gift_extender_fmt">data!$J$102</definedName>
    <definedName name="Gross_By_22" localSheetId="57">[1]data!$I$47</definedName>
    <definedName name="Gross_By_22">data!$I$52</definedName>
    <definedName name="Gross_By_22_F" localSheetId="57">[1]data!$J$47</definedName>
    <definedName name="Gross_By_22_F">data!$J$52</definedName>
    <definedName name="H_MCA" localSheetId="57">[1]data!$E$101</definedName>
    <definedName name="H_MCA">data!$E$123</definedName>
    <definedName name="Hdiv_rate" localSheetId="57">[1]data!$E$51</definedName>
    <definedName name="Hdiv_rate">data!#REF!</definedName>
    <definedName name="HDR_gross">data!$I$51</definedName>
    <definedName name="HDR_gross_F">data!$J$51</definedName>
    <definedName name="Higher_rate_CGT" localSheetId="57">[1]IRCX_template!$I$58</definedName>
    <definedName name="Higher_rate_CGT">IRCX_template!$I$68</definedName>
    <definedName name="Higher_rate_CGT_RP_CI">IRCX_template!$I$64</definedName>
    <definedName name="HR_band" localSheetId="57">[1]data!$E$67</definedName>
    <definedName name="HR_band">data!$E$80</definedName>
    <definedName name="HR_case" localSheetId="57">'[1]tax it (c8)'!$D$59</definedName>
    <definedName name="HR_case">'tax it (c8)'!$D$84</definedName>
    <definedName name="HR_case_MAT">'Deductions (c4)'!$Q$281</definedName>
    <definedName name="HR_case_PSA">'Deductions (c4)'!$M$303</definedName>
    <definedName name="HR_gross">data!$I$50</definedName>
    <definedName name="HR_gross_F">data!$J$50</definedName>
    <definedName name="HR_limit_fmt">data!$J$104</definedName>
    <definedName name="HR_rate" localSheetId="57">[1]data!$E$53</definedName>
    <definedName name="HR_rate">data!$E$52</definedName>
    <definedName name="hr_tax_charge_on_CBC" localSheetId="57">[1]IRCX_template!$I$10</definedName>
    <definedName name="hr_tax_charge_on_CBC">IRCX_template!$I$10</definedName>
    <definedName name="HR_threshold" localSheetId="57">[1]data!$E$66</definedName>
    <definedName name="HR_threshold">data!$E$79</definedName>
    <definedName name="Hsave_rate">data!$E$52</definedName>
    <definedName name="in_year_rept">'Add pages'!$L$35</definedName>
    <definedName name="INC" localSheetId="57">'[1]INC(1)'!$A$11</definedName>
    <definedName name="INC">'INC(1)'!$A$15</definedName>
    <definedName name="INC_A_IND">target!$A$9</definedName>
    <definedName name="INC_A_RANGE">C0!$C$10:$AB$17</definedName>
    <definedName name="INC_B_IND">target!$A$13</definedName>
    <definedName name="INC_B_RANGE">C0!$C$19:$V$28</definedName>
    <definedName name="INC_C_IND">target!$A$17</definedName>
    <definedName name="INC_C_RANGE">C0!$C$30:$M$35</definedName>
    <definedName name="income_Case3" localSheetId="57">[1]IRCX_template!$D$13</definedName>
    <definedName name="income_Case3">IRCX_template!$D$13</definedName>
    <definedName name="income_CEG" localSheetId="57">[1]IRCX_template!$D$16</definedName>
    <definedName name="income_CEG">IRCX_template!$D$16</definedName>
    <definedName name="income_D" localSheetId="57">[1]IRCX_template!$D$7</definedName>
    <definedName name="income_D">IRCX_template!$D$7</definedName>
    <definedName name="income_D_PTR" localSheetId="57">[1]IRCX_template!$D$8</definedName>
    <definedName name="income_D_PTR">IRCX_template!$D$8</definedName>
    <definedName name="income_E" localSheetId="57">[1]IRCX_template!$D$5</definedName>
    <definedName name="income_E">IRCX_template!$D$5</definedName>
    <definedName name="Income_Excluded" localSheetId="57">[1]IRCX_template!$D$32</definedName>
    <definedName name="Income_Excluded">IRCX_template!$D$29</definedName>
    <definedName name="income_F" localSheetId="57">[1]IRCX_template!$D$14</definedName>
    <definedName name="income_F">IRCX_template!$D$14</definedName>
    <definedName name="income_Foreign" localSheetId="57">[1]IRCX_template!$D$10</definedName>
    <definedName name="income_Foreign">IRCX_template!$D$10</definedName>
    <definedName name="income_IFP" localSheetId="57">[1]IRCX_template!$D$9</definedName>
    <definedName name="income_IFP">IRCX_template!$D$9</definedName>
    <definedName name="income_Other" localSheetId="57">[1]IRCX_template!$D$17</definedName>
    <definedName name="income_Other">IRCX_template!$D$17</definedName>
    <definedName name="income_Pensions" localSheetId="57">[1]IRCX_template!$D$15</definedName>
    <definedName name="income_Pensions">IRCX_template!$D$15</definedName>
    <definedName name="income_Savings" localSheetId="54">IRCX_template!#REF!</definedName>
    <definedName name="income_Savings">IRCX_template!#REF!</definedName>
    <definedName name="income_Savings_taxfree">IRCX_template!$D$47</definedName>
    <definedName name="income_Shares" localSheetId="57">[1]IRCX_template!$D$6</definedName>
    <definedName name="income_Shares">IRCX_template!$D$6</definedName>
    <definedName name="income_Total" localSheetId="57">[1]IRCX_template!$D$18</definedName>
    <definedName name="income_Total">IRCX_template!$D$18</definedName>
    <definedName name="income_Trust" localSheetId="57">[1]IRCX_template!$D$12</definedName>
    <definedName name="income_Trust">IRCX_template!$D$12</definedName>
    <definedName name="IT_after_allces" localSheetId="57">[1]IRCX_template!$I$5</definedName>
    <definedName name="IT_after_allces">IRCX_template!$I$4</definedName>
    <definedName name="IT_after_div_tax_credits" localSheetId="57">[1]IRCX_template!$I$16</definedName>
    <definedName name="IT_after_div_tax_credits">IRCX_template!$I$17</definedName>
    <definedName name="IT_after_gift_aid" localSheetId="57">[1]IRCX_template!$I$12</definedName>
    <definedName name="IT_after_gift_aid">IRCX_template!$I$13</definedName>
    <definedName name="IT_plus_class4" localSheetId="57">[1]IRCX_template!$I$35</definedName>
    <definedName name="IT_plus_class4">IRCX_template!$I$38</definedName>
    <definedName name="item_1_ind" localSheetId="57">[1]FTCR!$R$11</definedName>
    <definedName name="item_1_ind">FTCR!$R$11</definedName>
    <definedName name="item_1_name">FTCR!$R$11</definedName>
    <definedName name="item_10_ind" localSheetId="57">[1]FTCR!$R$20</definedName>
    <definedName name="item_10_ind">FTCR!$R$20</definedName>
    <definedName name="item_2_ind" localSheetId="57">[1]FTCR!$R$12</definedName>
    <definedName name="item_2_ind">FTCR!$R$12</definedName>
    <definedName name="item_3_ind" localSheetId="57">[1]FTCR!$R$13</definedName>
    <definedName name="item_3_ind">FTCR!$R$13</definedName>
    <definedName name="item_4_ind" localSheetId="57">[1]FTCR!$R$14</definedName>
    <definedName name="item_4_ind">FTCR!$R$14</definedName>
    <definedName name="item_5_ind" localSheetId="57">[1]FTCR!$R$15</definedName>
    <definedName name="item_5_ind">FTCR!$R$15</definedName>
    <definedName name="item_6_ind" localSheetId="57">[1]FTCR!$R$16</definedName>
    <definedName name="item_6_ind">FTCR!$R$16</definedName>
    <definedName name="item_7_ind" localSheetId="57">[1]FTCR!$R$17</definedName>
    <definedName name="item_7_ind">FTCR!$R$17</definedName>
    <definedName name="item_8_ind" localSheetId="57">[1]FTCR!$R$18</definedName>
    <definedName name="item_8_ind">FTCR!$R$18</definedName>
    <definedName name="item_9_ind" localSheetId="57">[1]FTCR!$R$19</definedName>
    <definedName name="item_9_ind">FTCR!$R$19</definedName>
    <definedName name="Last_row">Library!$A$1</definedName>
    <definedName name="last_year" localSheetId="57">[1]data!$E$118</definedName>
    <definedName name="last_year">data!$E$140</definedName>
    <definedName name="Ldiv_rate" localSheetId="57">[1]data!$E$50</definedName>
    <definedName name="Ldiv_rate">data!$E$57</definedName>
    <definedName name="Llir_amount">IRCX_template!$D$80</definedName>
    <definedName name="Llir_amount_restricted">IRCX_template!$D$81</definedName>
    <definedName name="Llir_relief">IRCX_template!$D$82</definedName>
    <definedName name="Lower_CGT_rate" localSheetId="57">[1]data!$E$60</definedName>
    <definedName name="Lower_CGT_rate">data!$E$69</definedName>
    <definedName name="lower_CGT_rate_RP_CI">data!$E$71</definedName>
    <definedName name="Lower_rate_CGT" localSheetId="57">[1]IRCX_template!$I$56</definedName>
    <definedName name="Lower_rate_CGT">IRCX_template!$I$66</definedName>
    <definedName name="Lower_rate_CGT_RP_CI">IRCX_template!$I$62</definedName>
    <definedName name="LTA_lump" localSheetId="57">[1]data!$E$121</definedName>
    <definedName name="LTA_lump">data!$E$143</definedName>
    <definedName name="LTA_pension" localSheetId="57">[1]data!$E$122</definedName>
    <definedName name="LTA_pension">data!$E$144</definedName>
    <definedName name="LUN" localSheetId="57">[1]LUN!$A$1</definedName>
    <definedName name="LUN">LUN!$A$1</definedName>
    <definedName name="LUN_IND">target!$A$105</definedName>
    <definedName name="LUN_RANGE">'C3'!$C$149:$R$215</definedName>
    <definedName name="MA_transfer" localSheetId="57">'[1]REL(2)'!$N$26</definedName>
    <definedName name="MA_transfer">'REL(2)'!$N$26</definedName>
    <definedName name="man_mca_claim" localSheetId="57">[1]data!$D$143</definedName>
    <definedName name="man_mca_claim">data!$D$168</definedName>
    <definedName name="MAT_IN" localSheetId="57">'[1]REL(2)'!$N$31</definedName>
    <definedName name="MAT_IN">'REL(2)'!$N$31</definedName>
    <definedName name="MAT_Ind">target!$A$41</definedName>
    <definedName name="MAT_OUT" localSheetId="57">'[1]REL(2)'!$N$30</definedName>
    <definedName name="MAT_OUT">'REL(2)'!$N$30</definedName>
    <definedName name="MAT_RANGE">C0!$C$70:$J$78</definedName>
    <definedName name="MAT0">tc_template!$B$45</definedName>
    <definedName name="max_NIC" localSheetId="57">[1]data!$E$74</definedName>
    <definedName name="max_NIC">data!$E$96</definedName>
    <definedName name="MCA" localSheetId="57">[1]data!$E$99</definedName>
    <definedName name="MCA">data!$E$121</definedName>
    <definedName name="MCA_2" localSheetId="57">[1]data!$E$100</definedName>
    <definedName name="MCA_2">data!$E$122</definedName>
    <definedName name="MCA_amount" localSheetId="57">[1]IRCX_template!$D$69</definedName>
    <definedName name="MCA_amount">IRCX_template!$D$74</definedName>
    <definedName name="MCA_claim" localSheetId="57">[1]MCA!$F$5</definedName>
    <definedName name="MCA_claim">MCA!$F$5</definedName>
    <definedName name="MCA_CONTROL_RANGE">'C1'!$D$62:$N$69</definedName>
    <definedName name="MCA_IND" localSheetId="57">[1]target!$A$77</definedName>
    <definedName name="MCA_IND">target!$A$77</definedName>
    <definedName name="mca_not_claimed" localSheetId="57">[1]data!$D$142</definedName>
    <definedName name="mca_not_claimed">data!$D$167</definedName>
    <definedName name="MCA_RANGE">'C1'!$C$72:$P$83</definedName>
    <definedName name="MCA_relief" localSheetId="57">[1]IRCX_template!$D$70</definedName>
    <definedName name="MCA_relief">IRCX_template!$D$75</definedName>
    <definedName name="MCA_section">MCA!$A$1</definedName>
    <definedName name="MCA_split" localSheetId="57">[1]data!$D$147</definedName>
    <definedName name="MCA_split">data!$D$172</definedName>
    <definedName name="MCA_to_wife" localSheetId="57">[1]data!$D$148</definedName>
    <definedName name="MCA_to_wife">data!$D$173</definedName>
    <definedName name="MCA_year" localSheetId="57">[1]data!$E$111</definedName>
    <definedName name="MCA_year">data!$E$133</definedName>
    <definedName name="min_relevant_earns">data!$E$155</definedName>
    <definedName name="months_married" localSheetId="57">[1]MCA!$F$17</definedName>
    <definedName name="months_married">MCA!$F$17</definedName>
    <definedName name="months_not_married" localSheetId="57">[1]data!$D$152</definedName>
    <definedName name="months_not_married">data!$D$177</definedName>
    <definedName name="MOR" localSheetId="57">[1]MOR!$A$1</definedName>
    <definedName name="MOR">MOR!$A$1</definedName>
    <definedName name="MOR_IND">target!$A$93</definedName>
    <definedName name="MOR_RANGE">'C2'!$D$25:$T$64</definedName>
    <definedName name="MORE_SELECT_IND" localSheetId="57">[1]target!#REF!</definedName>
    <definedName name="MORE_SELECT_IND">target!$A$161</definedName>
    <definedName name="ND_limit">data!$E$106</definedName>
    <definedName name="next_year" localSheetId="57">[1]data!$E$117</definedName>
    <definedName name="next_year">data!$E$139</definedName>
    <definedName name="NI1_IND" localSheetId="57">[1]target!$A$121</definedName>
    <definedName name="NI1_IND">target!$A$121</definedName>
    <definedName name="NI1_RANGE">'C8C9C10'!$C$128:$Q$131</definedName>
    <definedName name="NI2_IND" localSheetId="57">[1]target!$A$117</definedName>
    <definedName name="NI2_IND">target!$A$117</definedName>
    <definedName name="NI2_RANGE">'C8C9C10'!$C$124:$Q$126</definedName>
    <definedName name="NIC_amount" localSheetId="57">[1]IRCX_template!$I$17</definedName>
    <definedName name="NIC_amount">IRCX_template!$I$18</definedName>
    <definedName name="NIC_Band" localSheetId="57">[1]data!$E$77</definedName>
    <definedName name="NIC_Band">data!$E$95</definedName>
    <definedName name="NIC_charge" localSheetId="57">[1]IRCX_template!$I$18</definedName>
    <definedName name="NIC_charge">IRCX_template!$I$19</definedName>
    <definedName name="NIC_ex_set">'More Select'!$A$21</definedName>
    <definedName name="NIC_exempt" localSheetId="57">[1]data!$D$169</definedName>
    <definedName name="NIC_exempt">data!$D$193</definedName>
    <definedName name="NIC_LEL" localSheetId="57">[1]data!$E$76</definedName>
    <definedName name="NIC_LEL">data!$E$94</definedName>
    <definedName name="NIC_PT_Wk">data!$E$92</definedName>
    <definedName name="NIC_rate" localSheetId="57">[1]data!$E$43</definedName>
    <definedName name="NIC_rate">data!$E$45</definedName>
    <definedName name="NIC_sup_amount" localSheetId="57">[1]IRCX_template!$I$19</definedName>
    <definedName name="NIC_sup_amount">IRCX_template!$I$20</definedName>
    <definedName name="NIC_sup_charge" localSheetId="57">[1]IRCX_template!$I$20</definedName>
    <definedName name="NIC_sup_charge">IRCX_template!$I$21</definedName>
    <definedName name="NIC_supp_rate" localSheetId="57">[1]data!$E$44</definedName>
    <definedName name="NIC_supp_rate">data!$E$46</definedName>
    <definedName name="NIC_total" localSheetId="57">[1]IRCX_template!$I$24</definedName>
    <definedName name="NIC_total">IRCX_template!$I$25</definedName>
    <definedName name="NIC_UEL" localSheetId="57">[1]data!$E$75</definedName>
    <definedName name="NIC_UEL">data!$E$93</definedName>
    <definedName name="NIC_UEL_Wk">data!$E$91</definedName>
    <definedName name="NIC_x" localSheetId="57">[1]data!$D$168</definedName>
    <definedName name="NIC_x">data!$D$192</definedName>
    <definedName name="NIC1_amount" localSheetId="57">[1]IRCX_template!$I$22</definedName>
    <definedName name="NIC1_amount">IRCX_template!$I$23</definedName>
    <definedName name="NIC1_rate" localSheetId="57">[1]data!$E$42</definedName>
    <definedName name="NIC1_rate">data!$E$44</definedName>
    <definedName name="NIC2_amount" localSheetId="57">[1]IRCX_template!$I$23</definedName>
    <definedName name="NIC2_amount">IRCX_template!$I$24</definedName>
    <definedName name="NIC2_annual_limit" localSheetId="57">[1]data!$E$70</definedName>
    <definedName name="NIC2_annual_limit">data!$E$87</definedName>
    <definedName name="NIC2_SPT" localSheetId="57">[1]data!$E$73</definedName>
    <definedName name="NIC2_SPT">data!$E$90</definedName>
    <definedName name="NIC2_v" localSheetId="57">[1]data!$D$171</definedName>
    <definedName name="NIC2_v">data!$D$195</definedName>
    <definedName name="NIC2_Vol">'More Select'!$A$23</definedName>
    <definedName name="NIC2_voluntary" localSheetId="57">[1]data!$D$172</definedName>
    <definedName name="NIC2_voluntary">data!$D$196</definedName>
    <definedName name="NIC2_weekamt" localSheetId="57">[1]data!$E$69</definedName>
    <definedName name="NIC2_weekamt">data!$E$86</definedName>
    <definedName name="NIC2_weekamt_Selected">NI!$O$23</definedName>
    <definedName name="NIC2SF_annual_limit">data!$E$89</definedName>
    <definedName name="NIC2SF_weekamt" localSheetId="57">[1]data!$E$71</definedName>
    <definedName name="NIC2SF_weekamt">data!$E$88</definedName>
    <definedName name="NIC4_amount" localSheetId="57">[1]IRCX_template!$I$21</definedName>
    <definedName name="NIC4_amount">IRCX_template!$I$22</definedName>
    <definedName name="No_of_for_gains" localSheetId="57">'[1]Multi-foreign-gains'!$O$16</definedName>
    <definedName name="No_of_for_gains">'Multi-foreign-gains'!$O$16</definedName>
    <definedName name="NON_DOM_Allowances" localSheetId="57">[1]NRD!$Q$16</definedName>
    <definedName name="NON_DOM_Allowances">NRD!$Q$16</definedName>
    <definedName name="NON_DOM_Charge" localSheetId="57">[1]NRD!$Q$17</definedName>
    <definedName name="NON_DOM_Charge">NRD!$Q$17</definedName>
    <definedName name="non_dom_charge_amount" localSheetId="57">[1]IRCX_template!$I$34</definedName>
    <definedName name="non_dom_charge_amount">IRCX_template!$I$35</definedName>
    <definedName name="non_resident" localSheetId="57">[1]NRD!$Q$6</definedName>
    <definedName name="non_resident">NRD!$Q$6</definedName>
    <definedName name="not_to_be_coded" localSheetId="57">'[1]REL(2)'!$N$29</definedName>
    <definedName name="not_to_be_coded">'REL(2)'!$N$29</definedName>
    <definedName name="notional_CEG" localSheetId="57">[1]IRCX_template!$D$73</definedName>
    <definedName name="notional_CEG">IRCX_template!$D$83</definedName>
    <definedName name="notional_other" localSheetId="57">[1]IRCX_template!$D$74</definedName>
    <definedName name="notional_other">IRCX_template!$D$84</definedName>
    <definedName name="notional_total">IRCX_template!$K$3</definedName>
    <definedName name="NRD" localSheetId="57">[1]NRD!$A$1</definedName>
    <definedName name="NRD">NRD!$A$1</definedName>
    <definedName name="NRD_IND" localSheetId="57">[1]target!$A$141</definedName>
    <definedName name="NRD_IND">target!$A$141</definedName>
    <definedName name="NRD_RANGE">'C8C9C10'!$C$58:$Q$102</definedName>
    <definedName name="NS_gross" localSheetId="57">[1]data!$I$44</definedName>
    <definedName name="NS_gross">data!$I$49</definedName>
    <definedName name="NS_gross_F" localSheetId="57">[1]data!$J$44</definedName>
    <definedName name="NS_gross_F">data!$J$49</definedName>
    <definedName name="OLD_BR" localSheetId="57">[1]data!$E$56</definedName>
    <definedName name="OLD_BR">data!$E$50</definedName>
    <definedName name="Older_spouse" localSheetId="57">[1]data!$D$150</definedName>
    <definedName name="Older_spouse">data!$D$175</definedName>
    <definedName name="OTC_rate">data!$E$154</definedName>
    <definedName name="Over_75" localSheetId="57">[1]data!$G$137</definedName>
    <definedName name="Over_75">data!$G$161</definedName>
    <definedName name="P_A" localSheetId="57">[1]data!$E$92</definedName>
    <definedName name="P_A">data!$E$112</definedName>
    <definedName name="PA_taper_limit" localSheetId="57">[1]data!$E$96</definedName>
    <definedName name="PA_taper_limit">data!$E$114</definedName>
    <definedName name="Pay_Emp" localSheetId="57">[1]IRCX_template!$D$2</definedName>
    <definedName name="Pay_Emp">IRCX_template!$D$2</definedName>
    <definedName name="PAYE_case" localSheetId="57">'[1]POAs (c13)'!$A$20</definedName>
    <definedName name="PAYE_case">'POAs (c13)'!$A$20</definedName>
    <definedName name="Pen_AA_limit" localSheetId="57">[1]data!$E$123</definedName>
    <definedName name="Pen_AA_limit">data!$E$145</definedName>
    <definedName name="Pen_AA_rate">data!$E$147</definedName>
    <definedName name="Pen_MPAA_limit" localSheetId="57">[1]data!$E$124</definedName>
    <definedName name="Pen_MPAA_limit">data!$E$146</definedName>
    <definedName name="Pen_Upayts" localSheetId="57">[1]data!$E$126</definedName>
    <definedName name="Pen_Upayts">data!$E$148</definedName>
    <definedName name="pens_tax_due">IRCX_template!$I$36</definedName>
    <definedName name="pens_tax_rel_due">IRCX_template!$I$37</definedName>
    <definedName name="Pension_charges" localSheetId="57">[1]IRCX_template!$I$30</definedName>
    <definedName name="Pension_charges">IRCX_template!$I$31</definedName>
    <definedName name="Pension_charges_gross" localSheetId="57">[1]IRCX_template!$I$28</definedName>
    <definedName name="Pension_charges_gross">IRCX_template!$I$29</definedName>
    <definedName name="Pension_charges_tax_paid" localSheetId="57">[1]IRCX_template!$I$29</definedName>
    <definedName name="Pension_charges_tax_paid">IRCX_template!$I$30</definedName>
    <definedName name="Pension_lump_sum_amount" localSheetId="57">[1]IRCX_template!$I$31</definedName>
    <definedName name="Pension_lump_sum_amount">IRCX_template!$I$32</definedName>
    <definedName name="Pension_lump_sum_rate" localSheetId="57">[1]IRCX_template!$I$32</definedName>
    <definedName name="Pension_lump_sum_rate">IRCX_template!$I$33</definedName>
    <definedName name="Pension_lump_sum_tax" localSheetId="57">[1]IRCX_template!$I$33</definedName>
    <definedName name="Pension_lump_sum_tax">IRCX_template!$I$34</definedName>
    <definedName name="POA_limit" localSheetId="57">[1]data!$E$82</definedName>
    <definedName name="POA_limit">data!$E$102</definedName>
    <definedName name="ppr_extender" localSheetId="57">[1]IRCX_template!$D$35</definedName>
    <definedName name="ppr_extender">IRCX_template!$D$32</definedName>
    <definedName name="ppr_extender_fmt">data!$J$101</definedName>
    <definedName name="_xlnm.Print_Area" localSheetId="12">'C3'!$C$2:$H$41</definedName>
    <definedName name="_xlnm.Print_Area" localSheetId="14">'C5'!$C$1:$J$65</definedName>
    <definedName name="PRO" localSheetId="57">[1]PRO!$A$1</definedName>
    <definedName name="PRO">PRO!$A$1</definedName>
    <definedName name="PRO_IND" localSheetId="57">[1]target!$A$125</definedName>
    <definedName name="PRO_IND">target!$A$125</definedName>
    <definedName name="PRO_RANGE">'C5'!$C$1:$P$66</definedName>
    <definedName name="PS_A_IND" localSheetId="57">[1]target!$A$109</definedName>
    <definedName name="PS_A_IND">target!$A$109</definedName>
    <definedName name="PS_B_IND" localSheetId="57">[1]target!$A$113</definedName>
    <definedName name="PS_B_IND">target!$A$113</definedName>
    <definedName name="PSA">'Deductions (c4)'!$M$326</definedName>
    <definedName name="PSA_AHR">data!$E$118</definedName>
    <definedName name="PSA_BR">data!$E$116</definedName>
    <definedName name="PSA_HR">data!$E$117</definedName>
    <definedName name="Q1AA">target!$A$10</definedName>
    <definedName name="RBC_Additional_ch" localSheetId="57">[1]data!$E$85</definedName>
    <definedName name="RBC_Additional_ch">data!$E$105</definedName>
    <definedName name="REL" localSheetId="57">'[1]REL(1)'!$A$2</definedName>
    <definedName name="REL">'REL(1)'!$A$2</definedName>
    <definedName name="REL_A_IND">target!$A$21</definedName>
    <definedName name="REL_A_RANGE">C0!$C$37:$M$41</definedName>
    <definedName name="REL_B_IND">target!$A$25</definedName>
    <definedName name="REL_B_RANGE">C0!$C$43:$M$51</definedName>
    <definedName name="REL_C_IND">target!$A$29</definedName>
    <definedName name="REL_C_RANGE">C0!$C$53:$J$57</definedName>
    <definedName name="relief_on_qual_distn" localSheetId="57">[1]IRCX_template!$I$4</definedName>
    <definedName name="relief_on_qual_distn">IRCX_template!$I$3</definedName>
    <definedName name="remit_basis" localSheetId="57">[1]NRD!$Q$10</definedName>
    <definedName name="remit_basis">NRD!$Q$10</definedName>
    <definedName name="Remit_set">'More Select'!$A$25</definedName>
    <definedName name="Res_non_dom_ch" localSheetId="57">[1]data!$E$83</definedName>
    <definedName name="Res_non_dom_ch">data!$E$103</definedName>
    <definedName name="Res_non_dom_High_ch" localSheetId="57">[1]data!$E$84</definedName>
    <definedName name="Res_non_dom_High_ch">data!$E$104</definedName>
    <definedName name="Residency_Status_in_UK">'INC(1)'!$I$8</definedName>
    <definedName name="Resident" localSheetId="57">[1]NRD!$Q$5</definedName>
    <definedName name="Resident">NRD!$Q$5</definedName>
    <definedName name="SA_E_tax" localSheetId="57">[1]IRCX_template!$I$39</definedName>
    <definedName name="SA_E_tax">IRCX_template!$I$42</definedName>
    <definedName name="SAHR_band">data!$E$83</definedName>
    <definedName name="SAHR_rate">data!$E$56</definedName>
    <definedName name="SavBR_band">data!$E$76</definedName>
    <definedName name="savings_gross" localSheetId="57">[1]data!$I$43</definedName>
    <definedName name="savings_gross">data!$I$48</definedName>
    <definedName name="savings_gross_F" localSheetId="57">[1]data!$J$43</definedName>
    <definedName name="savings_gross_F">data!$J$48</definedName>
    <definedName name="SB_rate">data!#REF!</definedName>
    <definedName name="SBR_band" localSheetId="57">[1]data!$E$64</definedName>
    <definedName name="SBR_band">data!$E$78</definedName>
    <definedName name="SBR_rate">data!$E$54</definedName>
    <definedName name="SCH_D_case">target!$B$2</definedName>
    <definedName name="SCH_E_case">target!$B$3</definedName>
    <definedName name="SE_A_IND">target!$A$97</definedName>
    <definedName name="SE_B_IND">target!$A$101</definedName>
    <definedName name="SEIS_rate" localSheetId="57">[1]data!$E$57</definedName>
    <definedName name="SEIS_rate">data!$E$64</definedName>
    <definedName name="SEIS_Relief" localSheetId="57">[1]IRCX_template!$D$65</definedName>
    <definedName name="SEIS_Relief">IRCX_template!$D$70</definedName>
    <definedName name="SELECTOR_IND" localSheetId="57">[1]target!#REF!</definedName>
    <definedName name="SELECTOR_IND">target!$A$157</definedName>
    <definedName name="SHR_band">data!$E$81</definedName>
    <definedName name="SHR_rate">data!$E$55</definedName>
    <definedName name="SITR" localSheetId="57">[1]IRCX_template!$D$67</definedName>
    <definedName name="SITR">IRCX_template!$D$72</definedName>
    <definedName name="SITR_rate" localSheetId="57">[1]data!$E$58</definedName>
    <definedName name="SITR_rate">data!$E$66</definedName>
    <definedName name="SL_case" localSheetId="57">'[1]REL(2)'!$N$12</definedName>
    <definedName name="SL_case">'REL(2)'!$N$12</definedName>
    <definedName name="SL_limit1">data!$E$97</definedName>
    <definedName name="SL_limit2">data!$E$98</definedName>
    <definedName name="SL_type">'REL(2)'!$N$13</definedName>
    <definedName name="SL_UIT" localSheetId="57">[1]data!$E$79</definedName>
    <definedName name="SL_UIT">data!$E$99</definedName>
    <definedName name="Sloan_rate">data!$E$47</definedName>
    <definedName name="SLR" localSheetId="57">'[1]REL(2)'!$A$7</definedName>
    <definedName name="SLR">'REL(2)'!$A$8</definedName>
    <definedName name="SLR_ind">target!$A$33</definedName>
    <definedName name="SLR_RANGE">C0!$C$59:$Q$63</definedName>
    <definedName name="SLSDB_rate" localSheetId="57">[1]data!$E$131</definedName>
    <definedName name="SLSDB_rate">data!$E$153</definedName>
    <definedName name="SMP" localSheetId="57">[1]data!$E$103</definedName>
    <definedName name="SMP">data!$E$125</definedName>
    <definedName name="SNil_rate">data!$E$49</definedName>
    <definedName name="spare_MCA_amount" localSheetId="57">[1]IRCX_template!$D$71</definedName>
    <definedName name="spare_MCA_amount">IRCX_template!$D$76</definedName>
    <definedName name="spare_MCA_relief" localSheetId="57">[1]IRCX_template!$D$72</definedName>
    <definedName name="spare_MCA_relief">IRCX_template!$D$77</definedName>
    <definedName name="SPS" localSheetId="57">[1]PS!$A$1</definedName>
    <definedName name="SPS">PS!$A$1</definedName>
    <definedName name="SPS_RANGE">'C4'!$C$2:$N$34</definedName>
    <definedName name="SR_band" localSheetId="57">[1]data!$E$63</definedName>
    <definedName name="SR_band">data!$E$75</definedName>
    <definedName name="SR_band_fmt">data!$J$105</definedName>
    <definedName name="SR_rate" localSheetId="57">[1]data!$E$46</definedName>
    <definedName name="SR_rate">data!$E$48</definedName>
    <definedName name="SSavBR_band">data!#REF!</definedName>
    <definedName name="SSE" localSheetId="57">[1]SE!$A$1</definedName>
    <definedName name="SSE">SE!$A$1</definedName>
    <definedName name="SSE_RANGE">'C3'!$C$2:$R$41</definedName>
    <definedName name="SSR_higher_rate" localSheetId="57">[1]data!$E$130</definedName>
    <definedName name="SSR_higher_rate">data!$E$152</definedName>
    <definedName name="SSR_lower_band" localSheetId="57">[1]data!$E$129</definedName>
    <definedName name="SSR_lower_band">data!$E$151</definedName>
    <definedName name="SSR_lower_rate" localSheetId="57">[1]data!$E$128</definedName>
    <definedName name="SSR_lower_rate">data!$E$150</definedName>
    <definedName name="Student_loan" localSheetId="57">[1]IRCX_template!$I$26</definedName>
    <definedName name="Student_loan">IRCX_template!$I$27</definedName>
    <definedName name="T_P_A" localSheetId="57">[1]data!$E$98</definedName>
    <definedName name="T_P_A">data!$E$120</definedName>
    <definedName name="tax_already_refunded" localSheetId="57">[1]IRCX_template!$I$65</definedName>
    <definedName name="tax_already_refunded">IRCX_template!$I$76</definedName>
    <definedName name="tax_charged" localSheetId="57">[1]IRCX_template!$D$60</definedName>
    <definedName name="tax_charged">IRCX_template!$D$65</definedName>
    <definedName name="Tax_credits_on_FOR_divs" localSheetId="57">[1]IRCX_template!$I$2</definedName>
    <definedName name="Tax_credits_on_FOR_divs">IRCX_template!#REF!</definedName>
    <definedName name="tax_on_divs_AHR" localSheetId="57">[1]IRCX_template!$D$57</definedName>
    <definedName name="tax_on_divs_AHR">IRCX_template!$D$62</definedName>
    <definedName name="tax_on_divs_BR" localSheetId="57">[1]IRCX_template!$D$53</definedName>
    <definedName name="tax_on_divs_BR">IRCX_template!$D$56</definedName>
    <definedName name="tax_on_divs_HR" localSheetId="57">[1]IRCX_template!$D$55</definedName>
    <definedName name="tax_on_divs_HR">IRCX_template!$D$59</definedName>
    <definedName name="tax_on_excluded_inc" localSheetId="57">[1]IRCX_template!$D$59</definedName>
    <definedName name="tax_on_excluded_inc">IRCX_template!$D$64</definedName>
    <definedName name="tax_on_gains_already_charged">IRCX_template!$I$73</definedName>
    <definedName name="tax_on_int_AHR" localSheetId="57">[1]IRCX_template!$D$51</definedName>
    <definedName name="tax_on_int_AHR">IRCX_template!$D$53</definedName>
    <definedName name="tax_on_int_BR" localSheetId="57">[1]IRCX_template!$D$47</definedName>
    <definedName name="tax_on_int_BR">IRCX_template!$D$49</definedName>
    <definedName name="tax_on_int_HR" localSheetId="57">[1]IRCX_template!$D$49</definedName>
    <definedName name="tax_on_int_HR">IRCX_template!$D$51</definedName>
    <definedName name="tax_on_int_SR" localSheetId="57">[1]IRCX_template!$D$45</definedName>
    <definedName name="tax_on_int_SR">IRCX_template!$D$46</definedName>
    <definedName name="tax_on_pay_AHR" localSheetId="57">[1]IRCX_template!$D$43</definedName>
    <definedName name="tax_on_pay_AHR">IRCX_template!$D$44</definedName>
    <definedName name="tax_on_pay_BR" localSheetId="57">[1]IRCX_template!$D$39</definedName>
    <definedName name="tax_on_pay_BR">IRCX_template!$D$40</definedName>
    <definedName name="tax_on_pay_HR" localSheetId="57">[1]IRCX_template!$D$41</definedName>
    <definedName name="tax_on_pay_HR">IRCX_template!$D$42</definedName>
    <definedName name="tax_paid_Case3" localSheetId="57">[1]IRCX_template!$I$46</definedName>
    <definedName name="tax_paid_Case3">IRCX_template!$I$49</definedName>
    <definedName name="tax_paid_CEG" localSheetId="57">[1]IRCX_template!$I$47</definedName>
    <definedName name="tax_paid_CEG">IRCX_template!$I$50</definedName>
    <definedName name="tax_paid_D" localSheetId="57">[1]IRCX_template!$I$40</definedName>
    <definedName name="tax_paid_D">IRCX_template!$I$43</definedName>
    <definedName name="tax_paid_D_PTR" localSheetId="57">[1]IRCX_template!$I$41</definedName>
    <definedName name="tax_paid_D_PTR">IRCX_template!$I$44</definedName>
    <definedName name="tax_paid_E" localSheetId="57">[1]IRCX_template!$I$36</definedName>
    <definedName name="tax_paid_E">IRCX_template!$I$39</definedName>
    <definedName name="tax_paid_Foreign" localSheetId="57">[1]IRCX_template!$I$43</definedName>
    <definedName name="tax_paid_Foreign">IRCX_template!$I$46</definedName>
    <definedName name="tax_paid_IFP" localSheetId="57">[1]IRCX_template!$I$42</definedName>
    <definedName name="tax_paid_IFP">IRCX_template!$I$45</definedName>
    <definedName name="tax_paid_Other" localSheetId="57">[1]IRCX_template!$I$48</definedName>
    <definedName name="tax_paid_Other">IRCX_template!$I$51</definedName>
    <definedName name="tax_paid_Overseas" localSheetId="57">[1]IRCX_template!$I$45</definedName>
    <definedName name="tax_paid_Overseas">IRCX_template!$I$48</definedName>
    <definedName name="tax_paid_Trust" localSheetId="57">[1]IRCX_template!$I$44</definedName>
    <definedName name="tax_paid_Trust">IRCX_template!$I$47</definedName>
    <definedName name="tax_year" localSheetId="57">[1]data!$E$116</definedName>
    <definedName name="tax_year">data!$E$138</definedName>
    <definedName name="Tax_year_end" localSheetId="57">[1]data!$E$113</definedName>
    <definedName name="Tax_year_end">data!$E$135</definedName>
    <definedName name="Tax_year_start" localSheetId="57">[1]data!$E$112</definedName>
    <definedName name="Tax_year_start">data!$E$134</definedName>
    <definedName name="Taxable_CG" localSheetId="57">[1]IRCX_template!$I$52</definedName>
    <definedName name="Taxable_CG">IRCX_template!$I$58</definedName>
    <definedName name="taxable_divs_AHR" localSheetId="57">[1]IRCX_template!$D$56</definedName>
    <definedName name="taxable_divs_AHR">IRCX_template!$D$61</definedName>
    <definedName name="taxable_divs_BR" localSheetId="57">[1]IRCX_template!$D$52</definedName>
    <definedName name="taxable_divs_BR">IRCX_template!$D$55</definedName>
    <definedName name="taxable_divs_HR" localSheetId="57">[1]IRCX_template!$D$54</definedName>
    <definedName name="taxable_divs_HR">IRCX_template!$D$58</definedName>
    <definedName name="taxable_income" localSheetId="57">[1]IRCX_template!$D$34</definedName>
    <definedName name="taxable_income">IRCX_template!$D$31</definedName>
    <definedName name="taxable_int_AHR" localSheetId="57">[1]IRCX_template!$D$50</definedName>
    <definedName name="taxable_int_AHR">IRCX_template!$D$52</definedName>
    <definedName name="taxable_int_BR" localSheetId="57">[1]IRCX_template!$D$46</definedName>
    <definedName name="taxable_int_BR">IRCX_template!$D$48</definedName>
    <definedName name="taxable_int_HR" localSheetId="57">[1]IRCX_template!$D$48</definedName>
    <definedName name="taxable_int_HR">IRCX_template!$D$50</definedName>
    <definedName name="taxable_int_SR" localSheetId="57">[1]IRCX_template!$D$44</definedName>
    <definedName name="taxable_int_SR">IRCX_template!$D$45</definedName>
    <definedName name="taxable_pay_AHR" localSheetId="57">[1]IRCX_template!$D$42</definedName>
    <definedName name="taxable_pay_AHR">IRCX_template!$D$43</definedName>
    <definedName name="taxable_pay_BR" localSheetId="57">[1]IRCX_template!$D$38</definedName>
    <definedName name="taxable_pay_BR">IRCX_template!$D$39</definedName>
    <definedName name="taxable_pay_HR" localSheetId="57">[1]IRCX_template!$D$40</definedName>
    <definedName name="taxable_pay_HR">IRCX_template!$D$41</definedName>
    <definedName name="Taxpayer_Reference" localSheetId="57">'[1]Add pages'!$F$5</definedName>
    <definedName name="Taxpayer_Reference">'Add pages'!$F$5</definedName>
    <definedName name="TCR_IND">target!$A$153</definedName>
    <definedName name="TCR_RANGE">'C6'!$O$8:$V$49</definedName>
    <definedName name="to_be_coded" localSheetId="57">'[1]REL(2)'!$N$30</definedName>
    <definedName name="to_be_coded">'REL(2)'!$N$30</definedName>
    <definedName name="total_all_gains" localSheetId="57">'[1]Multi-UK-gains'!$Q$20</definedName>
    <definedName name="total_all_gains">'Multi-UK-gains'!$Q$20</definedName>
    <definedName name="total_CG_due" localSheetId="57">[1]IRCX_template!$I$63</definedName>
    <definedName name="total_CG_due">IRCX_template!$I$74</definedName>
    <definedName name="Total_CGT_tax" localSheetId="57">[1]IRCX_template!$I$60</definedName>
    <definedName name="Total_CGT_tax">IRCX_template!$I$70</definedName>
    <definedName name="Total_IT_CG_class4_due" localSheetId="57">[1]IRCX_template!$I$64</definedName>
    <definedName name="Total_IT_CG_class4_due">IRCX_template!$I$75</definedName>
    <definedName name="Total_IT_class4_due" localSheetId="57">[1]IRCX_template!$I$51</definedName>
    <definedName name="Total_IT_class4_due">IRCX_template!$I$57</definedName>
    <definedName name="Total_tax_NIC_due">IRCX_template!$I$78</definedName>
    <definedName name="Total_tax_NIC_due_minus_MAT" localSheetId="57">[1]IRCX_template!$I$73</definedName>
    <definedName name="total_tax_NIC_nonres">IRCX_template!$I$56</definedName>
    <definedName name="total_tax_NIC_nonresS23">IRCX_template!$I$54</definedName>
    <definedName name="total_tax_NIC_nonresS811">IRCX_template!$I$55</definedName>
    <definedName name="total_tax_paid" localSheetId="57">[1]IRCX_template!$I$50</definedName>
    <definedName name="total_tax_paid">IRCX_template!$I$53</definedName>
    <definedName name="total_tcr" localSheetId="57">FTCR_Calc!$L$42</definedName>
    <definedName name="total_tcr">TCRWS!$L$42</definedName>
    <definedName name="tp_age_ind" localSheetId="57">'[1]INC(1)'!$G$5</definedName>
    <definedName name="tp_age_ind">'INC(1)'!$I$5</definedName>
    <definedName name="TRU" localSheetId="57">[1]TRU!$A$1</definedName>
    <definedName name="TRU">TRU!$A$1</definedName>
    <definedName name="TRU_IND" localSheetId="57">[1]target!$A$133</definedName>
    <definedName name="TRU_IND">target!$A$133</definedName>
    <definedName name="TRU_RANGE">'C7'!$C$1:$M$27</definedName>
    <definedName name="trust_div_gross" localSheetId="57">[1]data!$I$49</definedName>
    <definedName name="trust_div_gross">data!$I$54</definedName>
    <definedName name="trust_div_gross_F" localSheetId="57">[1]data!$J$49</definedName>
    <definedName name="trust_div_gross_F">data!$J$54</definedName>
    <definedName name="trust_div_gross_P">data!$L$54</definedName>
    <definedName name="trust_gross" localSheetId="57">[1]data!$I$48</definedName>
    <definedName name="trust_gross">data!$I$53</definedName>
    <definedName name="trust_gross_F" localSheetId="57">[1]data!$J$48</definedName>
    <definedName name="trust_gross_F">data!$J$53</definedName>
    <definedName name="TSR" localSheetId="57">[1]IRCX_template!$D$62</definedName>
    <definedName name="TSR">IRCX_template!$D$67</definedName>
    <definedName name="TSR_due">'TSR (c17)'!$A$46</definedName>
    <definedName name="UK_allowance_claim" localSheetId="57">[1]NRD!$Q$7</definedName>
    <definedName name="UK_allowance_claim">NRD!$Q$7</definedName>
    <definedName name="UK_FTCR" localSheetId="57">'[1]Tax adj (c9)'!$M$70</definedName>
    <definedName name="UK_FTCR">'Tax adj (c9)'!$M$98</definedName>
    <definedName name="unpaid_tax_bf" localSheetId="57">[1]IRCX_template!$I$66</definedName>
    <definedName name="unpaid_tax_bf">IRCX_template!$I$77</definedName>
    <definedName name="unpaid_tax_in_code" localSheetId="57">[1]IRCX_template!$I$25</definedName>
    <definedName name="unpaid_tax_in_code">IRCX_template!$I$26</definedName>
    <definedName name="Upayts_surcharge" localSheetId="57">[1]data!$E$127</definedName>
    <definedName name="Upayts_surcharge">data!$E$149</definedName>
    <definedName name="Upper_CGT_rate" localSheetId="57">[1]data!$E$61</definedName>
    <definedName name="Upper_CGT_rate">data!$E$70</definedName>
    <definedName name="upper_CGT_rate_RP_CI">data!$E$72</definedName>
    <definedName name="VCT" localSheetId="57">[1]IRCX_template!$D$63</definedName>
    <definedName name="VCT">IRCX_template!$D$68</definedName>
    <definedName name="VCT_rate" localSheetId="57">[1]data!$E$55</definedName>
    <definedName name="VCT_rate">data!$E$62</definedName>
    <definedName name="Wife_age_ind" localSheetId="57">[1]MCA!$F$9</definedName>
    <definedName name="Wife_age_ind">MCA!$F$9</definedName>
    <definedName name="wife_mca_claim" localSheetId="57">[1]data!$D$144</definedName>
    <definedName name="wife_mca_claim">data!$D$169</definedName>
    <definedName name="YPD" localSheetId="57">'[1]INC(1)'!$A$1</definedName>
    <definedName name="YPD">'INC(1)'!$A$1</definedName>
    <definedName name="YPD_IND">target!$A$5</definedName>
    <definedName name="YPD_RANGE">C0!$C$3:$N$8</definedName>
    <definedName name="YPD1">tc_template!$B$4</definedName>
    <definedName name="YPD2">tc_template!$B$5</definedName>
    <definedName name="YPD3">tc_template!$B$6</definedName>
    <definedName name="YPD4">tc_template!$B$7</definedName>
    <definedName name="YPDTR">tc_template!$B$8</definedName>
  </definedNames>
  <calcPr calcId="152511"/>
</workbook>
</file>

<file path=xl/calcChain.xml><?xml version="1.0" encoding="utf-8"?>
<calcChain xmlns="http://schemas.openxmlformats.org/spreadsheetml/2006/main">
  <c r="M65" i="465" l="1"/>
  <c r="N65" i="465"/>
  <c r="H79" i="442" l="1"/>
  <c r="L142" i="9" l="1"/>
  <c r="L139" i="9"/>
  <c r="C32" i="9"/>
  <c r="G138" i="463"/>
  <c r="G134" i="463"/>
  <c r="N140" i="463"/>
  <c r="N143" i="463" s="1"/>
  <c r="I42" i="491" l="1"/>
  <c r="J11" i="453" l="1"/>
  <c r="B4" i="491" l="1"/>
  <c r="W46" i="4" l="1"/>
  <c r="W47" i="4"/>
  <c r="K47" i="4" l="1"/>
  <c r="N148" i="381"/>
  <c r="B60" i="463" l="1"/>
  <c r="W20" i="473" s="1"/>
  <c r="B61" i="463"/>
  <c r="B62" i="463"/>
  <c r="B63" i="463"/>
  <c r="B64" i="463"/>
  <c r="B65" i="463"/>
  <c r="B66" i="463"/>
  <c r="B67" i="463"/>
  <c r="B68" i="463"/>
  <c r="B69" i="463"/>
  <c r="B70" i="463"/>
  <c r="B71" i="463"/>
  <c r="B72" i="463"/>
  <c r="B73" i="463"/>
  <c r="B74" i="463"/>
  <c r="B75" i="463"/>
  <c r="B76" i="463"/>
  <c r="B77" i="463"/>
  <c r="B78" i="463"/>
  <c r="B79" i="463"/>
  <c r="B80" i="463"/>
  <c r="B81" i="463"/>
  <c r="B82" i="463"/>
  <c r="B83" i="463"/>
  <c r="B84" i="463"/>
  <c r="B85" i="463"/>
  <c r="B86" i="463"/>
  <c r="B87" i="463"/>
  <c r="B88" i="463"/>
  <c r="B89" i="463"/>
  <c r="B90" i="463"/>
  <c r="B91" i="463"/>
  <c r="B92" i="463"/>
  <c r="B93" i="463"/>
  <c r="B94" i="463"/>
  <c r="B95" i="463"/>
  <c r="B96" i="463"/>
  <c r="B97" i="463"/>
  <c r="B98" i="463"/>
  <c r="B99" i="463"/>
  <c r="B100" i="463"/>
  <c r="B101" i="463"/>
  <c r="B102" i="463"/>
  <c r="B103" i="463"/>
  <c r="B104" i="463"/>
  <c r="B105" i="463"/>
  <c r="B106" i="463"/>
  <c r="B107" i="463"/>
  <c r="B108" i="463"/>
  <c r="B109" i="463"/>
  <c r="B110" i="463"/>
  <c r="B111" i="463"/>
  <c r="B112" i="463"/>
  <c r="B113" i="463"/>
  <c r="B114" i="463"/>
  <c r="B115" i="463"/>
  <c r="B116" i="463"/>
  <c r="B117" i="463"/>
  <c r="B118" i="463"/>
  <c r="B119" i="463"/>
  <c r="B120" i="463"/>
  <c r="B121" i="463"/>
  <c r="B122" i="463"/>
  <c r="B123" i="463"/>
  <c r="B124" i="463"/>
  <c r="B125" i="463"/>
  <c r="B126" i="463"/>
  <c r="B127" i="463"/>
  <c r="B128" i="463"/>
  <c r="B129" i="463"/>
  <c r="B130" i="463"/>
  <c r="B131" i="463"/>
  <c r="B132" i="463"/>
  <c r="B133" i="463"/>
  <c r="B134" i="463"/>
  <c r="B135" i="463"/>
  <c r="B136" i="463"/>
  <c r="B137" i="463"/>
  <c r="B138" i="463"/>
  <c r="B139" i="463"/>
  <c r="B140" i="463"/>
  <c r="B141" i="463"/>
  <c r="B142" i="463"/>
  <c r="B143" i="463"/>
  <c r="B146" i="463"/>
  <c r="B147" i="463"/>
  <c r="B12" i="463"/>
  <c r="T13" i="473" s="1"/>
  <c r="B13" i="463"/>
  <c r="T14" i="473" s="1"/>
  <c r="B14" i="463"/>
  <c r="B15" i="463"/>
  <c r="B16" i="463"/>
  <c r="B17" i="463"/>
  <c r="B18" i="463"/>
  <c r="B19" i="463"/>
  <c r="B20" i="463"/>
  <c r="B21" i="463"/>
  <c r="B22" i="463"/>
  <c r="B23" i="463"/>
  <c r="B24" i="463"/>
  <c r="B25" i="463"/>
  <c r="B26" i="463"/>
  <c r="B27" i="463"/>
  <c r="B28" i="463"/>
  <c r="B29" i="463"/>
  <c r="B30" i="463"/>
  <c r="B31" i="463"/>
  <c r="B32" i="463"/>
  <c r="B33" i="463"/>
  <c r="B34" i="463"/>
  <c r="B35" i="463"/>
  <c r="B36" i="463"/>
  <c r="B37" i="463"/>
  <c r="B38" i="463"/>
  <c r="B41" i="463"/>
  <c r="B83" i="468" l="1"/>
  <c r="BG28" i="473" s="1"/>
  <c r="B84" i="468"/>
  <c r="BG29" i="473" s="1"/>
  <c r="B85" i="468"/>
  <c r="BG30" i="473" s="1"/>
  <c r="B86" i="468"/>
  <c r="B87" i="468"/>
  <c r="B88" i="468"/>
  <c r="B89" i="468"/>
  <c r="B90" i="468"/>
  <c r="B91" i="468"/>
  <c r="B92" i="468"/>
  <c r="B93" i="468"/>
  <c r="B94" i="468"/>
  <c r="B95" i="468"/>
  <c r="B96" i="468"/>
  <c r="B97" i="468"/>
  <c r="B98" i="468"/>
  <c r="B99" i="468"/>
  <c r="B100" i="468"/>
  <c r="B101" i="468"/>
  <c r="B102" i="468"/>
  <c r="B76" i="466"/>
  <c r="AX5" i="473" s="1"/>
  <c r="B77" i="466"/>
  <c r="AX6" i="473" s="1"/>
  <c r="B78" i="466"/>
  <c r="B79" i="466"/>
  <c r="B80" i="466"/>
  <c r="B81" i="466"/>
  <c r="B82" i="466"/>
  <c r="B83" i="466"/>
  <c r="B84" i="466"/>
  <c r="B85" i="466"/>
  <c r="B86" i="466"/>
  <c r="B87" i="466"/>
  <c r="B88" i="466"/>
  <c r="B89" i="466"/>
  <c r="B90" i="466"/>
  <c r="B91" i="466"/>
  <c r="B92" i="466"/>
  <c r="B93" i="466"/>
  <c r="B94" i="466"/>
  <c r="B95" i="466"/>
  <c r="B96" i="466"/>
  <c r="B97" i="466"/>
  <c r="B98" i="466"/>
  <c r="B99" i="466"/>
  <c r="B100" i="466"/>
  <c r="B101" i="466"/>
  <c r="B102" i="466"/>
  <c r="B103" i="466"/>
  <c r="B104" i="466"/>
  <c r="B105" i="466"/>
  <c r="B106" i="466"/>
  <c r="B107" i="466"/>
  <c r="B108" i="466"/>
  <c r="B109" i="466"/>
  <c r="B110" i="466"/>
  <c r="B111" i="466"/>
  <c r="B112" i="466"/>
  <c r="B113" i="466"/>
  <c r="B114" i="466"/>
  <c r="B115" i="466"/>
  <c r="B116" i="466"/>
  <c r="B117" i="466"/>
  <c r="B118" i="466"/>
  <c r="B119" i="466"/>
  <c r="B120" i="466"/>
  <c r="B121" i="466"/>
  <c r="B122" i="466"/>
  <c r="B123" i="466"/>
  <c r="B124" i="466"/>
  <c r="B125" i="466"/>
  <c r="B126" i="466"/>
  <c r="B127" i="466"/>
  <c r="B128" i="466"/>
  <c r="B129" i="466"/>
  <c r="B130" i="466"/>
  <c r="B131" i="466"/>
  <c r="B132" i="466"/>
  <c r="B24" i="465"/>
  <c r="AR26" i="473" s="1"/>
  <c r="B25" i="465"/>
  <c r="AR27" i="473" s="1"/>
  <c r="B26" i="465"/>
  <c r="B27" i="465"/>
  <c r="B28" i="465"/>
  <c r="B29" i="465"/>
  <c r="B30" i="465"/>
  <c r="B31" i="465"/>
  <c r="B32" i="465"/>
  <c r="B33" i="465"/>
  <c r="B34" i="465"/>
  <c r="B35" i="465"/>
  <c r="B36" i="465"/>
  <c r="B37" i="465"/>
  <c r="B38" i="465"/>
  <c r="AR40" i="473" s="1"/>
  <c r="B39" i="465"/>
  <c r="AR41" i="473" s="1"/>
  <c r="B40" i="465"/>
  <c r="B41" i="465"/>
  <c r="AR43" i="473" s="1"/>
  <c r="B42" i="465"/>
  <c r="AR44" i="473" s="1"/>
  <c r="B43" i="465"/>
  <c r="B44" i="465"/>
  <c r="B45" i="465"/>
  <c r="B46" i="465"/>
  <c r="B47" i="465"/>
  <c r="B48" i="465"/>
  <c r="B49" i="465"/>
  <c r="B50" i="465"/>
  <c r="B51" i="465"/>
  <c r="B52" i="465"/>
  <c r="B53" i="465"/>
  <c r="B54" i="465"/>
  <c r="B55" i="465"/>
  <c r="B56" i="465"/>
  <c r="B57" i="465"/>
  <c r="B58" i="465"/>
  <c r="B59" i="465"/>
  <c r="B61" i="465"/>
  <c r="B64" i="465"/>
  <c r="B66" i="465"/>
  <c r="B7" i="465"/>
  <c r="AR9" i="473" s="1"/>
  <c r="B8" i="465"/>
  <c r="AR10" i="473" s="1"/>
  <c r="B9" i="465"/>
  <c r="B10" i="465"/>
  <c r="B11" i="465"/>
  <c r="B12" i="465"/>
  <c r="B13" i="465"/>
  <c r="B14" i="465"/>
  <c r="B15" i="465"/>
  <c r="B16" i="465"/>
  <c r="B17" i="465"/>
  <c r="B18" i="465"/>
  <c r="B19" i="465"/>
  <c r="B20" i="465"/>
  <c r="B21" i="465"/>
  <c r="B22" i="465"/>
  <c r="B23" i="465"/>
  <c r="M19" i="492" l="1"/>
  <c r="I19" i="492"/>
  <c r="S3" i="462" l="1"/>
  <c r="P140" i="391" l="1"/>
  <c r="J15" i="453" l="1"/>
  <c r="S91" i="48"/>
  <c r="J14" i="453"/>
  <c r="B7" i="48"/>
  <c r="K63" i="441" l="1"/>
  <c r="F60" i="441"/>
  <c r="F28" i="441"/>
  <c r="K45" i="441"/>
  <c r="F42" i="441"/>
  <c r="S117" i="48" l="1"/>
  <c r="G25" i="4" l="1"/>
  <c r="F160" i="381"/>
  <c r="F162" i="381"/>
  <c r="AD98" i="381"/>
  <c r="L22" i="47" l="1"/>
  <c r="B4" i="48"/>
  <c r="B5" i="48"/>
  <c r="I41" i="491" l="1"/>
  <c r="F38" i="491"/>
  <c r="F29" i="491"/>
  <c r="F20" i="491"/>
  <c r="F73" i="491"/>
  <c r="E74" i="491"/>
  <c r="C80" i="435" s="1"/>
  <c r="E30" i="491"/>
  <c r="E21" i="491"/>
  <c r="F30" i="491"/>
  <c r="L31" i="491"/>
  <c r="L23" i="491"/>
  <c r="F10" i="491"/>
  <c r="F11" i="491"/>
  <c r="F21" i="491"/>
  <c r="N150" i="381" l="1"/>
  <c r="N147" i="381"/>
  <c r="R72" i="381" l="1"/>
  <c r="R59" i="381"/>
  <c r="AA14" i="458" l="1"/>
  <c r="AA12" i="458"/>
  <c r="N145" i="381" l="1"/>
  <c r="N143" i="381"/>
  <c r="H8" i="435" l="1"/>
  <c r="G114" i="7"/>
  <c r="L34" i="491" l="1"/>
  <c r="L26" i="491"/>
  <c r="I52" i="464" l="1"/>
  <c r="K56" i="464"/>
  <c r="K54" i="464"/>
  <c r="K52" i="464"/>
  <c r="B78" i="464"/>
  <c r="B79" i="464"/>
  <c r="B80" i="464"/>
  <c r="B81" i="464"/>
  <c r="B82" i="464"/>
  <c r="B83" i="464"/>
  <c r="B84" i="464"/>
  <c r="B85" i="464"/>
  <c r="B86" i="464"/>
  <c r="B87" i="464"/>
  <c r="B88" i="464"/>
  <c r="B89" i="464"/>
  <c r="B90" i="464"/>
  <c r="B91" i="464"/>
  <c r="B92" i="464"/>
  <c r="B93" i="464"/>
  <c r="B94" i="464"/>
  <c r="B95" i="464"/>
  <c r="B96" i="464"/>
  <c r="B97" i="464"/>
  <c r="B98" i="464"/>
  <c r="B99" i="464"/>
  <c r="B100" i="464"/>
  <c r="B101" i="464"/>
  <c r="B102" i="464"/>
  <c r="B103" i="464"/>
  <c r="O63" i="465"/>
  <c r="O60" i="465"/>
  <c r="O65" i="465" s="1"/>
  <c r="O36" i="465"/>
  <c r="O35" i="465"/>
  <c r="O33" i="465"/>
  <c r="O19" i="465"/>
  <c r="O16" i="465"/>
  <c r="O18" i="465" s="1"/>
  <c r="O62" i="465" l="1"/>
  <c r="N139" i="381" l="1"/>
  <c r="R23" i="458"/>
  <c r="S24" i="458"/>
  <c r="T24" i="458"/>
  <c r="U24" i="458"/>
  <c r="S26" i="458"/>
  <c r="T26" i="458"/>
  <c r="U26" i="458"/>
  <c r="Y14" i="458" l="1"/>
  <c r="Y12" i="458"/>
  <c r="S4" i="462" l="1"/>
  <c r="R3" i="462"/>
  <c r="Q3" i="462"/>
  <c r="Q4" i="462" s="1"/>
  <c r="J33" i="458"/>
  <c r="X14" i="458"/>
  <c r="W14" i="458"/>
  <c r="X12" i="458"/>
  <c r="W12" i="458"/>
  <c r="V26" i="458" l="1"/>
  <c r="R26" i="458"/>
  <c r="Q26" i="458"/>
  <c r="P26" i="458"/>
  <c r="V24" i="458"/>
  <c r="R24" i="458"/>
  <c r="Q24" i="458"/>
  <c r="P24" i="458"/>
  <c r="N111" i="463" l="1"/>
  <c r="N110" i="463"/>
  <c r="N101" i="463"/>
  <c r="N92" i="463"/>
  <c r="N91" i="463"/>
  <c r="N108" i="463" s="1"/>
  <c r="N52" i="463"/>
  <c r="N51" i="463"/>
  <c r="N117" i="463" l="1"/>
  <c r="N120" i="463" s="1"/>
  <c r="N109" i="463"/>
  <c r="N121" i="463" s="1"/>
  <c r="E60" i="465"/>
  <c r="F60" i="465"/>
  <c r="G60" i="465"/>
  <c r="H60" i="465"/>
  <c r="I60" i="465"/>
  <c r="J60" i="465"/>
  <c r="L60" i="465"/>
  <c r="B60" i="465" s="1"/>
  <c r="M60" i="465"/>
  <c r="N60" i="465"/>
  <c r="K60" i="465"/>
  <c r="B74" i="466"/>
  <c r="B4" i="466"/>
  <c r="B5" i="466"/>
  <c r="B6" i="466"/>
  <c r="B7" i="466"/>
  <c r="B8" i="466"/>
  <c r="B9" i="466"/>
  <c r="B10" i="466"/>
  <c r="B11" i="466"/>
  <c r="B12" i="466"/>
  <c r="B13" i="466"/>
  <c r="B14" i="466"/>
  <c r="B15" i="466"/>
  <c r="B16" i="466"/>
  <c r="B17" i="466"/>
  <c r="B18" i="466"/>
  <c r="B19" i="466"/>
  <c r="B20" i="466"/>
  <c r="B21" i="466"/>
  <c r="B22" i="466"/>
  <c r="B23" i="466"/>
  <c r="B24" i="466"/>
  <c r="B25" i="466"/>
  <c r="B26" i="466"/>
  <c r="B27" i="466"/>
  <c r="B28" i="466"/>
  <c r="B29" i="466"/>
  <c r="B30" i="466"/>
  <c r="B31" i="466"/>
  <c r="B32" i="466"/>
  <c r="B33" i="466"/>
  <c r="B34" i="466"/>
  <c r="B35" i="466"/>
  <c r="B36" i="466"/>
  <c r="B37" i="466"/>
  <c r="B38" i="466"/>
  <c r="B39" i="466"/>
  <c r="B40" i="466"/>
  <c r="B41" i="466"/>
  <c r="B42" i="466"/>
  <c r="B43" i="466"/>
  <c r="B44" i="466"/>
  <c r="B45" i="466"/>
  <c r="B46" i="466"/>
  <c r="B47" i="466"/>
  <c r="B48" i="466"/>
  <c r="B49" i="466"/>
  <c r="B50" i="466"/>
  <c r="B51" i="466"/>
  <c r="B52" i="466"/>
  <c r="B53" i="466"/>
  <c r="B54" i="466"/>
  <c r="B55" i="466"/>
  <c r="B56" i="466"/>
  <c r="B57" i="466"/>
  <c r="B58" i="466"/>
  <c r="B59" i="466"/>
  <c r="B60" i="466"/>
  <c r="B61" i="466"/>
  <c r="B62" i="466"/>
  <c r="B63" i="466"/>
  <c r="B64" i="466"/>
  <c r="B65" i="466"/>
  <c r="B66" i="466"/>
  <c r="B67" i="466"/>
  <c r="B68" i="466"/>
  <c r="B69" i="466"/>
  <c r="B70" i="466"/>
  <c r="B71" i="466"/>
  <c r="B72" i="466"/>
  <c r="B73" i="466"/>
  <c r="B75" i="466"/>
  <c r="K105" i="463"/>
  <c r="M101" i="463"/>
  <c r="K101" i="463"/>
  <c r="J101" i="463"/>
  <c r="F101" i="463"/>
  <c r="G101" i="463"/>
  <c r="H101" i="463"/>
  <c r="E101" i="463"/>
  <c r="G160" i="463"/>
  <c r="H160" i="463"/>
  <c r="I160" i="463"/>
  <c r="J160" i="463"/>
  <c r="F160" i="463"/>
  <c r="L38" i="458" l="1"/>
  <c r="N120" i="381" l="1"/>
  <c r="N124" i="381"/>
  <c r="N122" i="381"/>
  <c r="R65" i="381" l="1"/>
  <c r="M274" i="3" l="1"/>
  <c r="I274" i="3"/>
  <c r="R66" i="381"/>
  <c r="G17" i="4" l="1"/>
  <c r="J169" i="392" l="1"/>
  <c r="M275" i="3"/>
  <c r="I275" i="3"/>
  <c r="N35" i="381" l="1"/>
  <c r="N32" i="381"/>
  <c r="N29" i="381"/>
  <c r="J35" i="381"/>
  <c r="J34" i="381"/>
  <c r="F21" i="2" l="1"/>
  <c r="L54" i="491"/>
  <c r="L50" i="491"/>
  <c r="F39" i="491"/>
  <c r="K157" i="442"/>
  <c r="AH111" i="381"/>
  <c r="J84" i="381"/>
  <c r="M17" i="492"/>
  <c r="I17" i="492"/>
  <c r="V98" i="381"/>
  <c r="V46" i="381"/>
  <c r="V34" i="381"/>
  <c r="J112" i="381"/>
  <c r="F74" i="491" l="1"/>
  <c r="D80" i="435" s="1"/>
  <c r="M267" i="3"/>
  <c r="Q276" i="3"/>
  <c r="M278" i="3"/>
  <c r="M276" i="3"/>
  <c r="M270" i="3"/>
  <c r="E276" i="3"/>
  <c r="S51" i="48" l="1"/>
  <c r="S45" i="48"/>
  <c r="S25" i="48"/>
  <c r="S22" i="48"/>
  <c r="S20" i="48"/>
  <c r="H109" i="442" l="1"/>
  <c r="F62" i="47" l="1"/>
  <c r="G18" i="391"/>
  <c r="L145" i="9"/>
  <c r="L143" i="9"/>
  <c r="L140" i="9"/>
  <c r="I110" i="9"/>
  <c r="J85" i="6"/>
  <c r="J86" i="6"/>
  <c r="G63" i="6"/>
  <c r="G64" i="6"/>
  <c r="Q127" i="3" l="1"/>
  <c r="M160" i="375" l="1"/>
  <c r="AH112" i="381" l="1"/>
  <c r="Z99" i="381"/>
  <c r="Z98" i="381"/>
  <c r="Z7" i="381"/>
  <c r="N84" i="381"/>
  <c r="AH80" i="381" l="1"/>
  <c r="I33" i="47" l="1"/>
  <c r="F5" i="47" l="1"/>
  <c r="F4" i="47"/>
  <c r="N33" i="48" l="1"/>
  <c r="D15" i="48"/>
  <c r="F13" i="381"/>
  <c r="N126" i="381"/>
  <c r="B130" i="468" l="1"/>
  <c r="Q43" i="473" s="1"/>
  <c r="B131" i="468"/>
  <c r="BJ30" i="473" s="1"/>
  <c r="O131" i="468"/>
  <c r="S119" i="48"/>
  <c r="N119" i="48"/>
  <c r="B29" i="48"/>
  <c r="K145" i="442"/>
  <c r="B76" i="375"/>
  <c r="B25" i="375"/>
  <c r="B9" i="391"/>
  <c r="O33" i="4"/>
  <c r="G47" i="4"/>
  <c r="V79" i="381"/>
  <c r="V80" i="381"/>
  <c r="R106" i="381"/>
  <c r="N155" i="381" l="1"/>
  <c r="N153" i="381"/>
  <c r="N114" i="381"/>
  <c r="Z54" i="381"/>
  <c r="Z16" i="381"/>
  <c r="C37" i="451" l="1"/>
  <c r="R32" i="48"/>
  <c r="R92" i="48"/>
  <c r="R81" i="48"/>
  <c r="R78" i="48"/>
  <c r="R58" i="48"/>
  <c r="S77" i="48"/>
  <c r="Q78" i="48"/>
  <c r="E64" i="6"/>
  <c r="S80" i="48"/>
  <c r="B71" i="48"/>
  <c r="C39" i="451"/>
  <c r="H92" i="48"/>
  <c r="B88" i="48"/>
  <c r="B85" i="48"/>
  <c r="I87" i="48"/>
  <c r="I84" i="48"/>
  <c r="H85" i="48"/>
  <c r="H88" i="48"/>
  <c r="H81" i="48" l="1"/>
  <c r="H78" i="48"/>
  <c r="H75" i="48"/>
  <c r="H71" i="48"/>
  <c r="C64" i="48"/>
  <c r="D63" i="48" l="1"/>
  <c r="N91" i="48"/>
  <c r="B81" i="48"/>
  <c r="E28" i="451"/>
  <c r="B78" i="48"/>
  <c r="E25" i="451"/>
  <c r="B75" i="48"/>
  <c r="E22" i="451"/>
  <c r="I80" i="48"/>
  <c r="I77" i="48"/>
  <c r="I74" i="48"/>
  <c r="H3" i="451"/>
  <c r="AH99" i="381"/>
  <c r="R75" i="381"/>
  <c r="R73" i="381"/>
  <c r="Q71" i="381"/>
  <c r="R69" i="381"/>
  <c r="R67" i="381"/>
  <c r="C60" i="435"/>
  <c r="C57" i="435"/>
  <c r="C54" i="435"/>
  <c r="H55" i="435"/>
  <c r="H54" i="435"/>
  <c r="B73" i="454"/>
  <c r="Q81" i="48" l="1"/>
  <c r="E63" i="6"/>
  <c r="N141" i="381"/>
  <c r="M125" i="381"/>
  <c r="M123" i="381"/>
  <c r="M119" i="381"/>
  <c r="N137" i="381" l="1"/>
  <c r="F75" i="454" l="1"/>
  <c r="I92" i="454"/>
  <c r="I88" i="454"/>
  <c r="K143" i="442" l="1"/>
  <c r="E149" i="442"/>
  <c r="E146" i="442" l="1"/>
  <c r="F16" i="47" l="1"/>
  <c r="G6" i="453"/>
  <c r="G5" i="453"/>
  <c r="E112" i="3"/>
  <c r="M91" i="3"/>
  <c r="M90" i="3"/>
  <c r="E84" i="3"/>
  <c r="Q71" i="3"/>
  <c r="Q56" i="3"/>
  <c r="Q40" i="3"/>
  <c r="M71" i="3"/>
  <c r="M56" i="3"/>
  <c r="M40" i="3"/>
  <c r="K130" i="442"/>
  <c r="B105" i="457"/>
  <c r="B106" i="457"/>
  <c r="B107" i="457"/>
  <c r="B108" i="457"/>
  <c r="B109" i="457"/>
  <c r="B97" i="457"/>
  <c r="K28" i="473" s="1"/>
  <c r="B98" i="457"/>
  <c r="K29" i="473" s="1"/>
  <c r="B99" i="457"/>
  <c r="B100" i="457"/>
  <c r="B101" i="457"/>
  <c r="B102" i="457"/>
  <c r="B103" i="457"/>
  <c r="O81" i="424"/>
  <c r="J81" i="424"/>
  <c r="I81" i="424"/>
  <c r="K81" i="442"/>
  <c r="H82" i="442"/>
  <c r="K79" i="442"/>
  <c r="K84" i="442"/>
  <c r="K78" i="442"/>
  <c r="H81" i="442"/>
  <c r="H78" i="442"/>
  <c r="C29" i="445"/>
  <c r="D29" i="445"/>
  <c r="C26" i="445"/>
  <c r="J79" i="442"/>
  <c r="G82" i="442"/>
  <c r="J82" i="442"/>
  <c r="J85" i="442"/>
  <c r="G79" i="442"/>
  <c r="J84" i="424" l="1"/>
  <c r="I84" i="424"/>
  <c r="K82" i="442"/>
  <c r="K85" i="442" s="1"/>
  <c r="Q105" i="381" l="1"/>
  <c r="Q103" i="381"/>
  <c r="W37" i="4" l="1"/>
  <c r="W26" i="4"/>
  <c r="D7" i="485" l="1"/>
  <c r="D8" i="485"/>
  <c r="J68" i="7"/>
  <c r="J69" i="7"/>
  <c r="J70" i="7"/>
  <c r="J72" i="7"/>
  <c r="H122" i="2"/>
  <c r="H204" i="442" l="1"/>
  <c r="H202" i="442"/>
  <c r="H199" i="442"/>
  <c r="F66" i="375" l="1"/>
  <c r="F65" i="375"/>
  <c r="F56" i="375"/>
  <c r="F57" i="375"/>
  <c r="C36" i="435" l="1"/>
  <c r="C33" i="435"/>
  <c r="C35" i="435"/>
  <c r="C32" i="435"/>
  <c r="C38" i="435"/>
  <c r="C34" i="435"/>
  <c r="E21" i="492" l="1"/>
  <c r="L169" i="489"/>
  <c r="L168" i="489"/>
  <c r="L167" i="489"/>
  <c r="L171" i="49"/>
  <c r="L170" i="49"/>
  <c r="L169" i="49"/>
  <c r="H56" i="435"/>
  <c r="I55" i="435"/>
  <c r="I54" i="435"/>
  <c r="J168" i="489" l="1"/>
  <c r="J170" i="49"/>
  <c r="J167" i="489"/>
  <c r="J169" i="49"/>
  <c r="I18" i="453"/>
  <c r="D105" i="48"/>
  <c r="S90" i="48"/>
  <c r="R26" i="48"/>
  <c r="I25" i="48"/>
  <c r="I22" i="48"/>
  <c r="H26" i="48"/>
  <c r="B26" i="48"/>
  <c r="B23" i="48"/>
  <c r="S54" i="4"/>
  <c r="G54" i="4"/>
  <c r="S46" i="4"/>
  <c r="B10" i="492"/>
  <c r="B11" i="492"/>
  <c r="B190" i="3"/>
  <c r="B191" i="3"/>
  <c r="S93" i="48" l="1"/>
  <c r="J17" i="453"/>
  <c r="Z113" i="424"/>
  <c r="Y113" i="424"/>
  <c r="AL56" i="473"/>
  <c r="Q116" i="424"/>
  <c r="AO16" i="473"/>
  <c r="B105" i="464"/>
  <c r="B106" i="464"/>
  <c r="B108" i="464"/>
  <c r="B109" i="464"/>
  <c r="B110" i="464"/>
  <c r="B111" i="464"/>
  <c r="B112" i="464"/>
  <c r="B113" i="464"/>
  <c r="B114" i="464"/>
  <c r="B115" i="464"/>
  <c r="B117" i="464"/>
  <c r="B118" i="464"/>
  <c r="B119" i="464"/>
  <c r="B120" i="464"/>
  <c r="AL46" i="473"/>
  <c r="AO17" i="473"/>
  <c r="AL45" i="473"/>
  <c r="M129" i="424"/>
  <c r="W129" i="424"/>
  <c r="M132" i="424"/>
  <c r="L132" i="424"/>
  <c r="S132" i="424"/>
  <c r="Z116" i="424" l="1"/>
  <c r="N116" i="424"/>
  <c r="R116" i="424"/>
  <c r="Y116" i="424"/>
  <c r="AU77" i="473"/>
  <c r="L25" i="491"/>
  <c r="L33" i="491"/>
  <c r="K50" i="491" l="1"/>
  <c r="K45" i="491"/>
  <c r="L49" i="491"/>
  <c r="G37" i="95"/>
  <c r="L53" i="491"/>
  <c r="K80" i="491"/>
  <c r="K77" i="491"/>
  <c r="H71" i="491"/>
  <c r="H68" i="491"/>
  <c r="H65" i="491"/>
  <c r="L79" i="491" l="1"/>
  <c r="Q100" i="381"/>
  <c r="Q81" i="381"/>
  <c r="Q77" i="381"/>
  <c r="Q64" i="381"/>
  <c r="R102" i="381" l="1"/>
  <c r="W20" i="4"/>
  <c r="W19" i="4"/>
  <c r="K20" i="4"/>
  <c r="D30" i="382" l="1"/>
  <c r="H8" i="382" l="1"/>
  <c r="Q111" i="381" l="1"/>
  <c r="R112" i="381" s="1"/>
  <c r="G19" i="468" l="1"/>
  <c r="F19" i="468"/>
  <c r="K19" i="468"/>
  <c r="E16" i="492" l="1"/>
  <c r="D281" i="3" l="1"/>
  <c r="H281" i="3"/>
  <c r="I278" i="3"/>
  <c r="I276" i="3"/>
  <c r="E279" i="3" l="1"/>
  <c r="E277" i="3"/>
  <c r="M29" i="492" l="1"/>
  <c r="H12" i="382"/>
  <c r="L184" i="3"/>
  <c r="H184" i="3"/>
  <c r="D184" i="3"/>
  <c r="E27" i="492"/>
  <c r="L31" i="492"/>
  <c r="H31" i="492"/>
  <c r="D31" i="492"/>
  <c r="AC100" i="381"/>
  <c r="U103" i="381"/>
  <c r="U100" i="381"/>
  <c r="U93" i="381"/>
  <c r="U81" i="381"/>
  <c r="V102" i="381" s="1"/>
  <c r="M94" i="381"/>
  <c r="M91" i="381"/>
  <c r="N92" i="381" s="1"/>
  <c r="M88" i="381"/>
  <c r="M85" i="381"/>
  <c r="N86" i="381" s="1"/>
  <c r="I91" i="381"/>
  <c r="I88" i="381"/>
  <c r="I85" i="381"/>
  <c r="J86" i="381" s="1"/>
  <c r="M100" i="381"/>
  <c r="M74" i="381"/>
  <c r="AG55" i="381"/>
  <c r="Y55" i="381"/>
  <c r="Q55" i="381"/>
  <c r="Z80" i="381" s="1"/>
  <c r="E55" i="381"/>
  <c r="R52" i="381" l="1"/>
  <c r="Z53" i="381"/>
  <c r="H22" i="382"/>
  <c r="I29" i="492"/>
  <c r="H14" i="382"/>
  <c r="H30" i="382"/>
  <c r="E29" i="492"/>
  <c r="I27" i="492"/>
  <c r="M27" i="492"/>
  <c r="N98" i="381"/>
  <c r="N96" i="381"/>
  <c r="B284" i="474" l="1"/>
  <c r="B278" i="474"/>
  <c r="B277" i="474"/>
  <c r="L21" i="492" l="1"/>
  <c r="H21" i="492"/>
  <c r="D21" i="492"/>
  <c r="E19" i="492"/>
  <c r="M16" i="492"/>
  <c r="F24" i="441" l="1"/>
  <c r="B21" i="441"/>
  <c r="B12" i="492"/>
  <c r="I26" i="492"/>
  <c r="B14" i="492"/>
  <c r="M26" i="492"/>
  <c r="E26" i="492"/>
  <c r="I16" i="492"/>
  <c r="E17" i="492"/>
  <c r="E284" i="492"/>
  <c r="L333" i="3"/>
  <c r="V65" i="4"/>
  <c r="R65" i="4"/>
  <c r="N65" i="4"/>
  <c r="D61" i="382" s="1"/>
  <c r="J65" i="4"/>
  <c r="D47" i="382" s="1"/>
  <c r="F65" i="4"/>
  <c r="V61" i="4"/>
  <c r="R61" i="4"/>
  <c r="N61" i="4"/>
  <c r="J61" i="4"/>
  <c r="F61" i="4"/>
  <c r="N59" i="4"/>
  <c r="N57" i="4"/>
  <c r="V55" i="4"/>
  <c r="R55" i="4"/>
  <c r="N55" i="4"/>
  <c r="J55" i="4"/>
  <c r="F55" i="4"/>
  <c r="O54" i="4"/>
  <c r="K54" i="4"/>
  <c r="W53" i="4"/>
  <c r="V52" i="4"/>
  <c r="R52" i="4"/>
  <c r="S60" i="4" s="1"/>
  <c r="N52" i="4"/>
  <c r="W54" i="4" s="1"/>
  <c r="J52" i="4"/>
  <c r="K60" i="4" s="1"/>
  <c r="F52" i="4"/>
  <c r="V48" i="4"/>
  <c r="R48" i="4"/>
  <c r="N48" i="4"/>
  <c r="J48" i="4"/>
  <c r="F48" i="4"/>
  <c r="N44" i="4"/>
  <c r="N42" i="4"/>
  <c r="V38" i="4"/>
  <c r="N38" i="4"/>
  <c r="O58" i="4" s="1"/>
  <c r="J38" i="4"/>
  <c r="V34" i="4"/>
  <c r="N34" i="4"/>
  <c r="J34" i="4"/>
  <c r="K37" i="4" s="1"/>
  <c r="V27" i="4"/>
  <c r="J27" i="4"/>
  <c r="V24" i="4"/>
  <c r="J24" i="4"/>
  <c r="K26" i="4" s="1"/>
  <c r="V21" i="4"/>
  <c r="J21" i="4"/>
  <c r="G20" i="4"/>
  <c r="V18" i="4"/>
  <c r="R18" i="4"/>
  <c r="N18" i="4"/>
  <c r="J18" i="4"/>
  <c r="F18" i="4"/>
  <c r="G51" i="4" s="1"/>
  <c r="E164" i="381"/>
  <c r="AK164" i="381"/>
  <c r="AK147" i="381"/>
  <c r="AK142" i="381"/>
  <c r="AK137" i="381"/>
  <c r="W17" i="4" s="1"/>
  <c r="AK74" i="381"/>
  <c r="AG147" i="381"/>
  <c r="AG142" i="381"/>
  <c r="AG137" i="381"/>
  <c r="Q107" i="381"/>
  <c r="AG131" i="381"/>
  <c r="O56" i="4" l="1"/>
  <c r="O60" i="4"/>
  <c r="K64" i="4"/>
  <c r="W64" i="4"/>
  <c r="G60" i="4"/>
  <c r="W60" i="4"/>
  <c r="G64" i="4"/>
  <c r="K63" i="4"/>
  <c r="K51" i="4"/>
  <c r="K45" i="4"/>
  <c r="K36" i="4"/>
  <c r="O64" i="4"/>
  <c r="O51" i="4"/>
  <c r="O39" i="4"/>
  <c r="O37" i="4"/>
  <c r="S51" i="4"/>
  <c r="S64" i="4"/>
  <c r="S45" i="4"/>
  <c r="W23" i="4"/>
  <c r="W63" i="4"/>
  <c r="W51" i="4"/>
  <c r="W44" i="4"/>
  <c r="K23" i="4"/>
  <c r="O41" i="4"/>
  <c r="S47" i="4"/>
  <c r="W33" i="4"/>
  <c r="O43" i="4"/>
  <c r="O47" i="4"/>
  <c r="AL143" i="381"/>
  <c r="N80" i="381"/>
  <c r="AH54" i="381"/>
  <c r="F54" i="381"/>
  <c r="AH51" i="381"/>
  <c r="Z51" i="381"/>
  <c r="R51" i="381"/>
  <c r="Q8" i="381"/>
  <c r="P281" i="3"/>
  <c r="C37" i="435" l="1"/>
  <c r="G7" i="488"/>
  <c r="D35" i="488"/>
  <c r="H146" i="426" l="1"/>
  <c r="H71" i="392" l="1"/>
  <c r="B63" i="7" l="1"/>
  <c r="B62" i="7"/>
  <c r="C20" i="470" l="1"/>
  <c r="C17" i="470"/>
  <c r="V12" i="466" l="1"/>
  <c r="B77" i="375" l="1"/>
  <c r="B26" i="375"/>
  <c r="E55" i="441" l="1"/>
  <c r="E65" i="441"/>
  <c r="E68" i="441"/>
  <c r="J68" i="441"/>
  <c r="J50" i="441"/>
  <c r="E47" i="441"/>
  <c r="B34" i="441" s="1"/>
  <c r="E50" i="441"/>
  <c r="F63" i="441" l="1"/>
  <c r="F61" i="441"/>
  <c r="K66" i="441"/>
  <c r="K64" i="441"/>
  <c r="K46" i="441"/>
  <c r="K48" i="441"/>
  <c r="F67" i="441"/>
  <c r="N46" i="381" l="1"/>
  <c r="R46" i="381"/>
  <c r="L81" i="491" l="1"/>
  <c r="L28" i="488" l="1"/>
  <c r="L19" i="488"/>
  <c r="E183" i="3"/>
  <c r="M183" i="3"/>
  <c r="H26" i="478"/>
  <c r="H3" i="435" l="1"/>
  <c r="M94" i="7"/>
  <c r="L74" i="47"/>
  <c r="I74" i="47"/>
  <c r="L71" i="47"/>
  <c r="I71" i="47"/>
  <c r="L65" i="47"/>
  <c r="I65" i="47"/>
  <c r="F74" i="47"/>
  <c r="F71" i="47"/>
  <c r="F65" i="47"/>
  <c r="F75" i="47"/>
  <c r="F66" i="47"/>
  <c r="L40" i="488" l="1"/>
  <c r="L37" i="488"/>
  <c r="L34" i="488"/>
  <c r="L32" i="488"/>
  <c r="L31" i="488"/>
  <c r="L11" i="488"/>
  <c r="L20" i="488" s="1"/>
  <c r="L23" i="488" s="1"/>
  <c r="L7" i="488"/>
  <c r="L5" i="488"/>
  <c r="L4" i="488"/>
  <c r="L14" i="488" l="1"/>
  <c r="L17" i="488" s="1"/>
  <c r="L8" i="488"/>
  <c r="L26" i="488" l="1"/>
  <c r="L29" i="488" s="1"/>
  <c r="L35" i="488" s="1"/>
  <c r="L38" i="488" s="1"/>
  <c r="L41" i="488" s="1"/>
  <c r="G8" i="488" s="1"/>
  <c r="O22" i="488" l="1"/>
  <c r="O21" i="488"/>
  <c r="AL138" i="381" l="1"/>
  <c r="F68" i="47"/>
  <c r="F45" i="441" l="1"/>
  <c r="F43" i="441"/>
  <c r="AL101" i="381" l="1"/>
  <c r="D14" i="382" l="1"/>
  <c r="J132" i="392" l="1"/>
  <c r="K117" i="392" l="1"/>
  <c r="F129" i="468" l="1"/>
  <c r="F131" i="468" s="1"/>
  <c r="G129" i="468"/>
  <c r="G131" i="468" s="1"/>
  <c r="H129" i="468"/>
  <c r="H131" i="468" s="1"/>
  <c r="I129" i="468"/>
  <c r="I131" i="468" s="1"/>
  <c r="J129" i="468"/>
  <c r="J131" i="468" s="1"/>
  <c r="K129" i="468"/>
  <c r="K131" i="468" s="1"/>
  <c r="L129" i="468"/>
  <c r="L131" i="468" s="1"/>
  <c r="M129" i="468"/>
  <c r="M131" i="468" s="1"/>
  <c r="N129" i="468"/>
  <c r="N131" i="468" s="1"/>
  <c r="E129" i="468"/>
  <c r="E131" i="468" s="1"/>
  <c r="AK131" i="381" l="1"/>
  <c r="AK121" i="381"/>
  <c r="AK113" i="381"/>
  <c r="AK100" i="381"/>
  <c r="K17" i="4" s="1"/>
  <c r="AK81" i="381"/>
  <c r="S17" i="4" s="1"/>
  <c r="O17" i="4" l="1"/>
  <c r="AD35" i="381" l="1"/>
  <c r="B26" i="467" l="1"/>
  <c r="O32" i="102"/>
  <c r="K36" i="102"/>
  <c r="X136" i="424" l="1"/>
  <c r="BA28" i="473"/>
  <c r="J30" i="83"/>
  <c r="J27" i="83"/>
  <c r="J22" i="83"/>
  <c r="G22" i="83"/>
  <c r="N132" i="424"/>
  <c r="O5" i="95"/>
  <c r="K5" i="95"/>
  <c r="C14" i="491"/>
  <c r="L32" i="491" l="1"/>
  <c r="C32" i="491"/>
  <c r="L24" i="491"/>
  <c r="C23" i="491"/>
  <c r="L45" i="491"/>
  <c r="O132" i="424"/>
  <c r="AX17" i="473"/>
  <c r="G81" i="426"/>
  <c r="K54" i="491" l="1"/>
  <c r="H42" i="491"/>
  <c r="E39" i="491"/>
  <c r="K34" i="491"/>
  <c r="L44" i="491" l="1"/>
  <c r="H3" i="489"/>
  <c r="I4" i="49"/>
  <c r="H25" i="382" l="1"/>
  <c r="E13" i="470"/>
  <c r="K57" i="462" l="1"/>
  <c r="J57" i="462"/>
  <c r="I57" i="462"/>
  <c r="H57" i="462"/>
  <c r="G57" i="462"/>
  <c r="F57" i="462"/>
  <c r="C82" i="435" l="1"/>
  <c r="C81" i="435"/>
  <c r="M77" i="7" l="1"/>
  <c r="I78" i="7"/>
  <c r="L78" i="7"/>
  <c r="I64" i="491"/>
  <c r="J77" i="7" l="1"/>
  <c r="I13" i="491"/>
  <c r="H62" i="491"/>
  <c r="H14" i="491"/>
  <c r="K17" i="491"/>
  <c r="K26" i="491"/>
  <c r="H59" i="491"/>
  <c r="H66" i="465"/>
  <c r="I66" i="465"/>
  <c r="J66" i="465"/>
  <c r="G66" i="465"/>
  <c r="AR68" i="473"/>
  <c r="O125" i="424"/>
  <c r="G39" i="92"/>
  <c r="C41" i="426"/>
  <c r="E11" i="491"/>
  <c r="B5" i="491" s="1"/>
  <c r="L76" i="491" l="1"/>
  <c r="L16" i="491"/>
  <c r="I70" i="491"/>
  <c r="O128" i="424"/>
  <c r="E46" i="442" l="1"/>
  <c r="H31" i="478"/>
  <c r="L95" i="7"/>
  <c r="L98" i="7"/>
  <c r="C59" i="47"/>
  <c r="C58" i="47"/>
  <c r="C56" i="47"/>
  <c r="L76" i="47" l="1"/>
  <c r="H74" i="392"/>
  <c r="J129" i="392" l="1"/>
  <c r="L14" i="9" l="1"/>
  <c r="I46" i="9"/>
  <c r="G80" i="426"/>
  <c r="M25" i="481" l="1"/>
  <c r="M19" i="481"/>
  <c r="M11" i="481"/>
  <c r="M5" i="481"/>
  <c r="S81" i="48" l="1"/>
  <c r="AH39" i="381" l="1"/>
  <c r="Z39" i="381"/>
  <c r="Z27" i="381"/>
  <c r="R39" i="381"/>
  <c r="Y72" i="381" l="1"/>
  <c r="Y70" i="381"/>
  <c r="Q113" i="381" l="1"/>
  <c r="M127" i="381" l="1"/>
  <c r="N129" i="381" s="1"/>
  <c r="Y68" i="381" l="1"/>
  <c r="AC46" i="381"/>
  <c r="AC42" i="381"/>
  <c r="U45" i="381"/>
  <c r="U43" i="381"/>
  <c r="U41" i="381"/>
  <c r="M44" i="381"/>
  <c r="N45" i="381" s="1"/>
  <c r="U33" i="381"/>
  <c r="U30" i="381"/>
  <c r="Z35" i="381" s="1"/>
  <c r="M33" i="381"/>
  <c r="M30" i="381"/>
  <c r="I36" i="381"/>
  <c r="Y103" i="381"/>
  <c r="M103" i="381"/>
  <c r="I103" i="381"/>
  <c r="R79" i="381" l="1"/>
  <c r="R98" i="381"/>
  <c r="AD47" i="381"/>
  <c r="AG121" i="381"/>
  <c r="AG113" i="381"/>
  <c r="AG100" i="381"/>
  <c r="AG81" i="381"/>
  <c r="AG74" i="381"/>
  <c r="Y113" i="381"/>
  <c r="Y100" i="381"/>
  <c r="Y81" i="381"/>
  <c r="Y74" i="381"/>
  <c r="M134" i="381"/>
  <c r="M117" i="381"/>
  <c r="M115" i="381"/>
  <c r="N118" i="381" s="1"/>
  <c r="M81" i="381"/>
  <c r="I113" i="381"/>
  <c r="Z111" i="381" s="1"/>
  <c r="I100" i="381"/>
  <c r="I81" i="381"/>
  <c r="R80" i="381" s="1"/>
  <c r="I74" i="381"/>
  <c r="AH73" i="381" l="1"/>
  <c r="Z71" i="381"/>
  <c r="Z67" i="381"/>
  <c r="Z79" i="381"/>
  <c r="N130" i="381"/>
  <c r="N132" i="381"/>
  <c r="J96" i="381"/>
  <c r="J98" i="381"/>
  <c r="N128" i="381"/>
  <c r="AL148" i="381"/>
  <c r="J102" i="381"/>
  <c r="N102" i="381"/>
  <c r="Z102" i="381"/>
  <c r="E147" i="381" l="1"/>
  <c r="E142" i="381"/>
  <c r="E137" i="381"/>
  <c r="AH141" i="381" s="1"/>
  <c r="E131" i="381"/>
  <c r="AH136" i="381" s="1"/>
  <c r="E121" i="381"/>
  <c r="F117" i="381" s="1"/>
  <c r="E113" i="381"/>
  <c r="E100" i="381"/>
  <c r="E81" i="381"/>
  <c r="E74" i="381"/>
  <c r="Q36" i="381"/>
  <c r="M36" i="381"/>
  <c r="E36" i="381"/>
  <c r="AD99" i="381" l="1"/>
  <c r="AD31" i="381"/>
  <c r="F99" i="381"/>
  <c r="F109" i="381"/>
  <c r="V35" i="381"/>
  <c r="F72" i="381" l="1"/>
  <c r="AH27" i="381"/>
  <c r="R27" i="381"/>
  <c r="AH20" i="381"/>
  <c r="Z20" i="381"/>
  <c r="R20" i="381"/>
  <c r="AG48" i="381"/>
  <c r="AC48" i="381"/>
  <c r="Y48" i="381"/>
  <c r="R110" i="381" s="1"/>
  <c r="U48" i="381"/>
  <c r="Z47" i="381" s="1"/>
  <c r="Q48" i="381"/>
  <c r="Z112" i="381" s="1"/>
  <c r="M48" i="381"/>
  <c r="E48" i="381"/>
  <c r="AG36" i="381"/>
  <c r="Y36" i="381"/>
  <c r="U36" i="381"/>
  <c r="R99" i="381" s="1"/>
  <c r="F80" i="381"/>
  <c r="AH34" i="381"/>
  <c r="AG24" i="381"/>
  <c r="Y24" i="381"/>
  <c r="Q24" i="381"/>
  <c r="R54" i="381" l="1"/>
  <c r="N89" i="381"/>
  <c r="V99" i="381"/>
  <c r="Z46" i="381"/>
  <c r="J89" i="381"/>
  <c r="J83" i="381"/>
  <c r="N83" i="381"/>
  <c r="Z34" i="381"/>
  <c r="AH35" i="381"/>
  <c r="AD32" i="381"/>
  <c r="N116" i="381"/>
  <c r="AD43" i="381"/>
  <c r="V47" i="381"/>
  <c r="AH47" i="381"/>
  <c r="AD44" i="381"/>
  <c r="R45" i="381"/>
  <c r="AH46" i="381"/>
  <c r="AL73" i="381"/>
  <c r="R34" i="381" l="1"/>
  <c r="E17" i="381"/>
  <c r="E8" i="381"/>
  <c r="AH11" i="381"/>
  <c r="Z11" i="381"/>
  <c r="R11" i="381"/>
  <c r="R62" i="381" l="1"/>
  <c r="V97" i="381"/>
  <c r="R104" i="381"/>
  <c r="V78" i="381"/>
  <c r="R109" i="381"/>
  <c r="AH135" i="381"/>
  <c r="N95" i="381"/>
  <c r="J95" i="381"/>
  <c r="N90" i="381"/>
  <c r="N87" i="381"/>
  <c r="J90" i="381"/>
  <c r="J87" i="381"/>
  <c r="F6" i="381"/>
  <c r="F4" i="381"/>
  <c r="J80" i="381"/>
  <c r="R16" i="381"/>
  <c r="F15" i="381"/>
  <c r="F73" i="381"/>
  <c r="M185" i="3"/>
  <c r="AL163" i="381"/>
  <c r="M242" i="3"/>
  <c r="Z66" i="381"/>
  <c r="Z97" i="381"/>
  <c r="Z110" i="381"/>
  <c r="Z78" i="381"/>
  <c r="N79" i="381"/>
  <c r="E24" i="381" l="1"/>
  <c r="AG17" i="381"/>
  <c r="J111" i="381" s="1"/>
  <c r="Y17" i="381"/>
  <c r="Q17" i="381"/>
  <c r="R60" i="381" s="1"/>
  <c r="R53" i="381" l="1"/>
  <c r="Z73" i="381"/>
  <c r="Z69" i="381"/>
  <c r="J110" i="381"/>
  <c r="AD41" i="381"/>
  <c r="AD29" i="381"/>
  <c r="R47" i="381"/>
  <c r="R35" i="381"/>
  <c r="N47" i="381"/>
  <c r="N73" i="381"/>
  <c r="V40" i="381"/>
  <c r="V29" i="381"/>
  <c r="Z15" i="381"/>
  <c r="J73" i="381"/>
  <c r="Z22" i="381"/>
  <c r="AH16" i="381"/>
  <c r="F47" i="452" l="1"/>
  <c r="F114" i="2"/>
  <c r="H47" i="435" l="1"/>
  <c r="C34" i="426" l="1"/>
  <c r="F63" i="6" l="1"/>
  <c r="S78" i="48"/>
  <c r="G62" i="6"/>
  <c r="E29" i="451"/>
  <c r="I81" i="48" s="1"/>
  <c r="E26" i="451" l="1"/>
  <c r="I78" i="48" s="1"/>
  <c r="E23" i="451"/>
  <c r="I75" i="48" s="1"/>
  <c r="M55" i="426" l="1"/>
  <c r="A23" i="47" l="1"/>
  <c r="K33" i="465" l="1"/>
  <c r="K35" i="465" s="1"/>
  <c r="J33" i="465"/>
  <c r="J35" i="465" s="1"/>
  <c r="I33" i="465"/>
  <c r="I35" i="465" s="1"/>
  <c r="H33" i="465"/>
  <c r="H35" i="465" s="1"/>
  <c r="G33" i="465"/>
  <c r="G35" i="465" s="1"/>
  <c r="F33" i="465"/>
  <c r="F35" i="465" s="1"/>
  <c r="E33" i="465"/>
  <c r="E35" i="465" s="1"/>
  <c r="P33" i="465"/>
  <c r="P35" i="465" s="1"/>
  <c r="N33" i="465"/>
  <c r="N35" i="465" s="1"/>
  <c r="M33" i="465"/>
  <c r="M35" i="465" s="1"/>
  <c r="P36" i="465"/>
  <c r="N36" i="465"/>
  <c r="M36" i="465"/>
  <c r="L36" i="465"/>
  <c r="K36" i="465"/>
  <c r="J36" i="465"/>
  <c r="I36" i="465"/>
  <c r="H36" i="465"/>
  <c r="G36" i="465"/>
  <c r="F36" i="465"/>
  <c r="E36" i="465"/>
  <c r="P19" i="465"/>
  <c r="N19" i="465"/>
  <c r="M19" i="465"/>
  <c r="L19" i="465"/>
  <c r="I19" i="465"/>
  <c r="H19" i="465"/>
  <c r="G19" i="465"/>
  <c r="F19" i="465"/>
  <c r="E19" i="465"/>
  <c r="P16" i="465"/>
  <c r="P18" i="465" s="1"/>
  <c r="N16" i="465"/>
  <c r="N18" i="465" s="1"/>
  <c r="M16" i="465"/>
  <c r="M18" i="465" s="1"/>
  <c r="K16" i="465"/>
  <c r="K18" i="465" s="1"/>
  <c r="J16" i="465"/>
  <c r="J18" i="465" s="1"/>
  <c r="G16" i="465"/>
  <c r="G18" i="465" s="1"/>
  <c r="E16" i="465"/>
  <c r="E18" i="465" s="1"/>
  <c r="M70" i="464"/>
  <c r="L70" i="464"/>
  <c r="K70" i="464"/>
  <c r="J70" i="464"/>
  <c r="I70" i="464"/>
  <c r="F70" i="464"/>
  <c r="E70" i="464"/>
  <c r="N66" i="464"/>
  <c r="M66" i="464"/>
  <c r="M71" i="464" s="1"/>
  <c r="L66" i="464"/>
  <c r="L71" i="464" s="1"/>
  <c r="I66" i="464"/>
  <c r="E66" i="464"/>
  <c r="N57" i="464"/>
  <c r="L57" i="464"/>
  <c r="J57" i="464"/>
  <c r="I57" i="464"/>
  <c r="H57" i="464"/>
  <c r="G57" i="464"/>
  <c r="E57" i="464"/>
  <c r="M52" i="464"/>
  <c r="F52" i="464"/>
  <c r="F54" i="464" s="1"/>
  <c r="F56" i="464" s="1"/>
  <c r="K167" i="463"/>
  <c r="K160" i="463"/>
  <c r="F167" i="463"/>
  <c r="E107" i="463"/>
  <c r="F107" i="463"/>
  <c r="G107" i="463"/>
  <c r="H107" i="463"/>
  <c r="J107" i="463"/>
  <c r="R101" i="463"/>
  <c r="Q101" i="463"/>
  <c r="P101" i="463"/>
  <c r="O101" i="463"/>
  <c r="L101" i="463"/>
  <c r="K107" i="463"/>
  <c r="I101" i="463"/>
  <c r="E92" i="463"/>
  <c r="K92" i="463"/>
  <c r="J92" i="463"/>
  <c r="I92" i="463"/>
  <c r="G92" i="463"/>
  <c r="F92" i="463"/>
  <c r="R92" i="463"/>
  <c r="Q92" i="463"/>
  <c r="P92" i="463"/>
  <c r="O92" i="463"/>
  <c r="R91" i="463"/>
  <c r="Q91" i="463"/>
  <c r="P91" i="463"/>
  <c r="O91" i="463"/>
  <c r="M91" i="463"/>
  <c r="L91" i="463"/>
  <c r="H91" i="463"/>
  <c r="R75" i="463"/>
  <c r="Q75" i="463"/>
  <c r="P75" i="463"/>
  <c r="O75" i="463"/>
  <c r="L36" i="463"/>
  <c r="J36" i="463"/>
  <c r="H36" i="463"/>
  <c r="G36" i="463"/>
  <c r="F36" i="463"/>
  <c r="E36" i="463"/>
  <c r="L31" i="463"/>
  <c r="K31" i="463"/>
  <c r="I31" i="463"/>
  <c r="G31" i="463"/>
  <c r="J35" i="463"/>
  <c r="H35" i="463"/>
  <c r="F35" i="463"/>
  <c r="E35" i="463"/>
  <c r="L34" i="463"/>
  <c r="K34" i="463"/>
  <c r="I34" i="463"/>
  <c r="G34" i="463"/>
  <c r="J25" i="463"/>
  <c r="I25" i="463"/>
  <c r="H25" i="463"/>
  <c r="F25" i="463"/>
  <c r="E25" i="463"/>
  <c r="L24" i="463"/>
  <c r="K24" i="463"/>
  <c r="G24" i="463"/>
  <c r="M4" i="462"/>
  <c r="H4" i="462"/>
  <c r="K28" i="462"/>
  <c r="J28" i="462"/>
  <c r="I28" i="462"/>
  <c r="H28" i="462"/>
  <c r="I52" i="462"/>
  <c r="I56" i="462"/>
  <c r="I60" i="462" s="1"/>
  <c r="K62" i="462"/>
  <c r="J62" i="462"/>
  <c r="I62" i="462"/>
  <c r="F62" i="462"/>
  <c r="N93" i="464"/>
  <c r="M93" i="464"/>
  <c r="L93" i="464"/>
  <c r="I93" i="464"/>
  <c r="G93" i="464"/>
  <c r="F93" i="464"/>
  <c r="E93" i="464"/>
  <c r="N98" i="464"/>
  <c r="M77" i="464"/>
  <c r="L77" i="464"/>
  <c r="K77" i="464"/>
  <c r="J77" i="464"/>
  <c r="I77" i="464"/>
  <c r="H77" i="464"/>
  <c r="G77" i="464"/>
  <c r="E77" i="464"/>
  <c r="E104" i="464" s="1"/>
  <c r="E107" i="464" s="1"/>
  <c r="I104" i="464" l="1"/>
  <c r="I107" i="464" s="1"/>
  <c r="E71" i="464"/>
  <c r="L104" i="464"/>
  <c r="L107" i="464" s="1"/>
  <c r="I71" i="464"/>
  <c r="M104" i="464"/>
  <c r="M107" i="464" s="1"/>
  <c r="M116" i="464" s="1"/>
  <c r="C78" i="435" l="1"/>
  <c r="I81" i="454" l="1"/>
  <c r="L74" i="7"/>
  <c r="M97" i="7" s="1"/>
  <c r="I74" i="7"/>
  <c r="I38" i="32" l="1"/>
  <c r="C16" i="426"/>
  <c r="C25" i="426"/>
  <c r="B65" i="7"/>
  <c r="C79" i="435"/>
  <c r="M73" i="7"/>
  <c r="BJ29" i="473"/>
  <c r="BJ24" i="473"/>
  <c r="J37" i="468"/>
  <c r="M333" i="3" l="1"/>
  <c r="O34" i="4" s="1"/>
  <c r="V42" i="381" l="1"/>
  <c r="V44" i="381"/>
  <c r="N43" i="381"/>
  <c r="AD45" i="381"/>
  <c r="M331" i="3"/>
  <c r="M329" i="3"/>
  <c r="N28" i="468" l="1"/>
  <c r="G40" i="376" l="1"/>
  <c r="M40" i="376"/>
  <c r="M36" i="376"/>
  <c r="G36" i="376"/>
  <c r="I105" i="391" l="1"/>
  <c r="O102" i="391"/>
  <c r="I102" i="391"/>
  <c r="O99" i="391"/>
  <c r="I99" i="391"/>
  <c r="I96" i="391"/>
  <c r="I93" i="391"/>
  <c r="I90" i="391"/>
  <c r="J92" i="391" s="1"/>
  <c r="I87" i="391"/>
  <c r="C87" i="391"/>
  <c r="I84" i="391"/>
  <c r="C84" i="391"/>
  <c r="I77" i="391"/>
  <c r="C77" i="391"/>
  <c r="C75" i="391" s="1"/>
  <c r="C70" i="391"/>
  <c r="M8" i="468"/>
  <c r="K37" i="468"/>
  <c r="L36" i="468"/>
  <c r="G36" i="468"/>
  <c r="F36" i="468"/>
  <c r="I28" i="468"/>
  <c r="E28" i="468"/>
  <c r="H19" i="468"/>
  <c r="J19" i="468"/>
  <c r="J29" i="468"/>
  <c r="K152" i="424" l="1"/>
  <c r="L152" i="424"/>
  <c r="M152" i="424"/>
  <c r="N152" i="424"/>
  <c r="N77" i="464" l="1"/>
  <c r="N70" i="464"/>
  <c r="N52" i="464"/>
  <c r="N54" i="464" s="1"/>
  <c r="N56" i="464" s="1"/>
  <c r="M57" i="464"/>
  <c r="N104" i="464" l="1"/>
  <c r="B104" i="464" s="1"/>
  <c r="B77" i="464"/>
  <c r="M116" i="424" s="1"/>
  <c r="N107" i="464"/>
  <c r="N71" i="464"/>
  <c r="J45" i="6"/>
  <c r="J48" i="6"/>
  <c r="N116" i="464" l="1"/>
  <c r="B116" i="464" s="1"/>
  <c r="B107" i="464"/>
  <c r="J19" i="465"/>
  <c r="J20" i="465" s="1"/>
  <c r="H61" i="451" l="1"/>
  <c r="F118" i="2"/>
  <c r="F116" i="2"/>
  <c r="I26" i="48" s="1"/>
  <c r="F115" i="2"/>
  <c r="I23" i="48" s="1"/>
  <c r="D114" i="2"/>
  <c r="D115" i="2"/>
  <c r="H46" i="435"/>
  <c r="H45" i="435"/>
  <c r="H44" i="435"/>
  <c r="H43" i="435"/>
  <c r="H42" i="435"/>
  <c r="H41" i="435"/>
  <c r="H40" i="435"/>
  <c r="H39" i="435"/>
  <c r="H35" i="435"/>
  <c r="G63" i="489" l="1"/>
  <c r="G64" i="49"/>
  <c r="C181" i="442" l="1"/>
  <c r="G39" i="382" l="1"/>
  <c r="C39" i="382"/>
  <c r="G53" i="382"/>
  <c r="C53" i="382"/>
  <c r="H52" i="382" l="1"/>
  <c r="C47" i="435"/>
  <c r="H38" i="382"/>
  <c r="L22" i="9"/>
  <c r="L326" i="3" l="1"/>
  <c r="L315" i="3"/>
  <c r="N93" i="381" l="1"/>
  <c r="AD33" i="381"/>
  <c r="K33" i="4"/>
  <c r="V32" i="381"/>
  <c r="L303" i="3"/>
  <c r="M301" i="3" l="1"/>
  <c r="M320" i="3"/>
  <c r="M299" i="3"/>
  <c r="C169" i="426"/>
  <c r="C168" i="426"/>
  <c r="C165" i="426"/>
  <c r="C164" i="426"/>
  <c r="O152" i="424" l="1"/>
  <c r="P152" i="424"/>
  <c r="Q152" i="424"/>
  <c r="R152" i="424"/>
  <c r="S152" i="424"/>
  <c r="T152" i="424"/>
  <c r="U152" i="424"/>
  <c r="V152" i="424"/>
  <c r="W152" i="424"/>
  <c r="X152" i="424"/>
  <c r="Y152" i="424"/>
  <c r="Z152" i="424"/>
  <c r="AA152" i="424"/>
  <c r="B5" i="382" l="1"/>
  <c r="J173" i="442" l="1"/>
  <c r="H37" i="435" s="1"/>
  <c r="J170" i="442"/>
  <c r="J167" i="442"/>
  <c r="J158" i="442"/>
  <c r="G155" i="442"/>
  <c r="K166" i="442" s="1"/>
  <c r="G123" i="7"/>
  <c r="F124" i="7"/>
  <c r="K33" i="442"/>
  <c r="K48" i="442"/>
  <c r="K57" i="442"/>
  <c r="K159" i="442"/>
  <c r="K93" i="392"/>
  <c r="K172" i="442" l="1"/>
  <c r="K169" i="442"/>
  <c r="H11" i="435"/>
  <c r="H36" i="435"/>
  <c r="K163" i="442"/>
  <c r="K161" i="442"/>
  <c r="G84" i="9"/>
  <c r="C1" i="9"/>
  <c r="J73" i="6" l="1"/>
  <c r="B5" i="4"/>
  <c r="D21" i="2"/>
  <c r="D20" i="2"/>
  <c r="D16" i="2"/>
  <c r="G42" i="362"/>
  <c r="L95" i="375" l="1"/>
  <c r="Y84" i="375" s="1"/>
  <c r="P90" i="375"/>
  <c r="P89" i="375"/>
  <c r="P88" i="375"/>
  <c r="P82" i="375"/>
  <c r="P84" i="375"/>
  <c r="B31" i="375"/>
  <c r="P83" i="375"/>
  <c r="B30" i="375"/>
  <c r="B29" i="375"/>
  <c r="E59" i="392"/>
  <c r="E56" i="392"/>
  <c r="C106" i="9"/>
  <c r="C104" i="9"/>
  <c r="P81" i="375" l="1"/>
  <c r="P86" i="375"/>
  <c r="P92" i="375"/>
  <c r="L38" i="9"/>
  <c r="L35" i="9"/>
  <c r="L92" i="7" l="1"/>
  <c r="C84" i="435" l="1"/>
  <c r="G58" i="6"/>
  <c r="S23" i="48" s="1"/>
  <c r="G59" i="6"/>
  <c r="S26" i="48" s="1"/>
  <c r="I87" i="6"/>
  <c r="I83" i="6"/>
  <c r="H51" i="435" s="1"/>
  <c r="I80" i="6"/>
  <c r="H50" i="435" s="1"/>
  <c r="I77" i="6"/>
  <c r="I74" i="6"/>
  <c r="I71" i="6"/>
  <c r="H48" i="435" s="1"/>
  <c r="I68" i="6"/>
  <c r="F65" i="6"/>
  <c r="F62" i="6"/>
  <c r="F61" i="6"/>
  <c r="F60" i="6"/>
  <c r="E59" i="6"/>
  <c r="D116" i="2"/>
  <c r="E58" i="6"/>
  <c r="F59" i="6"/>
  <c r="H49" i="435" l="1"/>
  <c r="B3" i="376"/>
  <c r="J18" i="376"/>
  <c r="J10" i="376"/>
  <c r="B28" i="376"/>
  <c r="B26" i="376"/>
  <c r="J32" i="376"/>
  <c r="J28" i="376"/>
  <c r="J27" i="376"/>
  <c r="J12" i="376"/>
  <c r="J11" i="376"/>
  <c r="M41" i="376" l="1"/>
  <c r="M37" i="376"/>
  <c r="D33" i="9"/>
  <c r="C31" i="9"/>
  <c r="I79" i="9"/>
  <c r="N34" i="9"/>
  <c r="I179" i="3"/>
  <c r="E11" i="392" l="1"/>
  <c r="O82" i="3" l="1"/>
  <c r="O79" i="3"/>
  <c r="F78" i="2"/>
  <c r="F77" i="2"/>
  <c r="F72" i="2"/>
  <c r="Q79" i="3" s="1"/>
  <c r="F71" i="2"/>
  <c r="B125" i="424"/>
  <c r="J13" i="2" l="1"/>
  <c r="L9" i="9"/>
  <c r="B290" i="3" l="1"/>
  <c r="L265" i="3"/>
  <c r="L262" i="3"/>
  <c r="D262" i="3"/>
  <c r="M298" i="3" l="1"/>
  <c r="Q279" i="3"/>
  <c r="Q277" i="3"/>
  <c r="M310" i="3"/>
  <c r="M323" i="3"/>
  <c r="M317" i="3"/>
  <c r="M313" i="3"/>
  <c r="M321" i="3"/>
  <c r="M318" i="3"/>
  <c r="M311" i="3"/>
  <c r="C44" i="391" l="1"/>
  <c r="L41" i="391"/>
  <c r="I41" i="391"/>
  <c r="D31" i="391" l="1"/>
  <c r="D26" i="391"/>
  <c r="G13" i="391"/>
  <c r="C14" i="92" l="1"/>
  <c r="C125" i="424" s="1"/>
  <c r="C7" i="92"/>
  <c r="G33" i="132" l="1"/>
  <c r="C33" i="132"/>
  <c r="C27" i="132"/>
  <c r="C13" i="132"/>
  <c r="I66" i="489" l="1"/>
  <c r="I65" i="489"/>
  <c r="I64" i="489"/>
  <c r="I67" i="49"/>
  <c r="I66" i="49"/>
  <c r="I65" i="49"/>
  <c r="B63" i="391" l="1"/>
  <c r="B99" i="391"/>
  <c r="C41" i="391"/>
  <c r="L21" i="391" l="1"/>
  <c r="C24" i="391"/>
  <c r="C35" i="391"/>
  <c r="C31" i="391"/>
  <c r="D29" i="391" s="1"/>
  <c r="D27" i="391" l="1"/>
  <c r="D38" i="391" l="1"/>
  <c r="D37" i="391"/>
  <c r="D35" i="391" l="1"/>
  <c r="D33" i="391"/>
  <c r="D34" i="391"/>
  <c r="D41" i="391" l="1"/>
  <c r="J18" i="391"/>
  <c r="M18" i="391"/>
  <c r="J16" i="391"/>
  <c r="J17" i="391"/>
  <c r="M17" i="391"/>
  <c r="P117" i="391" l="1"/>
  <c r="I69" i="435" s="1"/>
  <c r="O136" i="391" l="1"/>
  <c r="E116" i="2" l="1"/>
  <c r="E115" i="2"/>
  <c r="E114" i="2"/>
  <c r="J117" i="2" s="1"/>
  <c r="I109" i="2"/>
  <c r="E109" i="2"/>
  <c r="F109" i="2"/>
  <c r="K26" i="9"/>
  <c r="F58" i="9" s="1"/>
  <c r="K18" i="9"/>
  <c r="K15" i="9"/>
  <c r="K12" i="9"/>
  <c r="L17" i="9" s="1"/>
  <c r="K9" i="9"/>
  <c r="K6" i="9"/>
  <c r="I177" i="3" s="1"/>
  <c r="H19" i="120" l="1"/>
  <c r="P136" i="391" l="1"/>
  <c r="P133" i="391"/>
  <c r="P124" i="391"/>
  <c r="I71" i="435" s="1"/>
  <c r="O133" i="391"/>
  <c r="H73" i="435" s="1"/>
  <c r="P132" i="391"/>
  <c r="P135" i="391"/>
  <c r="O139" i="391"/>
  <c r="O130" i="391"/>
  <c r="H72" i="435" s="1"/>
  <c r="O127" i="391"/>
  <c r="O124" i="391"/>
  <c r="H71" i="435" s="1"/>
  <c r="O121" i="391"/>
  <c r="H70" i="435" s="1"/>
  <c r="O117" i="391"/>
  <c r="H69" i="435" s="1"/>
  <c r="O114" i="391"/>
  <c r="O111" i="391"/>
  <c r="H68" i="435" s="1"/>
  <c r="I111" i="391"/>
  <c r="H67" i="435" s="1"/>
  <c r="O108" i="391"/>
  <c r="H66" i="435" s="1"/>
  <c r="I108" i="391"/>
  <c r="H65" i="435" s="1"/>
  <c r="C82" i="391"/>
  <c r="H64" i="435"/>
  <c r="H63" i="435"/>
  <c r="H62" i="435"/>
  <c r="O63" i="391"/>
  <c r="L60" i="391"/>
  <c r="I60" i="391"/>
  <c r="J107" i="391" s="1"/>
  <c r="C60" i="391"/>
  <c r="L57" i="391"/>
  <c r="I57" i="391"/>
  <c r="C57" i="391"/>
  <c r="I50" i="391"/>
  <c r="I47" i="391"/>
  <c r="L44" i="391"/>
  <c r="I44" i="391"/>
  <c r="J49" i="391" s="1"/>
  <c r="D21" i="391"/>
  <c r="C38" i="391"/>
  <c r="D40" i="391" s="1"/>
  <c r="V137" i="424"/>
  <c r="P8" i="450"/>
  <c r="J98" i="391" l="1"/>
  <c r="J104" i="391"/>
  <c r="H59" i="435"/>
  <c r="J95" i="391"/>
  <c r="I73" i="435"/>
  <c r="H60" i="435"/>
  <c r="P113" i="391"/>
  <c r="H61" i="435"/>
  <c r="P98" i="391"/>
  <c r="H58" i="435"/>
  <c r="P138" i="391"/>
  <c r="M59" i="391"/>
  <c r="L24" i="391"/>
  <c r="M43" i="391" s="1"/>
  <c r="I24" i="391"/>
  <c r="J43" i="391" s="1"/>
  <c r="F24" i="391"/>
  <c r="I21" i="391"/>
  <c r="D18" i="391"/>
  <c r="G21" i="391" s="1"/>
  <c r="G24" i="391" s="1"/>
  <c r="F21" i="391"/>
  <c r="C21" i="391"/>
  <c r="L18" i="391"/>
  <c r="M23" i="391" s="1"/>
  <c r="I18" i="391"/>
  <c r="D17" i="391"/>
  <c r="F18" i="391"/>
  <c r="G14" i="391" s="1"/>
  <c r="P130" i="391"/>
  <c r="I72" i="435" s="1"/>
  <c r="C18" i="391"/>
  <c r="B144" i="391" l="1"/>
  <c r="B10" i="391"/>
  <c r="M21" i="391"/>
  <c r="M24" i="391" s="1"/>
  <c r="J21" i="391"/>
  <c r="J24" i="391" s="1"/>
  <c r="G23" i="391"/>
  <c r="G16" i="391"/>
  <c r="M20" i="391"/>
  <c r="J20" i="391"/>
  <c r="J23" i="391"/>
  <c r="D24" i="391"/>
  <c r="G20" i="391"/>
  <c r="D23" i="391"/>
  <c r="M40" i="391"/>
  <c r="D43" i="391"/>
  <c r="J40" i="391"/>
  <c r="H182" i="489"/>
  <c r="H181" i="489"/>
  <c r="H180" i="489"/>
  <c r="H179" i="489"/>
  <c r="H178" i="489"/>
  <c r="R118" i="48"/>
  <c r="H120" i="464"/>
  <c r="G120" i="464"/>
  <c r="F120" i="464"/>
  <c r="E120" i="464"/>
  <c r="J41" i="391" l="1"/>
  <c r="J44" i="391" s="1"/>
  <c r="M41" i="391"/>
  <c r="M44" i="391" s="1"/>
  <c r="D44" i="391"/>
  <c r="E137" i="424"/>
  <c r="I189" i="49" l="1"/>
  <c r="H182" i="49"/>
  <c r="H181" i="49"/>
  <c r="Q9" i="3"/>
  <c r="Q8" i="3"/>
  <c r="E7" i="3"/>
  <c r="E6" i="3"/>
  <c r="R137" i="424"/>
  <c r="Q137" i="424"/>
  <c r="S137" i="424"/>
  <c r="T137" i="424"/>
  <c r="U137" i="424"/>
  <c r="G40" i="450"/>
  <c r="D40" i="450"/>
  <c r="C37" i="450"/>
  <c r="C40" i="450"/>
  <c r="P4" i="450"/>
  <c r="L4" i="450"/>
  <c r="L187" i="489" l="1"/>
  <c r="I187" i="489"/>
  <c r="L189" i="49"/>
  <c r="G34" i="450"/>
  <c r="P137" i="424" s="1"/>
  <c r="G27" i="450"/>
  <c r="M137" i="424" s="1"/>
  <c r="G20" i="450"/>
  <c r="J137" i="424" s="1"/>
  <c r="G10" i="450"/>
  <c r="G7" i="450"/>
  <c r="F137" i="424" l="1"/>
  <c r="D20" i="391"/>
  <c r="L21" i="47" l="1"/>
  <c r="I12" i="453"/>
  <c r="F12" i="453"/>
  <c r="F9" i="453"/>
  <c r="F6" i="453"/>
  <c r="F25" i="47"/>
  <c r="I27" i="47"/>
  <c r="I25" i="47"/>
  <c r="I22" i="47"/>
  <c r="I19" i="47"/>
  <c r="F20" i="47"/>
  <c r="F19" i="47"/>
  <c r="F13" i="47"/>
  <c r="F10" i="47"/>
  <c r="F8" i="47"/>
  <c r="F7" i="47"/>
  <c r="I86" i="7"/>
  <c r="J85" i="7"/>
  <c r="H16" i="435" l="1"/>
  <c r="J4" i="454"/>
  <c r="F17" i="47"/>
  <c r="L24" i="47"/>
  <c r="I20" i="47" l="1"/>
  <c r="B51" i="468"/>
  <c r="BD52" i="473" s="1"/>
  <c r="B52" i="468"/>
  <c r="B53" i="468"/>
  <c r="B54" i="468"/>
  <c r="B55" i="468"/>
  <c r="BD56" i="473" s="1"/>
  <c r="B56" i="468"/>
  <c r="BD57" i="473" s="1"/>
  <c r="Y140" i="424" l="1"/>
  <c r="BD55" i="473"/>
  <c r="W140" i="424"/>
  <c r="BD53" i="473"/>
  <c r="X140" i="424"/>
  <c r="BD54" i="473"/>
  <c r="G105" i="424"/>
  <c r="F105" i="424"/>
  <c r="C19" i="80"/>
  <c r="G27" i="92" l="1"/>
  <c r="K125" i="424" l="1"/>
  <c r="B102" i="391"/>
  <c r="G24" i="450"/>
  <c r="L137" i="424" s="1"/>
  <c r="G14" i="450"/>
  <c r="I137" i="424" s="1"/>
  <c r="C34" i="450"/>
  <c r="O137" i="424" s="1"/>
  <c r="C7" i="450"/>
  <c r="C137" i="424" s="1"/>
  <c r="C31" i="450"/>
  <c r="N137" i="424" s="1"/>
  <c r="C24" i="450"/>
  <c r="K137" i="424" s="1"/>
  <c r="C14" i="450"/>
  <c r="G137" i="424" s="1"/>
  <c r="G4" i="450"/>
  <c r="C4" i="450"/>
  <c r="B137" i="424" s="1"/>
  <c r="C17" i="450"/>
  <c r="J46" i="391" s="1"/>
  <c r="P15" i="450"/>
  <c r="P129" i="391" s="1"/>
  <c r="L15" i="450"/>
  <c r="X137" i="424" s="1"/>
  <c r="P12" i="450"/>
  <c r="W137" i="424" s="1"/>
  <c r="J59" i="391" l="1"/>
  <c r="P101" i="391"/>
  <c r="Y137" i="424"/>
  <c r="H7" i="450"/>
  <c r="D137" i="424"/>
  <c r="H137" i="424"/>
  <c r="D59" i="391"/>
  <c r="J56" i="391"/>
  <c r="J101" i="391"/>
  <c r="M56" i="391"/>
  <c r="G120" i="426" l="1"/>
  <c r="D23" i="451" l="1"/>
  <c r="B5" i="458" l="1"/>
  <c r="B6" i="458"/>
  <c r="B7" i="458"/>
  <c r="B8" i="458"/>
  <c r="B8" i="473" s="1"/>
  <c r="B4" i="458"/>
  <c r="B11" i="458"/>
  <c r="B11" i="473" s="1"/>
  <c r="C8" i="424" l="1"/>
  <c r="G11" i="453"/>
  <c r="G8" i="453"/>
  <c r="H145" i="426" l="1"/>
  <c r="H147" i="426" s="1"/>
  <c r="I81" i="489"/>
  <c r="I79" i="489"/>
  <c r="I77" i="489"/>
  <c r="D6" i="489"/>
  <c r="C5" i="489"/>
  <c r="C4" i="489"/>
  <c r="D3" i="489"/>
  <c r="K162" i="376" l="1"/>
  <c r="K159" i="376"/>
  <c r="C5" i="424" l="1"/>
  <c r="D41" i="424"/>
  <c r="C41" i="424"/>
  <c r="B41" i="424"/>
  <c r="B61" i="458"/>
  <c r="B35" i="473" s="1"/>
  <c r="C33" i="424"/>
  <c r="C36" i="424" l="1"/>
  <c r="D38" i="382" l="1"/>
  <c r="E37" i="451" l="1"/>
  <c r="I85" i="48" s="1"/>
  <c r="E38" i="451"/>
  <c r="I88" i="48" s="1"/>
  <c r="D38" i="451"/>
  <c r="D39" i="451"/>
  <c r="E39" i="451"/>
  <c r="E12" i="451"/>
  <c r="D12" i="451"/>
  <c r="B41" i="468" l="1"/>
  <c r="BD42" i="473" s="1"/>
  <c r="B42" i="468"/>
  <c r="BD43" i="473" s="1"/>
  <c r="B43" i="468"/>
  <c r="B44" i="468"/>
  <c r="B45" i="468"/>
  <c r="B47" i="468"/>
  <c r="B48" i="468"/>
  <c r="B49" i="468"/>
  <c r="BD50" i="473" s="1"/>
  <c r="B50" i="468"/>
  <c r="V140" i="424" l="1"/>
  <c r="BD51" i="473"/>
  <c r="U140" i="424"/>
  <c r="BD49" i="473"/>
  <c r="S140" i="424"/>
  <c r="BD46" i="473"/>
  <c r="Q140" i="424"/>
  <c r="BD44" i="473"/>
  <c r="T140" i="424"/>
  <c r="BD48" i="473"/>
  <c r="R140" i="424"/>
  <c r="BD45" i="473"/>
  <c r="N13" i="394"/>
  <c r="N12" i="394"/>
  <c r="N11" i="394"/>
  <c r="N10" i="394"/>
  <c r="N9" i="394"/>
  <c r="N8" i="394"/>
  <c r="N7" i="394"/>
  <c r="N6" i="394"/>
  <c r="N5" i="394"/>
  <c r="N4" i="394"/>
  <c r="L13" i="394"/>
  <c r="L12" i="394"/>
  <c r="L11" i="394"/>
  <c r="L10" i="394"/>
  <c r="L9" i="394"/>
  <c r="L8" i="394"/>
  <c r="L7" i="394"/>
  <c r="L6" i="394"/>
  <c r="L5" i="394"/>
  <c r="L4" i="394"/>
  <c r="J13" i="394"/>
  <c r="J12" i="394"/>
  <c r="J11" i="394"/>
  <c r="J10" i="394"/>
  <c r="J9" i="394"/>
  <c r="J8" i="394"/>
  <c r="J7" i="394"/>
  <c r="J6" i="394"/>
  <c r="J5" i="394"/>
  <c r="J4" i="394"/>
  <c r="Q19" i="3" l="1"/>
  <c r="G79" i="426" l="1"/>
  <c r="E62" i="458" l="1"/>
  <c r="F62" i="458"/>
  <c r="H62" i="458"/>
  <c r="I62" i="458"/>
  <c r="J62" i="458"/>
  <c r="K62" i="458"/>
  <c r="M62" i="458"/>
  <c r="N62" i="458"/>
  <c r="O62" i="458"/>
  <c r="I51" i="48" l="1"/>
  <c r="I19" i="48"/>
  <c r="I20" i="48"/>
  <c r="K59" i="468"/>
  <c r="M6" i="457" l="1"/>
  <c r="L6" i="457"/>
  <c r="K6" i="457"/>
  <c r="J6" i="457"/>
  <c r="I6" i="457"/>
  <c r="B63" i="458"/>
  <c r="B37" i="473" s="1"/>
  <c r="L48" i="47" l="1"/>
  <c r="L43" i="47"/>
  <c r="L39" i="47"/>
  <c r="L36" i="47"/>
  <c r="L33" i="47"/>
  <c r="F46" i="452" l="1"/>
  <c r="G55" i="48" l="1"/>
  <c r="D52" i="382" l="1"/>
  <c r="J88" i="7"/>
  <c r="I89" i="7"/>
  <c r="M91" i="7" s="1"/>
  <c r="L50" i="47"/>
  <c r="I39" i="47"/>
  <c r="F36" i="47"/>
  <c r="F107" i="2"/>
  <c r="L52" i="47" l="1"/>
  <c r="E66" i="392"/>
  <c r="E63" i="392"/>
  <c r="E60" i="392"/>
  <c r="E57" i="392"/>
  <c r="E49" i="392"/>
  <c r="E46" i="392"/>
  <c r="E43" i="392"/>
  <c r="E40" i="392"/>
  <c r="E37" i="392"/>
  <c r="L83" i="7"/>
  <c r="I83" i="7"/>
  <c r="M82" i="7" s="1"/>
  <c r="D25" i="442"/>
  <c r="I82" i="49"/>
  <c r="I80" i="49"/>
  <c r="I78" i="49"/>
  <c r="B4" i="4"/>
  <c r="C83" i="435" l="1"/>
  <c r="H69" i="392"/>
  <c r="H52" i="392"/>
  <c r="E11" i="451"/>
  <c r="H72" i="392" l="1"/>
  <c r="B8" i="424" l="1"/>
  <c r="L15" i="9"/>
  <c r="G95" i="426"/>
  <c r="G96" i="426"/>
  <c r="G76" i="426"/>
  <c r="G89" i="426"/>
  <c r="G87" i="426"/>
  <c r="I60" i="32" l="1"/>
  <c r="H41" i="394"/>
  <c r="H40" i="394"/>
  <c r="H39" i="394"/>
  <c r="H38" i="394"/>
  <c r="H37" i="394"/>
  <c r="H36" i="394"/>
  <c r="H35" i="394"/>
  <c r="H34" i="394"/>
  <c r="H33" i="394"/>
  <c r="H32" i="394"/>
  <c r="D158" i="426" l="1"/>
  <c r="D159" i="426"/>
  <c r="D164" i="426"/>
  <c r="D165" i="426"/>
  <c r="D167" i="426"/>
  <c r="C171" i="426" s="1"/>
  <c r="E64" i="457"/>
  <c r="D168" i="426"/>
  <c r="I64" i="457"/>
  <c r="D169" i="426"/>
  <c r="D171" i="426"/>
  <c r="D172" i="426"/>
  <c r="D173" i="426"/>
  <c r="D177" i="426"/>
  <c r="I84" i="9" s="1"/>
  <c r="C178" i="426"/>
  <c r="G16" i="479" s="1"/>
  <c r="C179" i="426"/>
  <c r="G17" i="479" s="1"/>
  <c r="C180" i="426"/>
  <c r="G18" i="479" s="1"/>
  <c r="C181" i="426"/>
  <c r="G19" i="479" s="1"/>
  <c r="C182" i="426"/>
  <c r="G20" i="479" s="1"/>
  <c r="C183" i="426"/>
  <c r="G21" i="479" s="1"/>
  <c r="C184" i="426"/>
  <c r="G22" i="479" s="1"/>
  <c r="C185" i="426"/>
  <c r="G23" i="479" s="1"/>
  <c r="C186" i="426"/>
  <c r="G24" i="479" s="1"/>
  <c r="C187" i="426"/>
  <c r="G25" i="479" s="1"/>
  <c r="C188" i="426"/>
  <c r="G26" i="479" s="1"/>
  <c r="C189" i="426"/>
  <c r="G27" i="479" s="1"/>
  <c r="C190" i="426"/>
  <c r="G28" i="479" s="1"/>
  <c r="D192" i="426"/>
  <c r="D193" i="426" s="1"/>
  <c r="E134" i="426"/>
  <c r="J42" i="464" s="1"/>
  <c r="E135" i="426"/>
  <c r="M43" i="464" s="1"/>
  <c r="E138" i="426"/>
  <c r="D61" i="468" s="1"/>
  <c r="E136" i="426"/>
  <c r="B74" i="32" s="1"/>
  <c r="G125" i="426"/>
  <c r="G122" i="426"/>
  <c r="H86" i="451"/>
  <c r="E22" i="12" s="1"/>
  <c r="K99" i="392"/>
  <c r="B100" i="392"/>
  <c r="B126" i="468"/>
  <c r="I118" i="9"/>
  <c r="H184" i="49"/>
  <c r="H183" i="49"/>
  <c r="H180" i="49"/>
  <c r="E140" i="3"/>
  <c r="I140" i="3" s="1"/>
  <c r="D23" i="435" s="1"/>
  <c r="C22" i="442"/>
  <c r="C21" i="442"/>
  <c r="F37" i="452"/>
  <c r="G150" i="376"/>
  <c r="G147" i="376"/>
  <c r="G144" i="376"/>
  <c r="G141" i="376"/>
  <c r="G138" i="376"/>
  <c r="G135" i="376"/>
  <c r="G132" i="376"/>
  <c r="G129" i="376"/>
  <c r="G126" i="376"/>
  <c r="D17" i="2"/>
  <c r="F4" i="2"/>
  <c r="F7" i="2"/>
  <c r="G57" i="6"/>
  <c r="M107" i="463"/>
  <c r="M33" i="458"/>
  <c r="L33" i="458"/>
  <c r="K33" i="458"/>
  <c r="I33" i="458"/>
  <c r="H33" i="458"/>
  <c r="G33" i="458"/>
  <c r="F33" i="458"/>
  <c r="E33" i="458"/>
  <c r="O26" i="458"/>
  <c r="N26" i="458"/>
  <c r="M26" i="458"/>
  <c r="L26" i="458"/>
  <c r="K26" i="458"/>
  <c r="J26" i="458"/>
  <c r="I26" i="458"/>
  <c r="H26" i="458"/>
  <c r="G26" i="458"/>
  <c r="F26" i="458"/>
  <c r="E26" i="458"/>
  <c r="O24" i="458"/>
  <c r="N24" i="458"/>
  <c r="M24" i="458"/>
  <c r="L24" i="458"/>
  <c r="K24" i="458"/>
  <c r="J24" i="458"/>
  <c r="I24" i="458"/>
  <c r="H24" i="458"/>
  <c r="G24" i="458"/>
  <c r="F24" i="458"/>
  <c r="E24" i="458"/>
  <c r="D56" i="457"/>
  <c r="K48" i="395"/>
  <c r="K44" i="395"/>
  <c r="K40" i="395"/>
  <c r="K36" i="395"/>
  <c r="K32" i="395"/>
  <c r="K28" i="395"/>
  <c r="K24" i="395"/>
  <c r="K20" i="395"/>
  <c r="K16" i="395"/>
  <c r="K12" i="395"/>
  <c r="B39" i="468"/>
  <c r="BD40" i="473" s="1"/>
  <c r="B40" i="468"/>
  <c r="F100" i="2"/>
  <c r="F97" i="2"/>
  <c r="J122" i="2"/>
  <c r="B14" i="12" s="1"/>
  <c r="J88" i="2"/>
  <c r="F75" i="2"/>
  <c r="F61" i="2"/>
  <c r="E100" i="2"/>
  <c r="E97" i="2"/>
  <c r="O17" i="95"/>
  <c r="F99" i="2" s="1"/>
  <c r="I134" i="3"/>
  <c r="D19" i="435" s="1"/>
  <c r="E63" i="3"/>
  <c r="F9" i="452"/>
  <c r="F5" i="452"/>
  <c r="F126" i="2"/>
  <c r="F94" i="2"/>
  <c r="F91" i="2"/>
  <c r="F81" i="2"/>
  <c r="I14" i="491" s="1"/>
  <c r="L17" i="491" s="1"/>
  <c r="L77" i="491" s="1"/>
  <c r="Q82" i="3"/>
  <c r="F64" i="2"/>
  <c r="F58" i="2"/>
  <c r="F55" i="2"/>
  <c r="Q45" i="3" s="1"/>
  <c r="F51" i="2"/>
  <c r="F48" i="2"/>
  <c r="Q101" i="3" s="1"/>
  <c r="F41" i="2"/>
  <c r="F38" i="2"/>
  <c r="Q29" i="3" s="1"/>
  <c r="F35" i="2"/>
  <c r="F32" i="2"/>
  <c r="Q23" i="3" s="1"/>
  <c r="B75" i="487"/>
  <c r="B129" i="468"/>
  <c r="N49" i="473" s="1"/>
  <c r="AE1" i="471"/>
  <c r="AD1" i="471"/>
  <c r="G26" i="74"/>
  <c r="H27" i="32"/>
  <c r="H24" i="32"/>
  <c r="C67" i="474"/>
  <c r="H168" i="3"/>
  <c r="H171" i="3"/>
  <c r="H176" i="3"/>
  <c r="J7" i="476" s="1"/>
  <c r="H196" i="3"/>
  <c r="H203" i="3"/>
  <c r="H201" i="3" s="1"/>
  <c r="H206" i="3"/>
  <c r="C28" i="435" s="1"/>
  <c r="L209" i="3"/>
  <c r="I67" i="491" s="1"/>
  <c r="H232" i="3"/>
  <c r="L235" i="3"/>
  <c r="B284" i="3" s="1"/>
  <c r="H162" i="3"/>
  <c r="H159" i="3"/>
  <c r="H155" i="3"/>
  <c r="D111" i="7" s="1"/>
  <c r="D155" i="3"/>
  <c r="I154" i="3" s="1"/>
  <c r="H149" i="3"/>
  <c r="I58" i="491" s="1"/>
  <c r="H146" i="3"/>
  <c r="C20" i="435" s="1"/>
  <c r="D146" i="3"/>
  <c r="D143" i="3"/>
  <c r="H140" i="3"/>
  <c r="C23" i="435" s="1"/>
  <c r="D140" i="3"/>
  <c r="H137" i="3"/>
  <c r="C24" i="435" s="1"/>
  <c r="B109" i="468"/>
  <c r="B110" i="468"/>
  <c r="B111" i="468"/>
  <c r="B112" i="468"/>
  <c r="BJ11" i="473" s="1"/>
  <c r="B113" i="468"/>
  <c r="C148" i="424" s="1"/>
  <c r="B114" i="468"/>
  <c r="BJ13" i="473" s="1"/>
  <c r="B115" i="468"/>
  <c r="E148" i="424" s="1"/>
  <c r="B116" i="468"/>
  <c r="BJ15" i="473" s="1"/>
  <c r="B117" i="468"/>
  <c r="G148" i="424" s="1"/>
  <c r="B118" i="468"/>
  <c r="BJ17" i="473" s="1"/>
  <c r="B119" i="468"/>
  <c r="I148" i="424" s="1"/>
  <c r="B120" i="468"/>
  <c r="BJ19" i="473" s="1"/>
  <c r="B121" i="468"/>
  <c r="K148" i="424" s="1"/>
  <c r="J112" i="392"/>
  <c r="B115" i="392" s="1"/>
  <c r="M59" i="468"/>
  <c r="L59" i="468"/>
  <c r="L95" i="466"/>
  <c r="L94" i="466"/>
  <c r="L81" i="466"/>
  <c r="L87" i="466" s="1"/>
  <c r="L55" i="466"/>
  <c r="L57" i="466" s="1"/>
  <c r="J32" i="7"/>
  <c r="B106" i="468"/>
  <c r="B107" i="468"/>
  <c r="B108" i="468"/>
  <c r="B105" i="468"/>
  <c r="B60" i="468"/>
  <c r="BG5" i="473" s="1"/>
  <c r="B61" i="468"/>
  <c r="BG6" i="473" s="1"/>
  <c r="B62" i="468"/>
  <c r="BG7" i="473" s="1"/>
  <c r="B63" i="468"/>
  <c r="BG8" i="473" s="1"/>
  <c r="B64" i="468"/>
  <c r="BG9" i="473" s="1"/>
  <c r="B65" i="468"/>
  <c r="BG10" i="473" s="1"/>
  <c r="B66" i="468"/>
  <c r="BG11" i="473" s="1"/>
  <c r="B67" i="468"/>
  <c r="BG12" i="473" s="1"/>
  <c r="B68" i="468"/>
  <c r="BG13" i="473" s="1"/>
  <c r="B69" i="468"/>
  <c r="BG14" i="473" s="1"/>
  <c r="B70" i="468"/>
  <c r="BG15" i="473" s="1"/>
  <c r="B71" i="468"/>
  <c r="BG16" i="473" s="1"/>
  <c r="B72" i="468"/>
  <c r="BG17" i="473" s="1"/>
  <c r="B73" i="468"/>
  <c r="BG18" i="473" s="1"/>
  <c r="B74" i="468"/>
  <c r="BG19" i="473" s="1"/>
  <c r="B75" i="468"/>
  <c r="BG20" i="473" s="1"/>
  <c r="B76" i="468"/>
  <c r="BG21" i="473" s="1"/>
  <c r="B77" i="468"/>
  <c r="BG22" i="473" s="1"/>
  <c r="B78" i="468"/>
  <c r="BG23" i="473" s="1"/>
  <c r="B79" i="468"/>
  <c r="BG24" i="473" s="1"/>
  <c r="B80" i="468"/>
  <c r="BG25" i="473" s="1"/>
  <c r="B81" i="468"/>
  <c r="BG26" i="473" s="1"/>
  <c r="B82" i="468"/>
  <c r="BG27" i="473" s="1"/>
  <c r="BG31" i="473"/>
  <c r="BG32" i="473"/>
  <c r="BG33" i="473"/>
  <c r="BG34" i="473"/>
  <c r="BG35" i="473"/>
  <c r="BG36" i="473"/>
  <c r="BG37" i="473"/>
  <c r="BG38" i="473"/>
  <c r="BG39" i="473"/>
  <c r="BG40" i="473"/>
  <c r="BG41" i="473"/>
  <c r="BG42" i="473"/>
  <c r="BG43" i="473"/>
  <c r="BG44" i="473"/>
  <c r="BG45" i="473"/>
  <c r="BG46" i="473"/>
  <c r="BG47" i="473"/>
  <c r="B59" i="468"/>
  <c r="BG4" i="473" s="1"/>
  <c r="B4" i="468"/>
  <c r="BD5" i="473" s="1"/>
  <c r="B5" i="468"/>
  <c r="B6" i="468"/>
  <c r="B7" i="468"/>
  <c r="BD8" i="473" s="1"/>
  <c r="B9" i="468"/>
  <c r="B10" i="468"/>
  <c r="B11" i="468"/>
  <c r="D140" i="424" s="1"/>
  <c r="B12" i="468"/>
  <c r="E140" i="424" s="1"/>
  <c r="B13" i="468"/>
  <c r="BD14" i="473" s="1"/>
  <c r="B14" i="468"/>
  <c r="F140" i="424" s="1"/>
  <c r="B15" i="468"/>
  <c r="B16" i="468"/>
  <c r="BD17" i="473" s="1"/>
  <c r="B17" i="468"/>
  <c r="BD18" i="473" s="1"/>
  <c r="B19" i="468"/>
  <c r="B20" i="468"/>
  <c r="B21" i="468"/>
  <c r="I140" i="424" s="1"/>
  <c r="B22" i="468"/>
  <c r="BD23" i="473" s="1"/>
  <c r="B23" i="468"/>
  <c r="BD24" i="473" s="1"/>
  <c r="B24" i="468"/>
  <c r="B25" i="468"/>
  <c r="BD26" i="473" s="1"/>
  <c r="B26" i="468"/>
  <c r="BD27" i="473" s="1"/>
  <c r="B27" i="468"/>
  <c r="BD28" i="473" s="1"/>
  <c r="B28" i="468"/>
  <c r="B29" i="468"/>
  <c r="L140" i="424" s="1"/>
  <c r="B30" i="468"/>
  <c r="BD31" i="473" s="1"/>
  <c r="B31" i="468"/>
  <c r="BD32" i="473" s="1"/>
  <c r="B32" i="468"/>
  <c r="B33" i="468"/>
  <c r="BD34" i="473" s="1"/>
  <c r="B34" i="468"/>
  <c r="BD35" i="473" s="1"/>
  <c r="B35" i="468"/>
  <c r="BD36" i="473" s="1"/>
  <c r="B36" i="468"/>
  <c r="N140" i="424" s="1"/>
  <c r="B37" i="468"/>
  <c r="O140" i="424" s="1"/>
  <c r="B38" i="468"/>
  <c r="BD39" i="473" s="1"/>
  <c r="B3" i="468"/>
  <c r="BD4" i="473" s="1"/>
  <c r="B3" i="467"/>
  <c r="BA5" i="473" s="1"/>
  <c r="B4" i="467"/>
  <c r="BA6" i="473" s="1"/>
  <c r="B5" i="467"/>
  <c r="BA7" i="473" s="1"/>
  <c r="B6" i="467"/>
  <c r="F136" i="424" s="1"/>
  <c r="B7" i="467"/>
  <c r="BA9" i="473" s="1"/>
  <c r="B8" i="467"/>
  <c r="G136" i="424" s="1"/>
  <c r="B9" i="467"/>
  <c r="H136" i="424" s="1"/>
  <c r="B10" i="467"/>
  <c r="I136" i="424" s="1"/>
  <c r="B11" i="467"/>
  <c r="J136" i="424" s="1"/>
  <c r="B12" i="467"/>
  <c r="BA14" i="473" s="1"/>
  <c r="B13" i="467"/>
  <c r="BA15" i="473" s="1"/>
  <c r="B14" i="467"/>
  <c r="BA16" i="473" s="1"/>
  <c r="B15" i="467"/>
  <c r="N136" i="424" s="1"/>
  <c r="B16" i="467"/>
  <c r="O136" i="424" s="1"/>
  <c r="B17" i="467"/>
  <c r="BA19" i="473" s="1"/>
  <c r="B18" i="467"/>
  <c r="BA20" i="473" s="1"/>
  <c r="B19" i="467"/>
  <c r="R136" i="424" s="1"/>
  <c r="B20" i="467"/>
  <c r="S136" i="424" s="1"/>
  <c r="B21" i="467"/>
  <c r="T136" i="424" s="1"/>
  <c r="B22" i="467"/>
  <c r="B23" i="467"/>
  <c r="U136" i="424" s="1"/>
  <c r="B24" i="467"/>
  <c r="V136" i="424" s="1"/>
  <c r="B25" i="467"/>
  <c r="BA27" i="473" s="1"/>
  <c r="B27" i="467"/>
  <c r="B2" i="467"/>
  <c r="B136" i="424" s="1"/>
  <c r="W49" i="466"/>
  <c r="W48" i="466"/>
  <c r="W47" i="466"/>
  <c r="W46" i="466"/>
  <c r="W45" i="466"/>
  <c r="W44" i="466"/>
  <c r="W43" i="466"/>
  <c r="W42" i="466"/>
  <c r="W41" i="466"/>
  <c r="W40" i="466"/>
  <c r="W39" i="466"/>
  <c r="W38" i="466"/>
  <c r="AZ156" i="424" s="1"/>
  <c r="W37" i="466"/>
  <c r="W36" i="466"/>
  <c r="W35" i="466"/>
  <c r="W34" i="466"/>
  <c r="AS156" i="424" s="1"/>
  <c r="W33" i="466"/>
  <c r="W32" i="466"/>
  <c r="W31" i="466"/>
  <c r="W30" i="466"/>
  <c r="AL156" i="424" s="1"/>
  <c r="W29" i="466"/>
  <c r="W28" i="466"/>
  <c r="W27" i="466"/>
  <c r="W26" i="466"/>
  <c r="AE156" i="424" s="1"/>
  <c r="W25" i="466"/>
  <c r="W24" i="466"/>
  <c r="W23" i="466"/>
  <c r="W22" i="466"/>
  <c r="X156" i="424" s="1"/>
  <c r="W21" i="466"/>
  <c r="W20" i="466"/>
  <c r="W19" i="466"/>
  <c r="W18" i="466"/>
  <c r="Q156" i="424" s="1"/>
  <c r="W17" i="466"/>
  <c r="W16" i="466"/>
  <c r="W15" i="466"/>
  <c r="W14" i="466"/>
  <c r="J156" i="424" s="1"/>
  <c r="W13" i="466"/>
  <c r="W12" i="466"/>
  <c r="W11" i="466"/>
  <c r="W10" i="466"/>
  <c r="C156" i="424" s="1"/>
  <c r="AU6" i="473"/>
  <c r="AU7" i="473"/>
  <c r="AU8" i="473"/>
  <c r="AU9" i="473"/>
  <c r="AU10" i="473"/>
  <c r="AU11" i="473"/>
  <c r="AU12" i="473"/>
  <c r="AU13" i="473"/>
  <c r="AU14" i="473"/>
  <c r="AU15" i="473"/>
  <c r="AU16" i="473"/>
  <c r="AU17" i="473"/>
  <c r="AU18" i="473"/>
  <c r="D132" i="424"/>
  <c r="AU20" i="473"/>
  <c r="AU21" i="473"/>
  <c r="AU22" i="473"/>
  <c r="AU23" i="473"/>
  <c r="AU24" i="473"/>
  <c r="AU25" i="473"/>
  <c r="AU26" i="473"/>
  <c r="AU27" i="473"/>
  <c r="AU28" i="473"/>
  <c r="AU29" i="473"/>
  <c r="AU30" i="473"/>
  <c r="AU31" i="473"/>
  <c r="AU32" i="473"/>
  <c r="AU33" i="473"/>
  <c r="AU34" i="473"/>
  <c r="AU35" i="473"/>
  <c r="AU36" i="473"/>
  <c r="AU37" i="473"/>
  <c r="AU38" i="473"/>
  <c r="AU39" i="473"/>
  <c r="AU40" i="473"/>
  <c r="AU41" i="473"/>
  <c r="AU42" i="473"/>
  <c r="AU43" i="473"/>
  <c r="AU44" i="473"/>
  <c r="AU45" i="473"/>
  <c r="AU46" i="473"/>
  <c r="AU47" i="473"/>
  <c r="AU48" i="473"/>
  <c r="AU49" i="473"/>
  <c r="E132" i="424"/>
  <c r="AU51" i="473"/>
  <c r="AU53" i="473"/>
  <c r="AU54" i="473"/>
  <c r="AU55" i="473"/>
  <c r="AU56" i="473"/>
  <c r="AU57" i="473"/>
  <c r="AU58" i="473"/>
  <c r="AU59" i="473"/>
  <c r="H132" i="424"/>
  <c r="AU61" i="473"/>
  <c r="AU62" i="473"/>
  <c r="AU63" i="473"/>
  <c r="AU64" i="473"/>
  <c r="AU65" i="473"/>
  <c r="AU66" i="473"/>
  <c r="J132" i="424"/>
  <c r="AU69" i="473"/>
  <c r="AU70" i="473"/>
  <c r="AU71" i="473"/>
  <c r="AU72" i="473"/>
  <c r="AU73" i="473"/>
  <c r="AU74" i="473"/>
  <c r="AU75" i="473"/>
  <c r="AX4" i="473"/>
  <c r="AX7" i="473"/>
  <c r="AX8" i="473"/>
  <c r="AX9" i="473"/>
  <c r="AX10" i="473"/>
  <c r="AX11" i="473"/>
  <c r="AX12" i="473"/>
  <c r="AX13" i="473"/>
  <c r="AX14" i="473"/>
  <c r="AX15" i="473"/>
  <c r="AX16" i="473"/>
  <c r="AX18" i="473"/>
  <c r="AX19" i="473"/>
  <c r="AX20" i="473"/>
  <c r="AX21" i="473"/>
  <c r="AX22" i="473"/>
  <c r="AX23" i="473"/>
  <c r="AX24" i="473"/>
  <c r="P132" i="424"/>
  <c r="AX26" i="473"/>
  <c r="AX27" i="473"/>
  <c r="AX32" i="473"/>
  <c r="AX33" i="473"/>
  <c r="AX34" i="473"/>
  <c r="AX35" i="473"/>
  <c r="AX36" i="473"/>
  <c r="AX37" i="473"/>
  <c r="AX38" i="473"/>
  <c r="AX39" i="473"/>
  <c r="AX40" i="473"/>
  <c r="AX41" i="473"/>
  <c r="AX42" i="473"/>
  <c r="AX43" i="473"/>
  <c r="AX44" i="473"/>
  <c r="AX45" i="473"/>
  <c r="AX46" i="473"/>
  <c r="AX47" i="473"/>
  <c r="AX48" i="473"/>
  <c r="AX49" i="473"/>
  <c r="AX50" i="473"/>
  <c r="AX51" i="473"/>
  <c r="AX52" i="473"/>
  <c r="AX53" i="473"/>
  <c r="U132" i="424"/>
  <c r="AX55" i="473"/>
  <c r="W132" i="424"/>
  <c r="Y132" i="424"/>
  <c r="AX59" i="473"/>
  <c r="AA132" i="424"/>
  <c r="AX61" i="473"/>
  <c r="B2" i="466"/>
  <c r="AU4" i="473" s="1"/>
  <c r="B3" i="465"/>
  <c r="AR5" i="473" s="1"/>
  <c r="B4" i="465"/>
  <c r="AR6" i="473" s="1"/>
  <c r="B5" i="465"/>
  <c r="AR7" i="473" s="1"/>
  <c r="B6" i="465"/>
  <c r="AR8" i="473" s="1"/>
  <c r="AR11" i="473"/>
  <c r="AR12" i="473"/>
  <c r="AR13" i="473"/>
  <c r="AR14" i="473"/>
  <c r="AR15" i="473"/>
  <c r="AR16" i="473"/>
  <c r="AR17" i="473"/>
  <c r="F128" i="424"/>
  <c r="AR21" i="473"/>
  <c r="AR22" i="473"/>
  <c r="AR23" i="473"/>
  <c r="AR24" i="473"/>
  <c r="AR25" i="473"/>
  <c r="AR28" i="473"/>
  <c r="AR29" i="473"/>
  <c r="AR30" i="473"/>
  <c r="AR31" i="473"/>
  <c r="AR32" i="473"/>
  <c r="AR33" i="473"/>
  <c r="AR34" i="473"/>
  <c r="AR37" i="473"/>
  <c r="AR38" i="473"/>
  <c r="AR39" i="473"/>
  <c r="AR42" i="473"/>
  <c r="H128" i="424"/>
  <c r="AR46" i="473"/>
  <c r="AR47" i="473"/>
  <c r="AR48" i="473"/>
  <c r="AR49" i="473"/>
  <c r="AR50" i="473"/>
  <c r="AR51" i="473"/>
  <c r="AR52" i="473"/>
  <c r="AR53" i="473"/>
  <c r="AR54" i="473"/>
  <c r="AR55" i="473"/>
  <c r="AR56" i="473"/>
  <c r="AR58" i="473"/>
  <c r="AR59" i="473"/>
  <c r="AR60" i="473"/>
  <c r="AR61" i="473"/>
  <c r="L128" i="424"/>
  <c r="N128" i="424"/>
  <c r="B2" i="465"/>
  <c r="AR4" i="473" s="1"/>
  <c r="B39" i="464"/>
  <c r="AL6" i="473" s="1"/>
  <c r="B40" i="464"/>
  <c r="AL7" i="473" s="1"/>
  <c r="B41" i="464"/>
  <c r="AL8" i="473" s="1"/>
  <c r="B44" i="464"/>
  <c r="AL11" i="473" s="1"/>
  <c r="B45" i="464"/>
  <c r="AL12" i="473" s="1"/>
  <c r="B46" i="464"/>
  <c r="AL13" i="473" s="1"/>
  <c r="B47" i="464"/>
  <c r="AL14" i="473" s="1"/>
  <c r="B48" i="464"/>
  <c r="AL15" i="473" s="1"/>
  <c r="B49" i="464"/>
  <c r="AL16" i="473" s="1"/>
  <c r="B50" i="464"/>
  <c r="AL17" i="473" s="1"/>
  <c r="B52" i="464"/>
  <c r="AL19" i="473" s="1"/>
  <c r="B53" i="464"/>
  <c r="AL20" i="473" s="1"/>
  <c r="B54" i="464"/>
  <c r="AL21" i="473" s="1"/>
  <c r="B55" i="464"/>
  <c r="AL22" i="473" s="1"/>
  <c r="B56" i="464"/>
  <c r="AL23" i="473" s="1"/>
  <c r="B57" i="464"/>
  <c r="AL24" i="473" s="1"/>
  <c r="B58" i="464"/>
  <c r="B59" i="464"/>
  <c r="AL26" i="473" s="1"/>
  <c r="B60" i="464"/>
  <c r="AL27" i="473" s="1"/>
  <c r="B63" i="464"/>
  <c r="AL30" i="473" s="1"/>
  <c r="B64" i="464"/>
  <c r="AL31" i="473" s="1"/>
  <c r="B65" i="464"/>
  <c r="AL32" i="473" s="1"/>
  <c r="B66" i="464"/>
  <c r="AL33" i="473" s="1"/>
  <c r="B67" i="464"/>
  <c r="AL34" i="473" s="1"/>
  <c r="B68" i="464"/>
  <c r="AL35" i="473" s="1"/>
  <c r="B69" i="464"/>
  <c r="AL36" i="473" s="1"/>
  <c r="B70" i="464"/>
  <c r="AL37" i="473" s="1"/>
  <c r="B71" i="464"/>
  <c r="AL38" i="473" s="1"/>
  <c r="B72" i="464"/>
  <c r="AL39" i="473" s="1"/>
  <c r="B73" i="464"/>
  <c r="AL40" i="473" s="1"/>
  <c r="B74" i="464"/>
  <c r="B75" i="464"/>
  <c r="L116" i="424" s="1"/>
  <c r="B76" i="464"/>
  <c r="AL43" i="473" s="1"/>
  <c r="AL44" i="473"/>
  <c r="AL47" i="473"/>
  <c r="AL48" i="473"/>
  <c r="AL49" i="473"/>
  <c r="AL50" i="473"/>
  <c r="AL51" i="473"/>
  <c r="AL52" i="473"/>
  <c r="AL53" i="473"/>
  <c r="AL54" i="473"/>
  <c r="AL55" i="473"/>
  <c r="AO4" i="473"/>
  <c r="AO5" i="473"/>
  <c r="AO6" i="473"/>
  <c r="AO7" i="473"/>
  <c r="AO8" i="473"/>
  <c r="AO9" i="473"/>
  <c r="AO10" i="473"/>
  <c r="AO11" i="473"/>
  <c r="AO12" i="473"/>
  <c r="AO13" i="473"/>
  <c r="AO14" i="473"/>
  <c r="AO15" i="473"/>
  <c r="AO18" i="473"/>
  <c r="AO19" i="473"/>
  <c r="AO20" i="473"/>
  <c r="AO21" i="473"/>
  <c r="AO22" i="473"/>
  <c r="AO23" i="473"/>
  <c r="AO25" i="473"/>
  <c r="AO26" i="473"/>
  <c r="AO28" i="473"/>
  <c r="AO29" i="473"/>
  <c r="AO30" i="473"/>
  <c r="AO31" i="473"/>
  <c r="AO32" i="473"/>
  <c r="AO33" i="473"/>
  <c r="AO34" i="473"/>
  <c r="B38" i="464"/>
  <c r="AL5" i="473" s="1"/>
  <c r="B5" i="464"/>
  <c r="AI6" i="473" s="1"/>
  <c r="B6" i="464"/>
  <c r="AI7" i="473" s="1"/>
  <c r="B7" i="464"/>
  <c r="AI8" i="473" s="1"/>
  <c r="B8" i="464"/>
  <c r="AI9" i="473" s="1"/>
  <c r="B9" i="464"/>
  <c r="AI10" i="473" s="1"/>
  <c r="B10" i="464"/>
  <c r="AI11" i="473" s="1"/>
  <c r="B11" i="464"/>
  <c r="AI12" i="473" s="1"/>
  <c r="B12" i="464"/>
  <c r="AI13" i="473" s="1"/>
  <c r="B13" i="464"/>
  <c r="AI14" i="473" s="1"/>
  <c r="B14" i="464"/>
  <c r="AI15" i="473" s="1"/>
  <c r="B15" i="464"/>
  <c r="B112" i="424" s="1"/>
  <c r="B16" i="464"/>
  <c r="AI17" i="473" s="1"/>
  <c r="B19" i="464"/>
  <c r="D112" i="424" s="1"/>
  <c r="B21" i="464"/>
  <c r="AI22" i="473" s="1"/>
  <c r="B23" i="464"/>
  <c r="AI24" i="473" s="1"/>
  <c r="B24" i="464"/>
  <c r="B25" i="464"/>
  <c r="AI26" i="473" s="1"/>
  <c r="B26" i="464"/>
  <c r="AI27" i="473" s="1"/>
  <c r="B29" i="464"/>
  <c r="B30" i="464"/>
  <c r="AI31" i="473" s="1"/>
  <c r="B31" i="464"/>
  <c r="B32" i="464"/>
  <c r="B33" i="464"/>
  <c r="L112" i="424" s="1"/>
  <c r="B34" i="464"/>
  <c r="AI35" i="473" s="1"/>
  <c r="B4" i="464"/>
  <c r="AI5" i="473" s="1"/>
  <c r="B151" i="463"/>
  <c r="AC5" i="473" s="1"/>
  <c r="B152" i="463"/>
  <c r="AC6" i="473" s="1"/>
  <c r="B153" i="463"/>
  <c r="AC7" i="473" s="1"/>
  <c r="B154" i="463"/>
  <c r="AC8" i="473" s="1"/>
  <c r="B155" i="463"/>
  <c r="C108" i="424" s="1"/>
  <c r="B157" i="463"/>
  <c r="AC11" i="473" s="1"/>
  <c r="B158" i="463"/>
  <c r="F108" i="424" s="1"/>
  <c r="B160" i="463"/>
  <c r="AC14" i="473" s="1"/>
  <c r="B161" i="463"/>
  <c r="AC15" i="473" s="1"/>
  <c r="B162" i="463"/>
  <c r="AC16" i="473" s="1"/>
  <c r="B163" i="463"/>
  <c r="B164" i="463"/>
  <c r="B165" i="463"/>
  <c r="B166" i="463"/>
  <c r="AC20" i="473" s="1"/>
  <c r="B167" i="463"/>
  <c r="AC21" i="473" s="1"/>
  <c r="B169" i="463"/>
  <c r="AC23" i="473" s="1"/>
  <c r="B170" i="463"/>
  <c r="AC24" i="473" s="1"/>
  <c r="B171" i="463"/>
  <c r="AC25" i="473" s="1"/>
  <c r="B172" i="463"/>
  <c r="AC26" i="473" s="1"/>
  <c r="B173" i="463"/>
  <c r="AC27" i="473" s="1"/>
  <c r="B174" i="463"/>
  <c r="AC28" i="473" s="1"/>
  <c r="B175" i="463"/>
  <c r="AC29" i="473" s="1"/>
  <c r="B176" i="463"/>
  <c r="AC30" i="473" s="1"/>
  <c r="B177" i="463"/>
  <c r="AC31" i="473" s="1"/>
  <c r="B178" i="463"/>
  <c r="AC32" i="473" s="1"/>
  <c r="B179" i="463"/>
  <c r="AC33" i="473" s="1"/>
  <c r="B180" i="463"/>
  <c r="AC34" i="473" s="1"/>
  <c r="B181" i="463"/>
  <c r="AC35" i="473" s="1"/>
  <c r="B182" i="463"/>
  <c r="AC36" i="473" s="1"/>
  <c r="B183" i="463"/>
  <c r="AC37" i="473" s="1"/>
  <c r="B184" i="463"/>
  <c r="AC38" i="473" s="1"/>
  <c r="B185" i="463"/>
  <c r="AC39" i="473" s="1"/>
  <c r="B186" i="463"/>
  <c r="AC40" i="473" s="1"/>
  <c r="B187" i="463"/>
  <c r="AC41" i="473" s="1"/>
  <c r="B188" i="463"/>
  <c r="AC42" i="473" s="1"/>
  <c r="B189" i="463"/>
  <c r="AC43" i="473" s="1"/>
  <c r="B190" i="463"/>
  <c r="AC44" i="473" s="1"/>
  <c r="B191" i="463"/>
  <c r="AC45" i="473" s="1"/>
  <c r="B192" i="463"/>
  <c r="AC46" i="473" s="1"/>
  <c r="B193" i="463"/>
  <c r="AC47" i="473" s="1"/>
  <c r="B194" i="463"/>
  <c r="AC48" i="473" s="1"/>
  <c r="B195" i="463"/>
  <c r="AC49" i="473" s="1"/>
  <c r="B196" i="463"/>
  <c r="AC50" i="473" s="1"/>
  <c r="B197" i="463"/>
  <c r="AC51" i="473" s="1"/>
  <c r="B198" i="463"/>
  <c r="AC52" i="473" s="1"/>
  <c r="B199" i="463"/>
  <c r="AC53" i="473" s="1"/>
  <c r="B200" i="463"/>
  <c r="AF4" i="473" s="1"/>
  <c r="B201" i="463"/>
  <c r="B202" i="463"/>
  <c r="AF6" i="473" s="1"/>
  <c r="B203" i="463"/>
  <c r="AF7" i="473" s="1"/>
  <c r="B204" i="463"/>
  <c r="AF8" i="473" s="1"/>
  <c r="B205" i="463"/>
  <c r="B206" i="463"/>
  <c r="AF10" i="473" s="1"/>
  <c r="B207" i="463"/>
  <c r="AF11" i="473" s="1"/>
  <c r="B208" i="463"/>
  <c r="AF12" i="473" s="1"/>
  <c r="B209" i="463"/>
  <c r="AF13" i="473" s="1"/>
  <c r="B210" i="463"/>
  <c r="AF14" i="473" s="1"/>
  <c r="B211" i="463"/>
  <c r="AF15" i="473" s="1"/>
  <c r="B214" i="463"/>
  <c r="AF18" i="473" s="1"/>
  <c r="B215" i="463"/>
  <c r="AF19" i="473" s="1"/>
  <c r="B150" i="463"/>
  <c r="AC4" i="473" s="1"/>
  <c r="B45" i="463"/>
  <c r="W5" i="473" s="1"/>
  <c r="B46" i="463"/>
  <c r="W6" i="473" s="1"/>
  <c r="B47" i="463"/>
  <c r="W7" i="473" s="1"/>
  <c r="B48" i="463"/>
  <c r="W8" i="473" s="1"/>
  <c r="B49" i="463"/>
  <c r="W9" i="473" s="1"/>
  <c r="B50" i="463"/>
  <c r="W10" i="473" s="1"/>
  <c r="B53" i="463"/>
  <c r="W13" i="473" s="1"/>
  <c r="B54" i="463"/>
  <c r="W14" i="473" s="1"/>
  <c r="B55" i="463"/>
  <c r="W15" i="473" s="1"/>
  <c r="B56" i="463"/>
  <c r="W16" i="473" s="1"/>
  <c r="B57" i="463"/>
  <c r="W17" i="473" s="1"/>
  <c r="B58" i="463"/>
  <c r="W18" i="473" s="1"/>
  <c r="B59" i="463"/>
  <c r="W19" i="473" s="1"/>
  <c r="W21" i="473"/>
  <c r="W22" i="473"/>
  <c r="W23" i="473"/>
  <c r="W24" i="473"/>
  <c r="W25" i="473"/>
  <c r="W26" i="473"/>
  <c r="W27" i="473"/>
  <c r="W28" i="473"/>
  <c r="W29" i="473"/>
  <c r="W30" i="473"/>
  <c r="W31" i="473"/>
  <c r="W32" i="473"/>
  <c r="W33" i="473"/>
  <c r="W34" i="473"/>
  <c r="W35" i="473"/>
  <c r="W36" i="473"/>
  <c r="W37" i="473"/>
  <c r="W38" i="473"/>
  <c r="W39" i="473"/>
  <c r="W40" i="473"/>
  <c r="W41" i="473"/>
  <c r="W42" i="473"/>
  <c r="W43" i="473"/>
  <c r="W44" i="473"/>
  <c r="W45" i="473"/>
  <c r="W46" i="473"/>
  <c r="W47" i="473"/>
  <c r="W48" i="473"/>
  <c r="W49" i="473"/>
  <c r="W50" i="473"/>
  <c r="W51" i="473"/>
  <c r="W52" i="473"/>
  <c r="W53" i="473"/>
  <c r="W54" i="473"/>
  <c r="W55" i="473"/>
  <c r="W56" i="473"/>
  <c r="Z6" i="473"/>
  <c r="Z7" i="473"/>
  <c r="Z8" i="473"/>
  <c r="Z10" i="473"/>
  <c r="Z11" i="473"/>
  <c r="Z12" i="473"/>
  <c r="Z13" i="473"/>
  <c r="Z19" i="473"/>
  <c r="C104" i="424"/>
  <c r="Z21" i="473"/>
  <c r="Z22" i="473"/>
  <c r="Z23" i="473"/>
  <c r="Z25" i="473"/>
  <c r="Z26" i="473"/>
  <c r="Z29" i="473"/>
  <c r="Z30" i="473"/>
  <c r="Z31" i="473"/>
  <c r="Z33" i="473"/>
  <c r="Z34" i="473"/>
  <c r="Z35" i="473"/>
  <c r="Z36" i="473"/>
  <c r="Z37" i="473"/>
  <c r="Z38" i="473"/>
  <c r="Z39" i="473"/>
  <c r="Z40" i="473"/>
  <c r="Z41" i="473"/>
  <c r="Z42" i="473"/>
  <c r="Z43" i="473"/>
  <c r="Z44" i="473"/>
  <c r="Z45" i="473"/>
  <c r="Z46" i="473"/>
  <c r="Z47" i="473"/>
  <c r="Z48" i="473"/>
  <c r="Z49" i="473"/>
  <c r="Z50" i="473"/>
  <c r="Z53" i="473"/>
  <c r="Z54" i="473"/>
  <c r="B44" i="463"/>
  <c r="W4" i="473" s="1"/>
  <c r="B4" i="463"/>
  <c r="T5" i="473" s="1"/>
  <c r="B5" i="463"/>
  <c r="T6" i="473" s="1"/>
  <c r="B6" i="463"/>
  <c r="T7" i="473" s="1"/>
  <c r="B7" i="463"/>
  <c r="T8" i="473" s="1"/>
  <c r="B8" i="463"/>
  <c r="T9" i="473" s="1"/>
  <c r="B9" i="463"/>
  <c r="T10" i="473" s="1"/>
  <c r="B10" i="463"/>
  <c r="T11" i="473" s="1"/>
  <c r="B11" i="463"/>
  <c r="T12" i="473" s="1"/>
  <c r="T15" i="473"/>
  <c r="T16" i="473"/>
  <c r="T17" i="473"/>
  <c r="T18" i="473"/>
  <c r="T19" i="473"/>
  <c r="T20" i="473"/>
  <c r="T21" i="473"/>
  <c r="T22" i="473"/>
  <c r="T23" i="473"/>
  <c r="T24" i="473"/>
  <c r="T25" i="473"/>
  <c r="T26" i="473"/>
  <c r="T27" i="473"/>
  <c r="T28" i="473"/>
  <c r="T29" i="473"/>
  <c r="T30" i="473"/>
  <c r="T31" i="473"/>
  <c r="T32" i="473"/>
  <c r="T34" i="473"/>
  <c r="T35" i="473"/>
  <c r="T36" i="473"/>
  <c r="T38" i="473"/>
  <c r="T39" i="473"/>
  <c r="B3" i="463"/>
  <c r="T4" i="473" s="1"/>
  <c r="C27" i="462"/>
  <c r="Q5" i="473" s="1"/>
  <c r="C28" i="462"/>
  <c r="Q6" i="473" s="1"/>
  <c r="C29" i="462"/>
  <c r="Q7" i="473" s="1"/>
  <c r="C30" i="462"/>
  <c r="Q8" i="473" s="1"/>
  <c r="C31" i="462"/>
  <c r="B96" i="424" s="1"/>
  <c r="C32" i="462"/>
  <c r="Q10" i="473" s="1"/>
  <c r="C33" i="462"/>
  <c r="Q11" i="473" s="1"/>
  <c r="C34" i="462"/>
  <c r="Q12" i="473" s="1"/>
  <c r="C35" i="462"/>
  <c r="Q13" i="473" s="1"/>
  <c r="C36" i="462"/>
  <c r="Q14" i="473" s="1"/>
  <c r="C38" i="462"/>
  <c r="Q16" i="473" s="1"/>
  <c r="C39" i="462"/>
  <c r="Q17" i="473" s="1"/>
  <c r="C40" i="462"/>
  <c r="Q18" i="473" s="1"/>
  <c r="C41" i="462"/>
  <c r="Q19" i="473" s="1"/>
  <c r="C42" i="462"/>
  <c r="D96" i="424" s="1"/>
  <c r="C43" i="462"/>
  <c r="Q21" i="473" s="1"/>
  <c r="C44" i="462"/>
  <c r="C46" i="462"/>
  <c r="Q24" i="473" s="1"/>
  <c r="C47" i="462"/>
  <c r="Q25" i="473" s="1"/>
  <c r="C48" i="462"/>
  <c r="Q26" i="473" s="1"/>
  <c r="C49" i="462"/>
  <c r="Q27" i="473" s="1"/>
  <c r="C50" i="462"/>
  <c r="Q28" i="473" s="1"/>
  <c r="C51" i="462"/>
  <c r="Q29" i="473" s="1"/>
  <c r="C53" i="462"/>
  <c r="Q31" i="473" s="1"/>
  <c r="C54" i="462"/>
  <c r="Q32" i="473" s="1"/>
  <c r="C55" i="462"/>
  <c r="Q33" i="473" s="1"/>
  <c r="C58" i="462"/>
  <c r="Q36" i="473" s="1"/>
  <c r="C61" i="462"/>
  <c r="Q39" i="473" s="1"/>
  <c r="C62" i="462"/>
  <c r="Q40" i="473" s="1"/>
  <c r="C64" i="462"/>
  <c r="C26" i="462"/>
  <c r="Q4" i="473" s="1"/>
  <c r="C4" i="462"/>
  <c r="N29" i="473" s="1"/>
  <c r="C5" i="462"/>
  <c r="C6" i="462"/>
  <c r="N31" i="473" s="1"/>
  <c r="C7" i="462"/>
  <c r="N32" i="473" s="1"/>
  <c r="C8" i="462"/>
  <c r="N33" i="473" s="1"/>
  <c r="C9" i="462"/>
  <c r="N34" i="473" s="1"/>
  <c r="C10" i="462"/>
  <c r="N35" i="473" s="1"/>
  <c r="C11" i="462"/>
  <c r="N36" i="473" s="1"/>
  <c r="C12" i="462"/>
  <c r="N37" i="473" s="1"/>
  <c r="C13" i="462"/>
  <c r="C14" i="462"/>
  <c r="N39" i="473" s="1"/>
  <c r="C15" i="462"/>
  <c r="I92" i="424" s="1"/>
  <c r="C16" i="462"/>
  <c r="N41" i="473" s="1"/>
  <c r="C17" i="462"/>
  <c r="C18" i="462"/>
  <c r="N43" i="473" s="1"/>
  <c r="C19" i="462"/>
  <c r="N44" i="473" s="1"/>
  <c r="C20" i="462"/>
  <c r="N45" i="473" s="1"/>
  <c r="C21" i="462"/>
  <c r="C22" i="462"/>
  <c r="C23" i="462"/>
  <c r="Q92" i="424" s="1"/>
  <c r="C3" i="462"/>
  <c r="B5" i="462"/>
  <c r="N6" i="473" s="1"/>
  <c r="B6" i="462"/>
  <c r="N7" i="473" s="1"/>
  <c r="B7" i="462"/>
  <c r="N8" i="473" s="1"/>
  <c r="B8" i="462"/>
  <c r="N9" i="473" s="1"/>
  <c r="B9" i="462"/>
  <c r="N10" i="473" s="1"/>
  <c r="B10" i="462"/>
  <c r="N11" i="473" s="1"/>
  <c r="B11" i="462"/>
  <c r="N12" i="473" s="1"/>
  <c r="B12" i="462"/>
  <c r="N13" i="473" s="1"/>
  <c r="B13" i="462"/>
  <c r="N14" i="473" s="1"/>
  <c r="B14" i="462"/>
  <c r="B15" i="462"/>
  <c r="B16" i="462"/>
  <c r="N17" i="473" s="1"/>
  <c r="B17" i="462"/>
  <c r="K88" i="424" s="1"/>
  <c r="B18" i="462"/>
  <c r="B19" i="462"/>
  <c r="N20" i="473" s="1"/>
  <c r="B20" i="462"/>
  <c r="N21" i="473" s="1"/>
  <c r="B21" i="462"/>
  <c r="N22" i="473" s="1"/>
  <c r="B22" i="462"/>
  <c r="B23" i="462"/>
  <c r="B3" i="462"/>
  <c r="B72" i="458"/>
  <c r="B46" i="473" s="1"/>
  <c r="B73" i="458"/>
  <c r="B47" i="473" s="1"/>
  <c r="B74" i="458"/>
  <c r="B48" i="473" s="1"/>
  <c r="B77" i="458"/>
  <c r="B51" i="473" s="1"/>
  <c r="B78" i="458"/>
  <c r="B52" i="473" s="1"/>
  <c r="B71" i="458"/>
  <c r="B67" i="458"/>
  <c r="B41" i="473" s="1"/>
  <c r="B68" i="458"/>
  <c r="B42" i="473" s="1"/>
  <c r="B66" i="458"/>
  <c r="B62" i="458"/>
  <c r="B36" i="473" s="1"/>
  <c r="B60" i="458"/>
  <c r="B55" i="458"/>
  <c r="E17" i="473" s="1"/>
  <c r="B56" i="458"/>
  <c r="E18" i="473" s="1"/>
  <c r="B57" i="458"/>
  <c r="E19" i="473" s="1"/>
  <c r="B54" i="458"/>
  <c r="B45" i="458"/>
  <c r="E9" i="473" s="1"/>
  <c r="B46" i="458"/>
  <c r="B47" i="458"/>
  <c r="B48" i="458"/>
  <c r="E12" i="473" s="1"/>
  <c r="B49" i="458"/>
  <c r="B50" i="458"/>
  <c r="E14" i="473" s="1"/>
  <c r="B51" i="458"/>
  <c r="E15" i="473" s="1"/>
  <c r="B44" i="458"/>
  <c r="E8" i="473" s="1"/>
  <c r="B39" i="458"/>
  <c r="E5" i="473" s="1"/>
  <c r="B40" i="458"/>
  <c r="E6" i="473" s="1"/>
  <c r="B41" i="458"/>
  <c r="B38" i="458"/>
  <c r="E4" i="473" s="1"/>
  <c r="B32" i="458"/>
  <c r="B28" i="473" s="1"/>
  <c r="B34" i="458"/>
  <c r="B30" i="473" s="1"/>
  <c r="B35" i="458"/>
  <c r="B31" i="473" s="1"/>
  <c r="B31" i="458"/>
  <c r="B21" i="458"/>
  <c r="B19" i="473" s="1"/>
  <c r="B22" i="458"/>
  <c r="B23" i="458"/>
  <c r="B24" i="458"/>
  <c r="B22" i="473" s="1"/>
  <c r="B25" i="458"/>
  <c r="B23" i="473" s="1"/>
  <c r="B26" i="458"/>
  <c r="B24" i="473" s="1"/>
  <c r="B27" i="458"/>
  <c r="B25" i="473" s="1"/>
  <c r="B28" i="458"/>
  <c r="B20" i="458"/>
  <c r="B12" i="458"/>
  <c r="B12" i="473" s="1"/>
  <c r="B13" i="458"/>
  <c r="B13" i="473" s="1"/>
  <c r="B14" i="458"/>
  <c r="B14" i="473" s="1"/>
  <c r="B15" i="458"/>
  <c r="B16" i="458"/>
  <c r="B16" i="473" s="1"/>
  <c r="B17" i="458"/>
  <c r="B17" i="473" s="1"/>
  <c r="B12" i="424"/>
  <c r="B87" i="457"/>
  <c r="K18" i="473" s="1"/>
  <c r="B88" i="457"/>
  <c r="K19" i="473" s="1"/>
  <c r="B89" i="457"/>
  <c r="K20" i="473" s="1"/>
  <c r="B90" i="457"/>
  <c r="K21" i="473" s="1"/>
  <c r="B91" i="457"/>
  <c r="C84" i="424" s="1"/>
  <c r="B92" i="457"/>
  <c r="B93" i="457"/>
  <c r="K24" i="473" s="1"/>
  <c r="B94" i="457"/>
  <c r="F84" i="424" s="1"/>
  <c r="B95" i="457"/>
  <c r="K26" i="473" s="1"/>
  <c r="B96" i="457"/>
  <c r="K30" i="473"/>
  <c r="K84" i="424"/>
  <c r="K32" i="473"/>
  <c r="K33" i="473"/>
  <c r="K34" i="473"/>
  <c r="P84" i="424"/>
  <c r="K37" i="473"/>
  <c r="K38" i="473"/>
  <c r="B86" i="457"/>
  <c r="K17" i="473" s="1"/>
  <c r="B51" i="457"/>
  <c r="C76" i="424" s="1"/>
  <c r="B52" i="457"/>
  <c r="H40" i="473" s="1"/>
  <c r="B53" i="457"/>
  <c r="H41" i="473" s="1"/>
  <c r="B54" i="457"/>
  <c r="H42" i="473" s="1"/>
  <c r="B55" i="457"/>
  <c r="H43" i="473" s="1"/>
  <c r="B56" i="457"/>
  <c r="H44" i="473" s="1"/>
  <c r="B57" i="457"/>
  <c r="H45" i="473" s="1"/>
  <c r="B58" i="457"/>
  <c r="H46" i="473" s="1"/>
  <c r="B59" i="457"/>
  <c r="K76" i="424" s="1"/>
  <c r="B60" i="457"/>
  <c r="H48" i="473" s="1"/>
  <c r="B50" i="457"/>
  <c r="B76" i="424" s="1"/>
  <c r="B44" i="457"/>
  <c r="C72" i="424" s="1"/>
  <c r="B45" i="457"/>
  <c r="H33" i="473" s="1"/>
  <c r="B46" i="457"/>
  <c r="H34" i="473" s="1"/>
  <c r="B47" i="457"/>
  <c r="H35" i="473" s="1"/>
  <c r="B43" i="457"/>
  <c r="B72" i="424" s="1"/>
  <c r="B33" i="457"/>
  <c r="H24" i="473" s="1"/>
  <c r="B34" i="457"/>
  <c r="D68" i="424" s="1"/>
  <c r="B35" i="457"/>
  <c r="H26" i="473" s="1"/>
  <c r="B36" i="457"/>
  <c r="H27" i="473" s="1"/>
  <c r="B37" i="457"/>
  <c r="H28" i="473" s="1"/>
  <c r="B38" i="457"/>
  <c r="H29" i="473" s="1"/>
  <c r="B39" i="457"/>
  <c r="H30" i="473" s="1"/>
  <c r="B32" i="457"/>
  <c r="B68" i="424" s="1"/>
  <c r="B28" i="457"/>
  <c r="H21" i="473" s="1"/>
  <c r="B22" i="457"/>
  <c r="B23" i="457"/>
  <c r="H17" i="473" s="1"/>
  <c r="B24" i="457"/>
  <c r="H18" i="473" s="1"/>
  <c r="B21" i="457"/>
  <c r="B11" i="457"/>
  <c r="B12" i="457"/>
  <c r="B13" i="457"/>
  <c r="H10" i="473" s="1"/>
  <c r="B14" i="457"/>
  <c r="H11" i="473" s="1"/>
  <c r="B15" i="457"/>
  <c r="H12" i="473" s="1"/>
  <c r="B16" i="457"/>
  <c r="B17" i="457"/>
  <c r="B10" i="457"/>
  <c r="B5" i="457"/>
  <c r="H5" i="473" s="1"/>
  <c r="B6" i="457"/>
  <c r="H6" i="473" s="1"/>
  <c r="B4" i="457"/>
  <c r="H4" i="473" s="1"/>
  <c r="B74" i="457"/>
  <c r="K5" i="473" s="1"/>
  <c r="B75" i="457"/>
  <c r="K6" i="473" s="1"/>
  <c r="B76" i="457"/>
  <c r="K7" i="473" s="1"/>
  <c r="B77" i="457"/>
  <c r="K8" i="473" s="1"/>
  <c r="B78" i="457"/>
  <c r="K9" i="473" s="1"/>
  <c r="B79" i="457"/>
  <c r="K10" i="473" s="1"/>
  <c r="B80" i="457"/>
  <c r="K11" i="473" s="1"/>
  <c r="B81" i="457"/>
  <c r="K12" i="473" s="1"/>
  <c r="B82" i="457"/>
  <c r="K13" i="473" s="1"/>
  <c r="B83" i="457"/>
  <c r="K14" i="473" s="1"/>
  <c r="B73" i="457"/>
  <c r="K4" i="473" s="1"/>
  <c r="I53" i="32"/>
  <c r="I34" i="132"/>
  <c r="G116" i="442"/>
  <c r="K115" i="442" s="1"/>
  <c r="K80" i="392"/>
  <c r="H78" i="435"/>
  <c r="J11" i="476"/>
  <c r="J19" i="476"/>
  <c r="J16" i="476"/>
  <c r="B103" i="392"/>
  <c r="L134" i="7"/>
  <c r="L131" i="7"/>
  <c r="H15" i="435" s="1"/>
  <c r="F131" i="7"/>
  <c r="L127" i="7"/>
  <c r="H13" i="435" s="1"/>
  <c r="F127" i="7"/>
  <c r="H12" i="435" s="1"/>
  <c r="F121" i="7"/>
  <c r="J27" i="476" s="1"/>
  <c r="F118" i="7"/>
  <c r="F115" i="7"/>
  <c r="F112" i="7"/>
  <c r="C112" i="7"/>
  <c r="G111" i="7" s="1"/>
  <c r="L104" i="7"/>
  <c r="G110" i="376"/>
  <c r="G134" i="376"/>
  <c r="G128" i="376"/>
  <c r="G125" i="376"/>
  <c r="G59" i="376"/>
  <c r="G56" i="376"/>
  <c r="G53" i="376"/>
  <c r="D47" i="442"/>
  <c r="E39" i="392"/>
  <c r="E36" i="392"/>
  <c r="J10" i="6"/>
  <c r="G123" i="9"/>
  <c r="G115" i="9"/>
  <c r="G130" i="7"/>
  <c r="B192" i="3"/>
  <c r="I68" i="3"/>
  <c r="E62" i="3"/>
  <c r="I50" i="3"/>
  <c r="I37" i="3"/>
  <c r="I34" i="3"/>
  <c r="O29" i="3"/>
  <c r="M25" i="3"/>
  <c r="E31" i="3"/>
  <c r="F37" i="2"/>
  <c r="O23" i="3"/>
  <c r="F57" i="2"/>
  <c r="F40" i="2"/>
  <c r="F34" i="2"/>
  <c r="F31" i="2"/>
  <c r="I205" i="3"/>
  <c r="I168" i="3"/>
  <c r="I167" i="3"/>
  <c r="E143" i="3"/>
  <c r="E139" i="3"/>
  <c r="I137" i="3"/>
  <c r="D24" i="435" s="1"/>
  <c r="I136" i="3"/>
  <c r="I159" i="3"/>
  <c r="I158" i="3"/>
  <c r="E155" i="3"/>
  <c r="I155" i="3" s="1"/>
  <c r="E154" i="3"/>
  <c r="G134" i="3"/>
  <c r="M110" i="3"/>
  <c r="M109" i="3"/>
  <c r="M107" i="3"/>
  <c r="M106" i="3"/>
  <c r="M104" i="3"/>
  <c r="M97" i="3"/>
  <c r="I69" i="3"/>
  <c r="I54" i="3"/>
  <c r="E48" i="3"/>
  <c r="I38" i="3"/>
  <c r="E32" i="3"/>
  <c r="M26" i="3"/>
  <c r="H85" i="451"/>
  <c r="F119" i="2"/>
  <c r="D126" i="2"/>
  <c r="F125" i="2"/>
  <c r="D125" i="2"/>
  <c r="F117" i="2"/>
  <c r="F108" i="2"/>
  <c r="J109" i="2" s="1"/>
  <c r="J4" i="83"/>
  <c r="D89" i="382"/>
  <c r="D87" i="382"/>
  <c r="D80" i="382"/>
  <c r="D82" i="382"/>
  <c r="C1" i="472"/>
  <c r="F78" i="454"/>
  <c r="H77" i="435" s="1"/>
  <c r="H76" i="435"/>
  <c r="J176" i="392"/>
  <c r="J150" i="392"/>
  <c r="I135" i="2"/>
  <c r="I131" i="2"/>
  <c r="I127" i="2"/>
  <c r="E127" i="2"/>
  <c r="J126" i="2" s="1"/>
  <c r="E126" i="2"/>
  <c r="E125" i="2"/>
  <c r="I122" i="2"/>
  <c r="I119" i="2"/>
  <c r="E119" i="2"/>
  <c r="E118" i="2"/>
  <c r="E117" i="2"/>
  <c r="J118" i="2" s="1"/>
  <c r="E108" i="2"/>
  <c r="E107" i="2"/>
  <c r="I103" i="2"/>
  <c r="E94" i="2"/>
  <c r="E91" i="2"/>
  <c r="Q93" i="3"/>
  <c r="I88" i="2"/>
  <c r="I84" i="2"/>
  <c r="C9" i="435" s="1"/>
  <c r="I81" i="2"/>
  <c r="E81" i="2"/>
  <c r="I75" i="2"/>
  <c r="E78" i="2"/>
  <c r="Q81" i="3"/>
  <c r="E75" i="2"/>
  <c r="E72" i="2"/>
  <c r="Q78" i="3" s="1"/>
  <c r="I67" i="2"/>
  <c r="I64" i="2"/>
  <c r="E64" i="2"/>
  <c r="J63" i="2" s="1"/>
  <c r="E61" i="2"/>
  <c r="Q59" i="3"/>
  <c r="I58" i="2"/>
  <c r="E58" i="2"/>
  <c r="E55" i="2"/>
  <c r="Q44" i="3"/>
  <c r="I51" i="2"/>
  <c r="E51" i="2"/>
  <c r="J50" i="2" s="1"/>
  <c r="E48" i="2"/>
  <c r="Q100" i="3"/>
  <c r="I44" i="2"/>
  <c r="J102" i="2"/>
  <c r="C7" i="435"/>
  <c r="J125" i="2"/>
  <c r="F38" i="375"/>
  <c r="D37" i="48"/>
  <c r="B98" i="487"/>
  <c r="B97" i="487"/>
  <c r="B96" i="487"/>
  <c r="B95" i="487"/>
  <c r="B89" i="487"/>
  <c r="B86" i="487"/>
  <c r="B81" i="487"/>
  <c r="B76" i="487"/>
  <c r="B73" i="487"/>
  <c r="B72" i="487"/>
  <c r="B68" i="487"/>
  <c r="B66" i="487"/>
  <c r="B64" i="487"/>
  <c r="B60" i="487"/>
  <c r="B59" i="487"/>
  <c r="B58" i="487"/>
  <c r="B57" i="487"/>
  <c r="B56" i="487"/>
  <c r="B51" i="487"/>
  <c r="B49" i="487"/>
  <c r="B48" i="487"/>
  <c r="B47" i="487"/>
  <c r="B46" i="487"/>
  <c r="B45" i="487"/>
  <c r="C66" i="487"/>
  <c r="B44" i="487"/>
  <c r="B43" i="487"/>
  <c r="J80" i="2"/>
  <c r="J74" i="2"/>
  <c r="J57" i="2"/>
  <c r="C64" i="487"/>
  <c r="I41" i="2"/>
  <c r="I35" i="2"/>
  <c r="E41" i="2"/>
  <c r="E38" i="2"/>
  <c r="Q28" i="3" s="1"/>
  <c r="E35" i="2"/>
  <c r="J34" i="2" s="1"/>
  <c r="E32" i="2"/>
  <c r="Q22" i="3"/>
  <c r="J83" i="2"/>
  <c r="J66" i="2"/>
  <c r="J43" i="2"/>
  <c r="J40" i="2"/>
  <c r="C10" i="92"/>
  <c r="C17" i="92"/>
  <c r="E125" i="424" s="1"/>
  <c r="D125" i="424"/>
  <c r="P79" i="3"/>
  <c r="K9" i="95"/>
  <c r="Q20" i="95"/>
  <c r="G30" i="92"/>
  <c r="K4" i="80"/>
  <c r="F47" i="2" s="1"/>
  <c r="G28" i="83"/>
  <c r="P113" i="424" s="1"/>
  <c r="G25" i="83"/>
  <c r="O113" i="424" s="1"/>
  <c r="G19" i="83"/>
  <c r="K113" i="424"/>
  <c r="G16" i="83"/>
  <c r="J113" i="424"/>
  <c r="D113" i="424"/>
  <c r="C10" i="83"/>
  <c r="O45" i="3" s="1"/>
  <c r="B97" i="424"/>
  <c r="C5" i="74"/>
  <c r="D101" i="424"/>
  <c r="E101" i="424"/>
  <c r="C97" i="424"/>
  <c r="G11" i="74"/>
  <c r="H75" i="452"/>
  <c r="H71" i="452"/>
  <c r="H64" i="452"/>
  <c r="C13" i="435" s="1"/>
  <c r="E64" i="452"/>
  <c r="E61" i="452"/>
  <c r="E58" i="452"/>
  <c r="H53" i="452"/>
  <c r="E53" i="452"/>
  <c r="E50" i="452"/>
  <c r="E47" i="452"/>
  <c r="H40" i="452"/>
  <c r="E37" i="452"/>
  <c r="E34" i="452"/>
  <c r="E28" i="452"/>
  <c r="E19" i="452"/>
  <c r="E16" i="452"/>
  <c r="H11" i="452"/>
  <c r="C28" i="112"/>
  <c r="C25" i="112"/>
  <c r="C22" i="112"/>
  <c r="G22" i="112"/>
  <c r="G16" i="112"/>
  <c r="G13" i="112"/>
  <c r="G10" i="112"/>
  <c r="G7" i="112"/>
  <c r="G4" i="112"/>
  <c r="C13" i="112"/>
  <c r="C10" i="112"/>
  <c r="D10" i="112"/>
  <c r="C7" i="112"/>
  <c r="C4" i="112"/>
  <c r="C19" i="448"/>
  <c r="F36" i="452" s="1"/>
  <c r="I13" i="448"/>
  <c r="I19" i="448"/>
  <c r="I16" i="448"/>
  <c r="C38" i="451" s="1"/>
  <c r="I62" i="454"/>
  <c r="F59" i="454"/>
  <c r="H74" i="435" s="1"/>
  <c r="I55" i="454"/>
  <c r="I52" i="454"/>
  <c r="H53" i="435" s="1"/>
  <c r="F49" i="454"/>
  <c r="H52" i="435" s="1"/>
  <c r="F46" i="454"/>
  <c r="C11" i="362" s="1"/>
  <c r="I43" i="454"/>
  <c r="H38" i="435" s="1"/>
  <c r="F40" i="454"/>
  <c r="F37" i="454"/>
  <c r="H34" i="435" s="1"/>
  <c r="F34" i="454"/>
  <c r="H31" i="435" s="1"/>
  <c r="F31" i="454"/>
  <c r="F28" i="454"/>
  <c r="F25" i="454"/>
  <c r="H26" i="435" s="1"/>
  <c r="I22" i="454"/>
  <c r="I19" i="454"/>
  <c r="H25" i="435" s="1"/>
  <c r="F16" i="454"/>
  <c r="B18" i="487"/>
  <c r="P141" i="391"/>
  <c r="G13" i="83"/>
  <c r="G113" i="424"/>
  <c r="C19" i="83"/>
  <c r="J13" i="83"/>
  <c r="H113" i="424" s="1"/>
  <c r="C22" i="83"/>
  <c r="K13" i="80"/>
  <c r="P105" i="424" s="1"/>
  <c r="C14" i="74"/>
  <c r="C17" i="74"/>
  <c r="G29" i="74"/>
  <c r="S5" i="50"/>
  <c r="J142" i="392"/>
  <c r="J121" i="392"/>
  <c r="K123" i="392" s="1"/>
  <c r="J124" i="392"/>
  <c r="J127" i="392"/>
  <c r="J118" i="392"/>
  <c r="J115" i="392"/>
  <c r="J103" i="392"/>
  <c r="J100" i="392"/>
  <c r="J97" i="392"/>
  <c r="H23" i="435" s="1"/>
  <c r="J94" i="392"/>
  <c r="K96" i="392" s="1"/>
  <c r="J77" i="392"/>
  <c r="G109" i="424"/>
  <c r="L255" i="3"/>
  <c r="C30" i="435" s="1"/>
  <c r="L248" i="3"/>
  <c r="L246" i="3" s="1"/>
  <c r="H134" i="3"/>
  <c r="C19" i="435" s="1"/>
  <c r="D131" i="3"/>
  <c r="K1" i="471"/>
  <c r="J1" i="471"/>
  <c r="G16" i="460"/>
  <c r="G8" i="460"/>
  <c r="L241" i="3"/>
  <c r="F7" i="381" s="1"/>
  <c r="I139" i="3"/>
  <c r="P128" i="3"/>
  <c r="L128" i="3"/>
  <c r="L125" i="3"/>
  <c r="H125" i="3"/>
  <c r="D122" i="3"/>
  <c r="D119" i="3"/>
  <c r="E121" i="3" s="1"/>
  <c r="L116" i="3"/>
  <c r="M127" i="3" s="1"/>
  <c r="D113" i="3"/>
  <c r="C21" i="435" s="1"/>
  <c r="L110" i="3"/>
  <c r="L107" i="3"/>
  <c r="L104" i="3"/>
  <c r="P101" i="3"/>
  <c r="L97" i="3"/>
  <c r="P94" i="3"/>
  <c r="P91" i="3"/>
  <c r="L91" i="3"/>
  <c r="H88" i="3"/>
  <c r="D85" i="3"/>
  <c r="P75" i="3"/>
  <c r="L75" i="3"/>
  <c r="P82" i="3"/>
  <c r="P72" i="3"/>
  <c r="L72" i="3"/>
  <c r="H69" i="3"/>
  <c r="H66" i="3"/>
  <c r="D63" i="3"/>
  <c r="B72" i="3" s="1"/>
  <c r="P60" i="3"/>
  <c r="P57" i="3"/>
  <c r="L57" i="3"/>
  <c r="H54" i="3"/>
  <c r="H51" i="3"/>
  <c r="D48" i="3"/>
  <c r="B57" i="3" s="1"/>
  <c r="P45" i="3"/>
  <c r="P41" i="3"/>
  <c r="L41" i="3"/>
  <c r="H38" i="3"/>
  <c r="H35" i="3"/>
  <c r="D32" i="3"/>
  <c r="B41" i="3" s="1"/>
  <c r="P29" i="3"/>
  <c r="L26" i="3"/>
  <c r="P23" i="3"/>
  <c r="I182" i="3" s="1"/>
  <c r="L52" i="464"/>
  <c r="P19" i="3"/>
  <c r="L13" i="3"/>
  <c r="P9" i="3"/>
  <c r="D7" i="3"/>
  <c r="F97" i="424"/>
  <c r="E97" i="424"/>
  <c r="J101" i="424"/>
  <c r="I101" i="424"/>
  <c r="B5" i="476"/>
  <c r="I175" i="3"/>
  <c r="I125" i="3"/>
  <c r="G89" i="451"/>
  <c r="H83" i="451"/>
  <c r="H82" i="451"/>
  <c r="G86" i="451"/>
  <c r="G83" i="451"/>
  <c r="C20" i="485"/>
  <c r="E118" i="3"/>
  <c r="C40" i="451"/>
  <c r="I52" i="48"/>
  <c r="I49" i="48"/>
  <c r="S19" i="48"/>
  <c r="K9" i="466"/>
  <c r="K23" i="466"/>
  <c r="T25" i="466"/>
  <c r="T24" i="466"/>
  <c r="T21" i="466"/>
  <c r="T16" i="466"/>
  <c r="T12" i="466"/>
  <c r="T13" i="466"/>
  <c r="T17" i="466"/>
  <c r="J41" i="466"/>
  <c r="K35" i="466"/>
  <c r="J35" i="466"/>
  <c r="Q17" i="103"/>
  <c r="D20" i="485" s="1"/>
  <c r="K23" i="103"/>
  <c r="H23" i="103"/>
  <c r="K20" i="103"/>
  <c r="H20" i="103"/>
  <c r="H17" i="103"/>
  <c r="M141" i="424"/>
  <c r="L141" i="424"/>
  <c r="N141" i="424"/>
  <c r="O141" i="424"/>
  <c r="P141" i="424"/>
  <c r="Q141" i="424"/>
  <c r="P14" i="103"/>
  <c r="I50" i="7"/>
  <c r="N72" i="9" s="1"/>
  <c r="I53" i="7"/>
  <c r="C77" i="435" s="1"/>
  <c r="B4" i="394"/>
  <c r="B5" i="394"/>
  <c r="B6" i="394"/>
  <c r="B7" i="394"/>
  <c r="B8" i="394"/>
  <c r="B9" i="394"/>
  <c r="B10" i="394"/>
  <c r="B11" i="394"/>
  <c r="B12" i="394"/>
  <c r="B13" i="394"/>
  <c r="F127" i="2"/>
  <c r="J28" i="2"/>
  <c r="B6" i="12" s="1"/>
  <c r="F11" i="2"/>
  <c r="T5" i="50"/>
  <c r="F8" i="2"/>
  <c r="S17" i="50"/>
  <c r="S31" i="50"/>
  <c r="F17" i="2" s="1"/>
  <c r="T17" i="50"/>
  <c r="T31" i="50"/>
  <c r="G17" i="2" s="1"/>
  <c r="D4" i="394"/>
  <c r="D5" i="394"/>
  <c r="D6" i="394"/>
  <c r="D7" i="394"/>
  <c r="D8" i="394"/>
  <c r="D9" i="394"/>
  <c r="D10" i="394"/>
  <c r="D11" i="394"/>
  <c r="D12" i="394"/>
  <c r="D13" i="394"/>
  <c r="F4" i="394"/>
  <c r="F5" i="394"/>
  <c r="F6" i="394"/>
  <c r="F7" i="394"/>
  <c r="F8" i="394"/>
  <c r="F9" i="394"/>
  <c r="F10" i="394"/>
  <c r="F11" i="394"/>
  <c r="F12" i="394"/>
  <c r="F13" i="394"/>
  <c r="F58" i="452"/>
  <c r="F61" i="452"/>
  <c r="F64" i="452"/>
  <c r="I71" i="452"/>
  <c r="D15" i="12" s="1"/>
  <c r="F34" i="452"/>
  <c r="F16" i="452"/>
  <c r="F19" i="452" s="1"/>
  <c r="F50" i="452"/>
  <c r="F53" i="452"/>
  <c r="E8" i="451"/>
  <c r="E40" i="451"/>
  <c r="H4" i="451"/>
  <c r="E8" i="12" s="1"/>
  <c r="H54" i="451"/>
  <c r="F15" i="12" s="1"/>
  <c r="H65" i="451"/>
  <c r="F147" i="381" s="1"/>
  <c r="H62" i="451"/>
  <c r="F142" i="381" s="1"/>
  <c r="H76" i="451"/>
  <c r="B17" i="394"/>
  <c r="B18" i="394"/>
  <c r="B19" i="394"/>
  <c r="B20" i="394"/>
  <c r="B21" i="394"/>
  <c r="B22" i="394"/>
  <c r="B23" i="394"/>
  <c r="B24" i="394"/>
  <c r="B25" i="394"/>
  <c r="B26" i="394"/>
  <c r="Q5" i="103"/>
  <c r="J18" i="453" s="1"/>
  <c r="Q16" i="103"/>
  <c r="D57" i="391" s="1"/>
  <c r="S20" i="395"/>
  <c r="U20" i="395" s="1"/>
  <c r="J41" i="394" s="1"/>
  <c r="S19" i="395"/>
  <c r="U19" i="395" s="1"/>
  <c r="J40" i="394" s="1"/>
  <c r="S18" i="395"/>
  <c r="U18" i="395" s="1"/>
  <c r="S17" i="395"/>
  <c r="U17" i="395" s="1"/>
  <c r="S16" i="395"/>
  <c r="U16" i="395" s="1"/>
  <c r="S15" i="395"/>
  <c r="U15" i="395" s="1"/>
  <c r="S14" i="395"/>
  <c r="U14" i="395" s="1"/>
  <c r="S13" i="395"/>
  <c r="U13" i="395" s="1"/>
  <c r="S12" i="395"/>
  <c r="U12" i="395" s="1"/>
  <c r="S11" i="395"/>
  <c r="U11" i="395" s="1"/>
  <c r="O6" i="397"/>
  <c r="O7" i="397"/>
  <c r="O8" i="397"/>
  <c r="O9" i="397"/>
  <c r="O10" i="397"/>
  <c r="O11" i="397"/>
  <c r="O12" i="397"/>
  <c r="O13" i="397"/>
  <c r="O14" i="397"/>
  <c r="O15" i="397"/>
  <c r="Q7" i="396"/>
  <c r="Q8" i="396"/>
  <c r="Q9" i="396"/>
  <c r="Q10" i="396"/>
  <c r="Q11" i="396"/>
  <c r="Q12" i="396"/>
  <c r="Q13" i="396"/>
  <c r="Q14" i="396"/>
  <c r="Q15" i="396"/>
  <c r="Q16" i="396"/>
  <c r="U7" i="396"/>
  <c r="U8" i="396"/>
  <c r="U9" i="396"/>
  <c r="U10" i="396"/>
  <c r="U11" i="396"/>
  <c r="U12" i="396"/>
  <c r="U13" i="396"/>
  <c r="U14" i="396"/>
  <c r="U15" i="396"/>
  <c r="U16" i="396"/>
  <c r="U17" i="396"/>
  <c r="U18" i="396"/>
  <c r="U19" i="396"/>
  <c r="U20" i="396"/>
  <c r="U21" i="396"/>
  <c r="F88" i="375"/>
  <c r="J88" i="375"/>
  <c r="D16" i="397"/>
  <c r="F16" i="396"/>
  <c r="F86" i="375" s="1"/>
  <c r="M21" i="396"/>
  <c r="F87" i="375" s="1"/>
  <c r="F4" i="441"/>
  <c r="D87" i="391" s="1"/>
  <c r="J47" i="391"/>
  <c r="D20" i="476"/>
  <c r="J20" i="476" s="1"/>
  <c r="J74" i="6"/>
  <c r="J77" i="6"/>
  <c r="S52" i="48" s="1"/>
  <c r="F42" i="375"/>
  <c r="G14" i="7"/>
  <c r="J14" i="7" s="1"/>
  <c r="D68" i="435" s="1"/>
  <c r="G17" i="7"/>
  <c r="J17" i="7" s="1"/>
  <c r="D69" i="435" s="1"/>
  <c r="G20" i="7"/>
  <c r="J20" i="7" s="1"/>
  <c r="D70" i="435" s="1"/>
  <c r="G23" i="7"/>
  <c r="J23" i="7" s="1"/>
  <c r="D71" i="435" s="1"/>
  <c r="G26" i="7"/>
  <c r="J26" i="7" s="1"/>
  <c r="D72" i="435" s="1"/>
  <c r="J33" i="7"/>
  <c r="D73" i="435" s="1"/>
  <c r="G3" i="481"/>
  <c r="C10" i="482" s="1"/>
  <c r="G17" i="481"/>
  <c r="C19" i="482" s="1"/>
  <c r="G37" i="481"/>
  <c r="C3" i="482" s="1"/>
  <c r="J32" i="394"/>
  <c r="L32" i="394" s="1"/>
  <c r="J33" i="394"/>
  <c r="L33" i="394" s="1"/>
  <c r="J34" i="394"/>
  <c r="L34" i="394" s="1"/>
  <c r="J35" i="394"/>
  <c r="L35" i="394" s="1"/>
  <c r="J36" i="394"/>
  <c r="J37" i="394"/>
  <c r="L37" i="394" s="1"/>
  <c r="J38" i="394"/>
  <c r="L38" i="394" s="1"/>
  <c r="J39" i="394"/>
  <c r="L39" i="394" s="1"/>
  <c r="P13" i="394"/>
  <c r="P12" i="394"/>
  <c r="P4" i="394"/>
  <c r="P5" i="394"/>
  <c r="P6" i="394"/>
  <c r="P7" i="394"/>
  <c r="P8" i="394"/>
  <c r="P9" i="394"/>
  <c r="P10" i="394"/>
  <c r="P11" i="394"/>
  <c r="W9" i="466"/>
  <c r="BN156" i="424"/>
  <c r="BG156" i="424"/>
  <c r="R4" i="466"/>
  <c r="R3" i="466"/>
  <c r="I16" i="466"/>
  <c r="F16" i="466"/>
  <c r="K15" i="466"/>
  <c r="R17" i="396"/>
  <c r="J86" i="375" s="1"/>
  <c r="V22" i="396"/>
  <c r="J87" i="375" s="1"/>
  <c r="P16" i="397"/>
  <c r="J85" i="375" s="1"/>
  <c r="G79" i="451"/>
  <c r="G76" i="451"/>
  <c r="D32" i="442"/>
  <c r="E40" i="442" s="1"/>
  <c r="E16" i="460"/>
  <c r="J59" i="468"/>
  <c r="L54" i="464"/>
  <c r="L56" i="464" s="1"/>
  <c r="L116" i="464" s="1"/>
  <c r="G111" i="376"/>
  <c r="G75" i="376"/>
  <c r="F75" i="376"/>
  <c r="D37" i="451"/>
  <c r="K4" i="462"/>
  <c r="G4" i="462"/>
  <c r="B94" i="487"/>
  <c r="C97" i="487"/>
  <c r="C89" i="487"/>
  <c r="C82" i="487"/>
  <c r="C81" i="487"/>
  <c r="C84" i="487"/>
  <c r="C76" i="487"/>
  <c r="C79" i="487"/>
  <c r="C77" i="487"/>
  <c r="C73" i="487"/>
  <c r="C72" i="487"/>
  <c r="C68" i="487"/>
  <c r="C54" i="487"/>
  <c r="C52" i="487"/>
  <c r="I26" i="7"/>
  <c r="C72" i="435" s="1"/>
  <c r="D175" i="426"/>
  <c r="L41" i="9" s="1"/>
  <c r="I47" i="9"/>
  <c r="L56" i="7"/>
  <c r="L5" i="7"/>
  <c r="L30" i="7"/>
  <c r="I8" i="7"/>
  <c r="C66" i="435" s="1"/>
  <c r="I11" i="7"/>
  <c r="M171" i="375" s="1"/>
  <c r="I14" i="7"/>
  <c r="C68" i="435" s="1"/>
  <c r="I17" i="7"/>
  <c r="C69" i="435" s="1"/>
  <c r="I20" i="7"/>
  <c r="C70" i="435" s="1"/>
  <c r="I23" i="7"/>
  <c r="C71" i="435" s="1"/>
  <c r="F26" i="7"/>
  <c r="J25" i="7" s="1"/>
  <c r="B26" i="7"/>
  <c r="G17" i="131"/>
  <c r="V8" i="396"/>
  <c r="W8" i="396" s="1"/>
  <c r="V7" i="396"/>
  <c r="W7" i="396" s="1"/>
  <c r="V9" i="396"/>
  <c r="W9" i="396" s="1"/>
  <c r="V10" i="396"/>
  <c r="W10" i="396" s="1"/>
  <c r="V11" i="396"/>
  <c r="W11" i="396" s="1"/>
  <c r="V12" i="396"/>
  <c r="W12" i="396" s="1"/>
  <c r="V13" i="396"/>
  <c r="W13" i="396" s="1"/>
  <c r="V14" i="396"/>
  <c r="W14" i="396" s="1"/>
  <c r="V15" i="396"/>
  <c r="W15" i="396" s="1"/>
  <c r="V16" i="396"/>
  <c r="W16" i="396" s="1"/>
  <c r="V17" i="396"/>
  <c r="W17" i="396" s="1"/>
  <c r="V18" i="396"/>
  <c r="W18" i="396" s="1"/>
  <c r="V19" i="396"/>
  <c r="W19" i="396" s="1"/>
  <c r="V20" i="396"/>
  <c r="W20" i="396" s="1"/>
  <c r="V21" i="396"/>
  <c r="W21" i="396" s="1"/>
  <c r="G131" i="7"/>
  <c r="G15" i="376"/>
  <c r="G21" i="376"/>
  <c r="G54" i="376"/>
  <c r="G57" i="376"/>
  <c r="G60" i="376"/>
  <c r="G63" i="376"/>
  <c r="G66" i="376"/>
  <c r="G69" i="376"/>
  <c r="G72" i="376"/>
  <c r="G98" i="376"/>
  <c r="G101" i="376"/>
  <c r="G83" i="376"/>
  <c r="G86" i="376"/>
  <c r="K172" i="376"/>
  <c r="D37" i="362" s="1"/>
  <c r="H22" i="442"/>
  <c r="H71" i="442"/>
  <c r="H4" i="442"/>
  <c r="K4" i="442" s="1"/>
  <c r="H7" i="442"/>
  <c r="K7" i="442" s="1"/>
  <c r="H13" i="442"/>
  <c r="H90" i="442"/>
  <c r="K90" i="442" s="1"/>
  <c r="H93" i="442"/>
  <c r="K93" i="442" s="1"/>
  <c r="H99" i="442"/>
  <c r="H107" i="442"/>
  <c r="H110" i="442"/>
  <c r="H128" i="442"/>
  <c r="H179" i="442"/>
  <c r="G25" i="454"/>
  <c r="I26" i="435" s="1"/>
  <c r="J54" i="6"/>
  <c r="I46" i="435" s="1"/>
  <c r="J14" i="6"/>
  <c r="J8" i="6"/>
  <c r="J5" i="6"/>
  <c r="J11" i="6"/>
  <c r="J21" i="6"/>
  <c r="I40" i="435" s="1"/>
  <c r="J83" i="6"/>
  <c r="I51" i="435" s="1"/>
  <c r="J80" i="6"/>
  <c r="I50" i="435" s="1"/>
  <c r="J36" i="6"/>
  <c r="J39" i="6"/>
  <c r="J42" i="6"/>
  <c r="J51" i="6"/>
  <c r="I45" i="435" s="1"/>
  <c r="G61" i="6"/>
  <c r="G65" i="6"/>
  <c r="G60" i="6"/>
  <c r="J71" i="6"/>
  <c r="I48" i="435" s="1"/>
  <c r="G49" i="454"/>
  <c r="I52" i="435" s="1"/>
  <c r="L118" i="468"/>
  <c r="K117" i="468"/>
  <c r="H20" i="470"/>
  <c r="C6" i="470"/>
  <c r="E6" i="470"/>
  <c r="H6" i="470"/>
  <c r="K9" i="470"/>
  <c r="F134" i="463"/>
  <c r="F138" i="463" s="1"/>
  <c r="F75" i="463"/>
  <c r="F91" i="463" s="1"/>
  <c r="F140" i="463" s="1"/>
  <c r="F143" i="463" s="1"/>
  <c r="G75" i="454"/>
  <c r="I76" i="435" s="1"/>
  <c r="G78" i="454"/>
  <c r="I77" i="435" s="1"/>
  <c r="C16" i="460"/>
  <c r="G24" i="460"/>
  <c r="K57" i="464"/>
  <c r="K66" i="464"/>
  <c r="K71" i="464" s="1"/>
  <c r="K86" i="464"/>
  <c r="K93" i="464"/>
  <c r="F90" i="463"/>
  <c r="F105" i="463" s="1"/>
  <c r="F59" i="468"/>
  <c r="G59" i="468"/>
  <c r="H59" i="468"/>
  <c r="I59" i="468"/>
  <c r="E59" i="468"/>
  <c r="I21" i="6"/>
  <c r="C4" i="132"/>
  <c r="B29" i="424" s="1"/>
  <c r="C20" i="132"/>
  <c r="D19" i="476" s="1"/>
  <c r="G11" i="132"/>
  <c r="D33" i="424" s="1"/>
  <c r="C11" i="132"/>
  <c r="C16" i="477"/>
  <c r="H16" i="477"/>
  <c r="D25" i="424"/>
  <c r="H19" i="477"/>
  <c r="C22" i="477"/>
  <c r="H22" i="477"/>
  <c r="F25" i="424"/>
  <c r="C6" i="477"/>
  <c r="H5" i="103"/>
  <c r="P10" i="103"/>
  <c r="G69" i="451"/>
  <c r="E260" i="3" s="1"/>
  <c r="G24" i="92"/>
  <c r="I87" i="3" s="1"/>
  <c r="G5" i="74"/>
  <c r="D150" i="442"/>
  <c r="H30" i="435" s="1"/>
  <c r="D147" i="442"/>
  <c r="H29" i="435" s="1"/>
  <c r="J13" i="442"/>
  <c r="J71" i="442"/>
  <c r="J99" i="442"/>
  <c r="J128" i="442"/>
  <c r="J10" i="442"/>
  <c r="K15" i="442" s="1"/>
  <c r="J68" i="442"/>
  <c r="J96" i="442"/>
  <c r="K101" i="442" s="1"/>
  <c r="C48" i="382"/>
  <c r="H47" i="382" s="1"/>
  <c r="G14" i="74"/>
  <c r="G32" i="74"/>
  <c r="P9" i="103"/>
  <c r="D16" i="103"/>
  <c r="G4" i="83"/>
  <c r="G7" i="83"/>
  <c r="I65" i="3" s="1"/>
  <c r="C7" i="83"/>
  <c r="C4" i="83"/>
  <c r="I53" i="3" s="1"/>
  <c r="G8" i="74"/>
  <c r="C24" i="460"/>
  <c r="G5" i="445"/>
  <c r="G20" i="449"/>
  <c r="D29" i="451"/>
  <c r="E69" i="424"/>
  <c r="G10" i="83"/>
  <c r="G137" i="376" s="1"/>
  <c r="F113" i="424"/>
  <c r="C16" i="83"/>
  <c r="E47" i="3" s="1"/>
  <c r="G17" i="74"/>
  <c r="C1" i="474"/>
  <c r="L101" i="7"/>
  <c r="M74" i="481" s="1"/>
  <c r="G60" i="481"/>
  <c r="G39" i="481"/>
  <c r="L73" i="481"/>
  <c r="L15" i="481"/>
  <c r="L35" i="481"/>
  <c r="L70" i="481"/>
  <c r="L40" i="481"/>
  <c r="L55" i="481"/>
  <c r="L61" i="481"/>
  <c r="L67" i="481"/>
  <c r="M69" i="481"/>
  <c r="I67" i="481"/>
  <c r="F67" i="481"/>
  <c r="M66" i="481"/>
  <c r="F64" i="481"/>
  <c r="J66" i="481"/>
  <c r="F58" i="481"/>
  <c r="J60" i="481"/>
  <c r="I61" i="481"/>
  <c r="G63" i="481"/>
  <c r="F61" i="481"/>
  <c r="M60" i="481"/>
  <c r="F49" i="481"/>
  <c r="G54" i="481"/>
  <c r="F43" i="481"/>
  <c r="I55" i="481"/>
  <c r="F55" i="481"/>
  <c r="F52" i="481"/>
  <c r="J54" i="481"/>
  <c r="F46" i="481"/>
  <c r="F37" i="481"/>
  <c r="I40" i="481"/>
  <c r="F40" i="481"/>
  <c r="J39" i="481"/>
  <c r="L20" i="481"/>
  <c r="L26" i="481"/>
  <c r="L32" i="481"/>
  <c r="M34" i="481"/>
  <c r="I32" i="481"/>
  <c r="F32" i="481"/>
  <c r="M31" i="481"/>
  <c r="F29" i="481"/>
  <c r="J31" i="481"/>
  <c r="F23" i="481"/>
  <c r="J25" i="481"/>
  <c r="I26" i="481"/>
  <c r="G28" i="481"/>
  <c r="F26" i="481"/>
  <c r="F12" i="481"/>
  <c r="I12" i="481"/>
  <c r="G25" i="481"/>
  <c r="F17" i="481"/>
  <c r="I20" i="481"/>
  <c r="F20" i="481"/>
  <c r="J19" i="481"/>
  <c r="F6" i="481"/>
  <c r="I6" i="481"/>
  <c r="G19" i="481"/>
  <c r="L6" i="481"/>
  <c r="L12" i="481"/>
  <c r="M14" i="481"/>
  <c r="F9" i="481"/>
  <c r="J11" i="481"/>
  <c r="F3" i="481"/>
  <c r="A20" i="32"/>
  <c r="N23" i="480"/>
  <c r="N16" i="480"/>
  <c r="N9" i="480"/>
  <c r="C3" i="480"/>
  <c r="E26" i="460"/>
  <c r="C16" i="479"/>
  <c r="E77" i="424"/>
  <c r="C12" i="479"/>
  <c r="C13" i="479"/>
  <c r="C173" i="426" s="1"/>
  <c r="C5" i="479"/>
  <c r="C9" i="479"/>
  <c r="C8" i="479"/>
  <c r="C77" i="424"/>
  <c r="C4" i="479"/>
  <c r="C14" i="390"/>
  <c r="C17" i="390"/>
  <c r="G17" i="390"/>
  <c r="A52" i="48"/>
  <c r="B39" i="473"/>
  <c r="F5" i="132"/>
  <c r="H6" i="477"/>
  <c r="C9" i="477"/>
  <c r="H9" i="477"/>
  <c r="H14" i="103"/>
  <c r="P8" i="103"/>
  <c r="P15" i="103"/>
  <c r="H11" i="103"/>
  <c r="P12" i="103"/>
  <c r="H8" i="103"/>
  <c r="P11" i="103"/>
  <c r="G9" i="386"/>
  <c r="C20" i="476"/>
  <c r="C40" i="132"/>
  <c r="C16" i="362" s="1"/>
  <c r="I23" i="476"/>
  <c r="I20" i="476"/>
  <c r="I17" i="476"/>
  <c r="I14" i="476"/>
  <c r="I8" i="476"/>
  <c r="I11" i="476"/>
  <c r="H71" i="32"/>
  <c r="H61" i="32"/>
  <c r="H58" i="32"/>
  <c r="C14" i="386"/>
  <c r="I66" i="32"/>
  <c r="G14" i="386"/>
  <c r="C9" i="386"/>
  <c r="C12" i="362"/>
  <c r="C22" i="386"/>
  <c r="C6" i="386"/>
  <c r="I30" i="6"/>
  <c r="C20" i="362" s="1"/>
  <c r="F8" i="454"/>
  <c r="H22" i="435" s="1"/>
  <c r="I33" i="6"/>
  <c r="I18" i="6"/>
  <c r="I54" i="6"/>
  <c r="I5" i="6"/>
  <c r="I8" i="6"/>
  <c r="I11" i="6"/>
  <c r="I14" i="6"/>
  <c r="J119" i="442"/>
  <c r="G10" i="435"/>
  <c r="G8" i="435"/>
  <c r="I26" i="476"/>
  <c r="G30" i="454"/>
  <c r="F20" i="7"/>
  <c r="J19" i="7" s="1"/>
  <c r="G14" i="131"/>
  <c r="G19" i="7"/>
  <c r="C27" i="460"/>
  <c r="K73" i="424"/>
  <c r="G81" i="392"/>
  <c r="G21" i="92"/>
  <c r="I125" i="424" s="1"/>
  <c r="B111" i="391"/>
  <c r="B108" i="391"/>
  <c r="L33" i="465"/>
  <c r="L35" i="465" s="1"/>
  <c r="J19" i="83"/>
  <c r="L113" i="424"/>
  <c r="G4" i="451"/>
  <c r="G36" i="92"/>
  <c r="G140" i="376" s="1"/>
  <c r="F82" i="464"/>
  <c r="G82" i="464"/>
  <c r="F77" i="464"/>
  <c r="F98" i="464"/>
  <c r="G86" i="464"/>
  <c r="H86" i="464"/>
  <c r="H93" i="464"/>
  <c r="H98" i="464"/>
  <c r="J86" i="464"/>
  <c r="J93" i="464"/>
  <c r="G71" i="442"/>
  <c r="C15" i="362"/>
  <c r="P62" i="391"/>
  <c r="G56" i="442"/>
  <c r="K55" i="442" s="1"/>
  <c r="G44" i="442"/>
  <c r="D56" i="442"/>
  <c r="D44" i="442"/>
  <c r="G22" i="442"/>
  <c r="D41" i="442"/>
  <c r="G41" i="442"/>
  <c r="K40" i="442" s="1"/>
  <c r="J102" i="442"/>
  <c r="J131" i="442"/>
  <c r="J16" i="442"/>
  <c r="J74" i="442"/>
  <c r="J41" i="442"/>
  <c r="J56" i="442"/>
  <c r="J65" i="442"/>
  <c r="G65" i="442"/>
  <c r="K64" i="442" s="1"/>
  <c r="D23" i="445"/>
  <c r="C23" i="445"/>
  <c r="H70" i="442"/>
  <c r="G33" i="92"/>
  <c r="G10" i="92"/>
  <c r="F74" i="2" s="1"/>
  <c r="R8" i="396"/>
  <c r="S8" i="396" s="1"/>
  <c r="R7" i="396"/>
  <c r="S7" i="396" s="1"/>
  <c r="R9" i="396"/>
  <c r="S9" i="396" s="1"/>
  <c r="R10" i="396"/>
  <c r="S10" i="396" s="1"/>
  <c r="R11" i="396"/>
  <c r="S11" i="396" s="1"/>
  <c r="R12" i="396"/>
  <c r="S12" i="396" s="1"/>
  <c r="R13" i="396"/>
  <c r="S13" i="396" s="1"/>
  <c r="R14" i="396"/>
  <c r="S14" i="396" s="1"/>
  <c r="R15" i="396"/>
  <c r="S15" i="396" s="1"/>
  <c r="R16" i="396"/>
  <c r="S16" i="396" s="1"/>
  <c r="C21" i="92"/>
  <c r="H125" i="424" s="1"/>
  <c r="P107" i="391"/>
  <c r="C55" i="391"/>
  <c r="G17" i="92"/>
  <c r="G125" i="424" s="1"/>
  <c r="E62" i="465"/>
  <c r="E63" i="465"/>
  <c r="E65" i="465" s="1"/>
  <c r="F63" i="465"/>
  <c r="F65" i="465" s="1"/>
  <c r="G63" i="465"/>
  <c r="G65" i="465" s="1"/>
  <c r="H63" i="465"/>
  <c r="H65" i="465" s="1"/>
  <c r="I63" i="465"/>
  <c r="I65" i="465" s="1"/>
  <c r="J63" i="465"/>
  <c r="J65" i="465" s="1"/>
  <c r="K63" i="465"/>
  <c r="L63" i="465"/>
  <c r="M63" i="465"/>
  <c r="N63" i="465"/>
  <c r="K65" i="465"/>
  <c r="K19" i="465"/>
  <c r="K20" i="465" s="1"/>
  <c r="F16" i="465"/>
  <c r="F18" i="465" s="1"/>
  <c r="H16" i="465"/>
  <c r="H18" i="465" s="1"/>
  <c r="I16" i="465"/>
  <c r="I18" i="465"/>
  <c r="L16" i="465"/>
  <c r="L18" i="465"/>
  <c r="B33" i="458"/>
  <c r="B29" i="473" s="1"/>
  <c r="H192" i="463"/>
  <c r="H197" i="463" s="1"/>
  <c r="H199" i="463" s="1"/>
  <c r="G35" i="457"/>
  <c r="L16" i="457"/>
  <c r="I16" i="457"/>
  <c r="E16" i="457"/>
  <c r="F4" i="462"/>
  <c r="B4" i="462"/>
  <c r="B37" i="464"/>
  <c r="AL4" i="473" s="1"/>
  <c r="B3" i="464"/>
  <c r="AI4" i="473" s="1"/>
  <c r="A25" i="460"/>
  <c r="F5" i="457"/>
  <c r="F4" i="457" s="1"/>
  <c r="G5" i="457"/>
  <c r="G4" i="457" s="1"/>
  <c r="I5" i="457"/>
  <c r="I4" i="457" s="1"/>
  <c r="J5" i="457"/>
  <c r="J4" i="457" s="1"/>
  <c r="K5" i="457"/>
  <c r="K4" i="457" s="1"/>
  <c r="L5" i="457"/>
  <c r="L4" i="457" s="1"/>
  <c r="M5" i="457"/>
  <c r="M4" i="457" s="1"/>
  <c r="E5" i="457"/>
  <c r="E4" i="457" s="1"/>
  <c r="E138" i="375"/>
  <c r="E141" i="375"/>
  <c r="B143" i="375" s="1"/>
  <c r="E66" i="375"/>
  <c r="G75" i="382"/>
  <c r="C65" i="435" s="1"/>
  <c r="G62" i="382"/>
  <c r="C62" i="435" s="1"/>
  <c r="C62" i="382"/>
  <c r="H61" i="382" s="1"/>
  <c r="G59" i="382"/>
  <c r="C59" i="435" s="1"/>
  <c r="G56" i="382"/>
  <c r="C56" i="435" s="1"/>
  <c r="G48" i="382"/>
  <c r="C53" i="435" s="1"/>
  <c r="G45" i="382"/>
  <c r="C51" i="435" s="1"/>
  <c r="G42" i="382"/>
  <c r="C49" i="435" s="1"/>
  <c r="G36" i="382"/>
  <c r="C46" i="435" s="1"/>
  <c r="G31" i="382"/>
  <c r="C31" i="382"/>
  <c r="G23" i="382"/>
  <c r="A26" i="460"/>
  <c r="G70" i="382"/>
  <c r="H68" i="382" s="1"/>
  <c r="H37" i="12"/>
  <c r="H34" i="12"/>
  <c r="H28" i="12"/>
  <c r="H25" i="12"/>
  <c r="G25" i="12"/>
  <c r="E24" i="12"/>
  <c r="B22" i="12"/>
  <c r="P126" i="391"/>
  <c r="P110" i="391"/>
  <c r="I51" i="6"/>
  <c r="I45" i="6"/>
  <c r="I48" i="6"/>
  <c r="I36" i="6"/>
  <c r="I39" i="6"/>
  <c r="I42" i="6"/>
  <c r="G207" i="442"/>
  <c r="H33" i="435" s="1"/>
  <c r="G179" i="442"/>
  <c r="H32" i="435" s="1"/>
  <c r="G9" i="435"/>
  <c r="I33" i="7"/>
  <c r="C73" i="435" s="1"/>
  <c r="C59" i="382"/>
  <c r="H58" i="382" s="1"/>
  <c r="C56" i="382"/>
  <c r="H55" i="382" s="1"/>
  <c r="C45" i="382"/>
  <c r="H44" i="382" s="1"/>
  <c r="C42" i="382"/>
  <c r="C48" i="435" s="1"/>
  <c r="C36" i="382"/>
  <c r="H35" i="382" s="1"/>
  <c r="C23" i="382"/>
  <c r="G15" i="382"/>
  <c r="C15" i="382"/>
  <c r="C39" i="435" s="1"/>
  <c r="G54" i="451"/>
  <c r="G42" i="451"/>
  <c r="C14" i="435" s="1"/>
  <c r="G32" i="451"/>
  <c r="G62" i="451"/>
  <c r="F141" i="381" s="1"/>
  <c r="G65" i="451"/>
  <c r="F146" i="381" s="1"/>
  <c r="G16" i="451"/>
  <c r="G51" i="451"/>
  <c r="G20" i="452" s="1"/>
  <c r="I28" i="2"/>
  <c r="C6" i="435" s="1"/>
  <c r="I14" i="2"/>
  <c r="C3" i="435" s="1"/>
  <c r="B63" i="435"/>
  <c r="F23" i="7"/>
  <c r="J22" i="7" s="1"/>
  <c r="D66" i="457"/>
  <c r="G66" i="457"/>
  <c r="D6" i="49"/>
  <c r="B5" i="49"/>
  <c r="D4" i="49"/>
  <c r="D3" i="49"/>
  <c r="H131" i="426"/>
  <c r="H132" i="426"/>
  <c r="H32" i="32"/>
  <c r="I3" i="32"/>
  <c r="I6" i="32"/>
  <c r="H36" i="32"/>
  <c r="H9" i="32"/>
  <c r="G25" i="386"/>
  <c r="I5" i="32"/>
  <c r="G22" i="386"/>
  <c r="I2" i="32"/>
  <c r="H75" i="32"/>
  <c r="H39" i="32"/>
  <c r="H42" i="32"/>
  <c r="H51" i="32"/>
  <c r="H48" i="32"/>
  <c r="I50" i="32" s="1"/>
  <c r="H3" i="32"/>
  <c r="H6" i="32"/>
  <c r="H12" i="32"/>
  <c r="H19" i="32"/>
  <c r="G74" i="454"/>
  <c r="G48" i="454"/>
  <c r="G45" i="454"/>
  <c r="J207" i="442"/>
  <c r="G36" i="454" s="1"/>
  <c r="J144" i="442"/>
  <c r="I5" i="454"/>
  <c r="L170" i="375"/>
  <c r="J10" i="7" s="1"/>
  <c r="L120" i="375"/>
  <c r="L167" i="375"/>
  <c r="E167" i="375"/>
  <c r="E165" i="375" s="1"/>
  <c r="L164" i="375"/>
  <c r="E95" i="375"/>
  <c r="E162" i="375" s="1"/>
  <c r="L158" i="375"/>
  <c r="L161" i="375"/>
  <c r="E135" i="375"/>
  <c r="L148" i="375"/>
  <c r="L151" i="375"/>
  <c r="E151" i="375"/>
  <c r="B153" i="375" s="1"/>
  <c r="E148" i="375"/>
  <c r="M147" i="375" s="1"/>
  <c r="L68" i="375"/>
  <c r="P67" i="375" s="1"/>
  <c r="E132" i="375"/>
  <c r="F137" i="375" s="1"/>
  <c r="E129" i="375"/>
  <c r="L60" i="375"/>
  <c r="E126" i="375"/>
  <c r="L50" i="375"/>
  <c r="E123" i="375"/>
  <c r="L45" i="375"/>
  <c r="M52" i="375" s="1"/>
  <c r="L114" i="375"/>
  <c r="L117" i="375"/>
  <c r="E117" i="375"/>
  <c r="M116" i="375" s="1"/>
  <c r="E105" i="375"/>
  <c r="M104" i="375" s="1"/>
  <c r="E111" i="375"/>
  <c r="M110" i="375" s="1"/>
  <c r="L105" i="375"/>
  <c r="L111" i="375"/>
  <c r="E108" i="375"/>
  <c r="L71" i="375"/>
  <c r="O74" i="375"/>
  <c r="B75" i="375" s="1"/>
  <c r="O68" i="375"/>
  <c r="O71" i="375"/>
  <c r="P70" i="375"/>
  <c r="L63" i="375"/>
  <c r="E68" i="375"/>
  <c r="E60" i="375"/>
  <c r="L53" i="375"/>
  <c r="E57" i="375"/>
  <c r="M59" i="375" s="1"/>
  <c r="E50" i="375"/>
  <c r="E47" i="375"/>
  <c r="L36" i="375"/>
  <c r="M34" i="375" s="1"/>
  <c r="L42" i="375"/>
  <c r="E42" i="375"/>
  <c r="E39" i="375"/>
  <c r="E4" i="441"/>
  <c r="D11" i="451"/>
  <c r="D14" i="451" s="1"/>
  <c r="G11" i="131"/>
  <c r="G26" i="445"/>
  <c r="H127" i="442" s="1"/>
  <c r="G23" i="445"/>
  <c r="G20" i="445"/>
  <c r="H106" i="442"/>
  <c r="G17" i="445"/>
  <c r="H98" i="442"/>
  <c r="G14" i="445"/>
  <c r="H92" i="442"/>
  <c r="G11" i="445"/>
  <c r="H89" i="442"/>
  <c r="C20" i="445"/>
  <c r="H21" i="442"/>
  <c r="C17" i="445"/>
  <c r="H12" i="442"/>
  <c r="C14" i="445"/>
  <c r="H6" i="442"/>
  <c r="C11" i="445"/>
  <c r="H3" i="442"/>
  <c r="G128" i="442"/>
  <c r="J113" i="442"/>
  <c r="J116" i="442"/>
  <c r="G107" i="442"/>
  <c r="G113" i="442"/>
  <c r="K112" i="442" s="1"/>
  <c r="G110" i="442"/>
  <c r="G99" i="442"/>
  <c r="J90" i="442"/>
  <c r="J93" i="442"/>
  <c r="G93" i="442"/>
  <c r="K92" i="442" s="1"/>
  <c r="G90" i="442"/>
  <c r="K89" i="442" s="1"/>
  <c r="G13" i="442"/>
  <c r="K12" i="442" s="1"/>
  <c r="J4" i="442"/>
  <c r="J7" i="442"/>
  <c r="G7" i="442"/>
  <c r="K6" i="442" s="1"/>
  <c r="G4" i="442"/>
  <c r="K3" i="442" s="1"/>
  <c r="J82" i="6"/>
  <c r="C13" i="448"/>
  <c r="F57" i="452" s="1"/>
  <c r="D19" i="103"/>
  <c r="D22" i="103"/>
  <c r="J70" i="6"/>
  <c r="G37" i="83"/>
  <c r="V113" i="424" s="1"/>
  <c r="G40" i="83"/>
  <c r="W113" i="424" s="1"/>
  <c r="J40" i="83"/>
  <c r="X113" i="424" s="1"/>
  <c r="C31" i="83"/>
  <c r="C34" i="83"/>
  <c r="L109" i="424" s="1"/>
  <c r="G20" i="74"/>
  <c r="G23" i="74"/>
  <c r="J38" i="6"/>
  <c r="C20" i="74"/>
  <c r="J35" i="6"/>
  <c r="C17" i="449"/>
  <c r="J7" i="6"/>
  <c r="F57" i="6"/>
  <c r="F58" i="6"/>
  <c r="D40" i="451"/>
  <c r="C16" i="448"/>
  <c r="G57" i="451"/>
  <c r="G46" i="451"/>
  <c r="F46" i="381" s="1"/>
  <c r="R20" i="48"/>
  <c r="R23" i="48"/>
  <c r="S31" i="48" s="1"/>
  <c r="R29" i="48"/>
  <c r="R46" i="48"/>
  <c r="R52" i="48"/>
  <c r="R55" i="48"/>
  <c r="H55" i="48"/>
  <c r="S54" i="48" s="1"/>
  <c r="H29" i="48"/>
  <c r="S28" i="48" s="1"/>
  <c r="H23" i="48"/>
  <c r="M118" i="48"/>
  <c r="M92" i="48"/>
  <c r="M58" i="48"/>
  <c r="M32" i="48"/>
  <c r="C99" i="48"/>
  <c r="C106" i="48"/>
  <c r="C110" i="48"/>
  <c r="H67" i="48"/>
  <c r="I91" i="48" s="1"/>
  <c r="C43" i="48"/>
  <c r="H58" i="48"/>
  <c r="C16" i="48"/>
  <c r="H32" i="48"/>
  <c r="I117" i="48" s="1"/>
  <c r="C38" i="48"/>
  <c r="H118" i="48"/>
  <c r="H46" i="48"/>
  <c r="H49" i="48"/>
  <c r="H52" i="48"/>
  <c r="H20" i="48"/>
  <c r="G19" i="386"/>
  <c r="J52" i="7"/>
  <c r="B23" i="7"/>
  <c r="I56" i="7"/>
  <c r="M55" i="7" s="1"/>
  <c r="F17" i="7"/>
  <c r="J16" i="7" s="1"/>
  <c r="F14" i="7"/>
  <c r="J13" i="7" s="1"/>
  <c r="J72" i="441"/>
  <c r="J7" i="7" s="1"/>
  <c r="J12" i="441"/>
  <c r="J32" i="441"/>
  <c r="E32" i="441"/>
  <c r="K31" i="441" s="1"/>
  <c r="E18" i="441"/>
  <c r="E29" i="441"/>
  <c r="E12" i="441"/>
  <c r="K11" i="441" s="1"/>
  <c r="E8" i="441"/>
  <c r="C19" i="386"/>
  <c r="K148" i="9"/>
  <c r="K93" i="9"/>
  <c r="K132" i="9"/>
  <c r="H115" i="9"/>
  <c r="K129" i="9"/>
  <c r="H126" i="9"/>
  <c r="L128" i="9" s="1"/>
  <c r="O114" i="9"/>
  <c r="H123" i="9"/>
  <c r="I119" i="9" s="1"/>
  <c r="O113" i="9"/>
  <c r="O112" i="9"/>
  <c r="O111" i="9"/>
  <c r="K72" i="9"/>
  <c r="K90" i="9"/>
  <c r="H87" i="9"/>
  <c r="L89" i="9" s="1"/>
  <c r="H84" i="9"/>
  <c r="K65" i="9"/>
  <c r="K41" i="9"/>
  <c r="K62" i="9"/>
  <c r="H53" i="9"/>
  <c r="H59" i="9"/>
  <c r="E59" i="9"/>
  <c r="C9" i="426" s="1"/>
  <c r="E56" i="9"/>
  <c r="H50" i="9"/>
  <c r="I52" i="9" s="1"/>
  <c r="O43" i="9"/>
  <c r="N43" i="9"/>
  <c r="H44" i="9"/>
  <c r="I178" i="3" s="1"/>
  <c r="H47" i="9"/>
  <c r="N41" i="9"/>
  <c r="I195" i="3"/>
  <c r="D26" i="451"/>
  <c r="G37" i="462"/>
  <c r="G45" i="462"/>
  <c r="G44" i="462"/>
  <c r="H37" i="462"/>
  <c r="H52" i="462" s="1"/>
  <c r="H56" i="462" s="1"/>
  <c r="H60" i="462" s="1"/>
  <c r="H44" i="462"/>
  <c r="H59" i="462"/>
  <c r="I37" i="462"/>
  <c r="C37" i="462"/>
  <c r="Q15" i="473" s="1"/>
  <c r="I44" i="462"/>
  <c r="J37" i="462"/>
  <c r="J59" i="462" s="1"/>
  <c r="J44" i="462"/>
  <c r="K37" i="462"/>
  <c r="K45" i="462" s="1"/>
  <c r="K44" i="462"/>
  <c r="F37" i="462"/>
  <c r="F59" i="462" s="1"/>
  <c r="F44" i="462"/>
  <c r="F51" i="462"/>
  <c r="I189" i="463"/>
  <c r="I154" i="463"/>
  <c r="I167" i="463"/>
  <c r="I175" i="463"/>
  <c r="I209" i="463"/>
  <c r="I192" i="463"/>
  <c r="I197" i="463" s="1"/>
  <c r="G192" i="463"/>
  <c r="G197" i="463" s="1"/>
  <c r="E192" i="463"/>
  <c r="E197" i="463" s="1"/>
  <c r="J192" i="463"/>
  <c r="J197" i="463" s="1"/>
  <c r="F153" i="463"/>
  <c r="F154" i="463" s="1"/>
  <c r="G153" i="463"/>
  <c r="G154" i="463" s="1"/>
  <c r="H153" i="463"/>
  <c r="H154" i="463" s="1"/>
  <c r="K154" i="463"/>
  <c r="E153" i="463"/>
  <c r="E154" i="463" s="1"/>
  <c r="J154" i="463"/>
  <c r="J176" i="463"/>
  <c r="J190" i="463" s="1"/>
  <c r="J201" i="463" s="1"/>
  <c r="J167" i="463"/>
  <c r="J175" i="463"/>
  <c r="K175" i="463"/>
  <c r="J189" i="463"/>
  <c r="K189" i="463"/>
  <c r="J209" i="463"/>
  <c r="K209" i="463"/>
  <c r="J211" i="463"/>
  <c r="K211" i="463"/>
  <c r="G51" i="462"/>
  <c r="E24" i="463"/>
  <c r="H45" i="462"/>
  <c r="H51" i="462"/>
  <c r="E23" i="466"/>
  <c r="E9" i="466"/>
  <c r="E17" i="466" s="1"/>
  <c r="O21" i="466"/>
  <c r="R5" i="466"/>
  <c r="O17" i="466"/>
  <c r="F63" i="376"/>
  <c r="F66" i="376"/>
  <c r="F69" i="376"/>
  <c r="F72" i="376"/>
  <c r="C14" i="449"/>
  <c r="C5" i="449"/>
  <c r="G14" i="376"/>
  <c r="C8" i="449"/>
  <c r="C11" i="449"/>
  <c r="C65" i="424"/>
  <c r="G11" i="449"/>
  <c r="G20" i="376"/>
  <c r="G14" i="449"/>
  <c r="G17" i="449"/>
  <c r="H81" i="424"/>
  <c r="F175" i="463"/>
  <c r="H175" i="463"/>
  <c r="E175" i="463"/>
  <c r="F95" i="376"/>
  <c r="F98" i="376"/>
  <c r="F101" i="376"/>
  <c r="F104" i="376"/>
  <c r="G97" i="376"/>
  <c r="J13" i="424"/>
  <c r="S21" i="466"/>
  <c r="P13" i="466"/>
  <c r="J29" i="466"/>
  <c r="F23" i="466"/>
  <c r="P12" i="466" s="1"/>
  <c r="I23" i="466"/>
  <c r="S20" i="466" s="1"/>
  <c r="G23" i="466"/>
  <c r="G49" i="466" s="1"/>
  <c r="H23" i="466"/>
  <c r="H49" i="466" s="1"/>
  <c r="J23" i="466"/>
  <c r="K29" i="466"/>
  <c r="K49" i="466" s="1"/>
  <c r="J146" i="463"/>
  <c r="F83" i="376"/>
  <c r="F86" i="376"/>
  <c r="F89" i="376"/>
  <c r="F92" i="376"/>
  <c r="C5" i="470"/>
  <c r="E167" i="463"/>
  <c r="E189" i="463"/>
  <c r="AL3" i="473"/>
  <c r="I24" i="463"/>
  <c r="J24" i="463"/>
  <c r="K25" i="463"/>
  <c r="K35" i="463" s="1"/>
  <c r="H24" i="463"/>
  <c r="H167" i="463"/>
  <c r="H189" i="463"/>
  <c r="F189" i="463"/>
  <c r="G167" i="463"/>
  <c r="K94" i="466"/>
  <c r="K100" i="466" s="1"/>
  <c r="K95" i="466"/>
  <c r="K97" i="466" s="1"/>
  <c r="K98" i="466"/>
  <c r="BD3" i="473"/>
  <c r="F57" i="464"/>
  <c r="G52" i="464"/>
  <c r="G54" i="464" s="1"/>
  <c r="G56" i="464" s="1"/>
  <c r="H52" i="464"/>
  <c r="H54" i="464" s="1"/>
  <c r="H56" i="464" s="1"/>
  <c r="I54" i="464"/>
  <c r="I56" i="464" s="1"/>
  <c r="J52" i="464"/>
  <c r="J54" i="464" s="1"/>
  <c r="J56" i="464" s="1"/>
  <c r="E52" i="464"/>
  <c r="E54" i="464" s="1"/>
  <c r="E56" i="464" s="1"/>
  <c r="F23" i="464"/>
  <c r="G23" i="464"/>
  <c r="H23" i="464"/>
  <c r="I23" i="464"/>
  <c r="J23" i="464"/>
  <c r="E23" i="464"/>
  <c r="F18" i="464"/>
  <c r="F20" i="464" s="1"/>
  <c r="F22" i="464" s="1"/>
  <c r="G18" i="464"/>
  <c r="G20" i="464" s="1"/>
  <c r="G22" i="464" s="1"/>
  <c r="H18" i="464"/>
  <c r="H20" i="464" s="1"/>
  <c r="H22" i="464" s="1"/>
  <c r="I18" i="464"/>
  <c r="I20" i="464" s="1"/>
  <c r="I22" i="464" s="1"/>
  <c r="J18" i="464"/>
  <c r="J20" i="464" s="1"/>
  <c r="J22" i="464" s="1"/>
  <c r="E18" i="464"/>
  <c r="E20" i="464" s="1"/>
  <c r="E22" i="464" s="1"/>
  <c r="B22" i="464" s="1"/>
  <c r="AI23" i="473" s="1"/>
  <c r="E75" i="463"/>
  <c r="E91" i="463" s="1"/>
  <c r="G75" i="463"/>
  <c r="G91" i="463" s="1"/>
  <c r="G140" i="463" s="1"/>
  <c r="G143" i="463" s="1"/>
  <c r="H75" i="463"/>
  <c r="I75" i="463"/>
  <c r="I91" i="463" s="1"/>
  <c r="I140" i="463" s="1"/>
  <c r="I143" i="463" s="1"/>
  <c r="J75" i="463"/>
  <c r="J91" i="463" s="1"/>
  <c r="K75" i="463"/>
  <c r="K91" i="463" s="1"/>
  <c r="L75" i="463"/>
  <c r="L92" i="463"/>
  <c r="M75" i="463"/>
  <c r="M92" i="463"/>
  <c r="G90" i="463"/>
  <c r="G105" i="463" s="1"/>
  <c r="H105" i="463"/>
  <c r="Z14" i="473"/>
  <c r="J90" i="463"/>
  <c r="J105" i="463" s="1"/>
  <c r="E105" i="463"/>
  <c r="I63" i="466"/>
  <c r="S24" i="466" s="1"/>
  <c r="E95" i="466"/>
  <c r="S25" i="466"/>
  <c r="S17" i="466"/>
  <c r="I9" i="466"/>
  <c r="I17" i="466" s="1"/>
  <c r="S13" i="466"/>
  <c r="E55" i="466"/>
  <c r="O12" i="466" s="1"/>
  <c r="I55" i="466"/>
  <c r="I57" i="466" s="1"/>
  <c r="S12" i="466" s="1"/>
  <c r="C8" i="74"/>
  <c r="P7" i="397"/>
  <c r="Q7" i="397" s="1"/>
  <c r="P6" i="397"/>
  <c r="Q6" i="397" s="1"/>
  <c r="P8" i="397"/>
  <c r="Q8" i="397" s="1"/>
  <c r="P9" i="397"/>
  <c r="Q9" i="397" s="1"/>
  <c r="P10" i="397"/>
  <c r="Q10" i="397" s="1"/>
  <c r="P11" i="397"/>
  <c r="Q11" i="397" s="1"/>
  <c r="P12" i="397"/>
  <c r="Q12" i="397" s="1"/>
  <c r="P13" i="397"/>
  <c r="Q13" i="397" s="1"/>
  <c r="P14" i="397"/>
  <c r="Q14" i="397" s="1"/>
  <c r="P15" i="397"/>
  <c r="Q15" i="397" s="1"/>
  <c r="E94" i="466"/>
  <c r="E100" i="466" s="1"/>
  <c r="E81" i="466"/>
  <c r="E87" i="466" s="1"/>
  <c r="H71" i="466"/>
  <c r="H73" i="466" s="1"/>
  <c r="H63" i="466"/>
  <c r="H65" i="466" s="1"/>
  <c r="H55" i="466"/>
  <c r="H57" i="466" s="1"/>
  <c r="F9" i="466"/>
  <c r="F17" i="466" s="1"/>
  <c r="G9" i="466"/>
  <c r="G17" i="466" s="1"/>
  <c r="H9" i="466"/>
  <c r="H17" i="466" s="1"/>
  <c r="F62" i="465"/>
  <c r="G62" i="465"/>
  <c r="H62" i="465"/>
  <c r="I62" i="465"/>
  <c r="J62" i="465"/>
  <c r="K62" i="465"/>
  <c r="L62" i="465"/>
  <c r="B62" i="465" s="1"/>
  <c r="M128" i="424" s="1"/>
  <c r="M62" i="465"/>
  <c r="N62" i="465"/>
  <c r="F113" i="464"/>
  <c r="H113" i="464"/>
  <c r="F110" i="464"/>
  <c r="H110" i="464"/>
  <c r="E110" i="464"/>
  <c r="F66" i="464"/>
  <c r="G66" i="464"/>
  <c r="G70" i="464"/>
  <c r="H66" i="464"/>
  <c r="H70" i="464"/>
  <c r="J66" i="464"/>
  <c r="J71" i="464" s="1"/>
  <c r="R2" i="466"/>
  <c r="I211" i="463"/>
  <c r="E210" i="463"/>
  <c r="F209" i="463"/>
  <c r="H209" i="463"/>
  <c r="F24" i="463"/>
  <c r="G23" i="463"/>
  <c r="L25" i="463"/>
  <c r="G28" i="462"/>
  <c r="G62" i="462"/>
  <c r="H62" i="462"/>
  <c r="F28" i="462"/>
  <c r="I4" i="462"/>
  <c r="J4" i="462"/>
  <c r="N4" i="462"/>
  <c r="F35" i="457"/>
  <c r="E35" i="457"/>
  <c r="F16" i="457"/>
  <c r="G16" i="457"/>
  <c r="H16" i="457"/>
  <c r="J16" i="457"/>
  <c r="K16" i="457"/>
  <c r="M16" i="457"/>
  <c r="E20" i="470"/>
  <c r="H17" i="470"/>
  <c r="E17" i="470"/>
  <c r="I11" i="2"/>
  <c r="J23" i="2" s="1"/>
  <c r="C2" i="435"/>
  <c r="I24" i="2"/>
  <c r="J7" i="83"/>
  <c r="E48" i="392" s="1"/>
  <c r="C13" i="83"/>
  <c r="G65" i="376" s="1"/>
  <c r="K7" i="80"/>
  <c r="E42" i="392" s="1"/>
  <c r="C5" i="103"/>
  <c r="P4" i="103"/>
  <c r="C10" i="80"/>
  <c r="D105" i="424" s="1"/>
  <c r="G7" i="80"/>
  <c r="G10" i="80"/>
  <c r="G13" i="80"/>
  <c r="J105" i="424"/>
  <c r="D8" i="451"/>
  <c r="C7" i="80"/>
  <c r="C13" i="80"/>
  <c r="F119" i="381"/>
  <c r="G31" i="83"/>
  <c r="G17" i="80"/>
  <c r="L105" i="424" s="1"/>
  <c r="D10" i="451"/>
  <c r="D106" i="2"/>
  <c r="F43" i="47"/>
  <c r="F33" i="47"/>
  <c r="K141" i="424"/>
  <c r="J141" i="424"/>
  <c r="G36" i="102"/>
  <c r="E65" i="6"/>
  <c r="I141" i="424"/>
  <c r="K37" i="83"/>
  <c r="K19" i="80"/>
  <c r="K16" i="80"/>
  <c r="K10" i="80"/>
  <c r="M103" i="3" s="1"/>
  <c r="G33" i="95"/>
  <c r="L129" i="424" s="1"/>
  <c r="O13" i="95"/>
  <c r="F93" i="2" s="1"/>
  <c r="K31" i="95"/>
  <c r="K34" i="95"/>
  <c r="X129" i="424" s="1"/>
  <c r="K37" i="95"/>
  <c r="C79" i="391" s="1"/>
  <c r="C28" i="83"/>
  <c r="F4" i="452" s="1"/>
  <c r="J37" i="83"/>
  <c r="F8" i="452" s="1"/>
  <c r="I13" i="424"/>
  <c r="K23" i="95"/>
  <c r="P123" i="391" s="1"/>
  <c r="O34" i="95"/>
  <c r="F15" i="452" s="1"/>
  <c r="AX3" i="473"/>
  <c r="AU3" i="473"/>
  <c r="D10" i="362"/>
  <c r="D12" i="362"/>
  <c r="D13" i="362"/>
  <c r="D16" i="362"/>
  <c r="F51" i="376"/>
  <c r="F54" i="376"/>
  <c r="J157" i="376"/>
  <c r="J169" i="376"/>
  <c r="J172" i="376"/>
  <c r="C37" i="362" s="1"/>
  <c r="J121" i="376"/>
  <c r="J181" i="376"/>
  <c r="C6" i="102"/>
  <c r="B133" i="424" s="1"/>
  <c r="C32" i="102"/>
  <c r="J133" i="424"/>
  <c r="K11" i="102"/>
  <c r="C15" i="102"/>
  <c r="F45" i="452" s="1"/>
  <c r="E61" i="6" s="1"/>
  <c r="C24" i="102"/>
  <c r="G11" i="102"/>
  <c r="C28" i="102"/>
  <c r="O11" i="102"/>
  <c r="D118" i="2" s="1"/>
  <c r="G20" i="102"/>
  <c r="F49" i="452" s="1"/>
  <c r="E62" i="6" s="1"/>
  <c r="K15" i="102"/>
  <c r="F12" i="376"/>
  <c r="F15" i="376"/>
  <c r="K17" i="376" s="1"/>
  <c r="F18" i="376"/>
  <c r="F21" i="376"/>
  <c r="F24" i="376"/>
  <c r="F32" i="376"/>
  <c r="F47" i="376"/>
  <c r="F57" i="376"/>
  <c r="F60" i="376"/>
  <c r="G62" i="376"/>
  <c r="G34" i="83"/>
  <c r="G68" i="376" s="1"/>
  <c r="G16" i="95"/>
  <c r="D108" i="2" s="1"/>
  <c r="G19" i="95"/>
  <c r="F129" i="424" s="1"/>
  <c r="G27" i="95"/>
  <c r="H129" i="424" s="1"/>
  <c r="G30" i="95"/>
  <c r="E7" i="451" s="1"/>
  <c r="C17" i="435"/>
  <c r="J79" i="376"/>
  <c r="F108" i="376"/>
  <c r="F111" i="376"/>
  <c r="J118" i="376"/>
  <c r="J116" i="376" s="1"/>
  <c r="C11" i="74"/>
  <c r="F126" i="376"/>
  <c r="F129" i="376"/>
  <c r="F132" i="376"/>
  <c r="F135" i="376"/>
  <c r="F138" i="376"/>
  <c r="F141" i="376"/>
  <c r="K17" i="95"/>
  <c r="F96" i="2" s="1"/>
  <c r="F144" i="376"/>
  <c r="F147" i="376"/>
  <c r="G149" i="376"/>
  <c r="F150" i="376"/>
  <c r="J154" i="376"/>
  <c r="J166" i="376"/>
  <c r="K168" i="376" s="1"/>
  <c r="K171" i="376"/>
  <c r="G6" i="102"/>
  <c r="O6" i="102"/>
  <c r="S133" i="424" s="1"/>
  <c r="O31" i="95"/>
  <c r="Z129" i="424" s="1"/>
  <c r="D37" i="392"/>
  <c r="D40" i="392"/>
  <c r="D43" i="392"/>
  <c r="D46" i="392"/>
  <c r="D49" i="392"/>
  <c r="G52" i="392"/>
  <c r="D57" i="392"/>
  <c r="D60" i="392"/>
  <c r="C25" i="83"/>
  <c r="E62" i="392" s="1"/>
  <c r="D63" i="392"/>
  <c r="M13" i="83"/>
  <c r="E65" i="392" s="1"/>
  <c r="D66" i="392"/>
  <c r="G69" i="392"/>
  <c r="G72" i="392"/>
  <c r="G75" i="392"/>
  <c r="H83" i="392" s="1"/>
  <c r="J81" i="392"/>
  <c r="H19" i="435" s="1"/>
  <c r="G84" i="392"/>
  <c r="H20" i="435" s="1"/>
  <c r="J84" i="392"/>
  <c r="H21" i="435" s="1"/>
  <c r="J87" i="392"/>
  <c r="C4" i="80"/>
  <c r="B105" i="424" s="1"/>
  <c r="G4" i="80"/>
  <c r="H105" i="424" s="1"/>
  <c r="C16" i="95"/>
  <c r="C129" i="424" s="1"/>
  <c r="C19" i="95"/>
  <c r="E129" i="424" s="1"/>
  <c r="C27" i="95"/>
  <c r="G129" i="424" s="1"/>
  <c r="C30" i="95"/>
  <c r="I129" i="424" s="1"/>
  <c r="C33" i="95"/>
  <c r="K129" i="424" s="1"/>
  <c r="K13" i="95"/>
  <c r="Q129" i="424" s="1"/>
  <c r="O23" i="95"/>
  <c r="V129" i="424" s="1"/>
  <c r="K6" i="102"/>
  <c r="C11" i="102"/>
  <c r="E57" i="6" s="1"/>
  <c r="C20" i="102"/>
  <c r="C16" i="80"/>
  <c r="C9" i="95"/>
  <c r="M100" i="7" s="1"/>
  <c r="H106" i="426"/>
  <c r="I106" i="426" s="1"/>
  <c r="J105" i="426" s="1"/>
  <c r="J82" i="7"/>
  <c r="H64" i="451"/>
  <c r="E5" i="452"/>
  <c r="E9" i="452"/>
  <c r="I10" i="452" s="1"/>
  <c r="G28" i="102"/>
  <c r="D119" i="2" s="1"/>
  <c r="F60" i="452"/>
  <c r="E5" i="2"/>
  <c r="E8" i="2"/>
  <c r="F10" i="2"/>
  <c r="E11" i="2"/>
  <c r="E20" i="2"/>
  <c r="E21" i="2"/>
  <c r="J20" i="2" s="1"/>
  <c r="I21" i="2"/>
  <c r="C4" i="435"/>
  <c r="J27" i="2"/>
  <c r="K28" i="102"/>
  <c r="E142" i="3" s="1"/>
  <c r="O20" i="102"/>
  <c r="L47" i="47" s="1"/>
  <c r="K20" i="102"/>
  <c r="D117" i="2" s="1"/>
  <c r="G24" i="102"/>
  <c r="C5" i="445"/>
  <c r="D127" i="2"/>
  <c r="J134" i="2"/>
  <c r="H1" i="390"/>
  <c r="I15" i="386"/>
  <c r="G2" i="103"/>
  <c r="C9" i="103"/>
  <c r="C12" i="103"/>
  <c r="G32" i="102"/>
  <c r="N133" i="424" s="1"/>
  <c r="C5" i="397"/>
  <c r="J16" i="397"/>
  <c r="J12" i="95"/>
  <c r="Q26" i="95"/>
  <c r="H109" i="424"/>
  <c r="E2" i="74"/>
  <c r="I2" i="74"/>
  <c r="I5" i="77"/>
  <c r="C8" i="77"/>
  <c r="G11" i="77"/>
  <c r="G15" i="77"/>
  <c r="C19" i="77"/>
  <c r="C93" i="424"/>
  <c r="G19" i="77"/>
  <c r="C4" i="50"/>
  <c r="K4" i="50"/>
  <c r="L7" i="50"/>
  <c r="C7" i="50"/>
  <c r="J4" i="6"/>
  <c r="K7" i="50"/>
  <c r="C89" i="424"/>
  <c r="C10" i="50"/>
  <c r="K10" i="50"/>
  <c r="G11" i="50"/>
  <c r="O11" i="50"/>
  <c r="C16" i="50"/>
  <c r="G16" i="50"/>
  <c r="K16" i="50"/>
  <c r="F89" i="424"/>
  <c r="O16" i="50"/>
  <c r="C19" i="50"/>
  <c r="G85" i="424"/>
  <c r="G19" i="50"/>
  <c r="K19" i="50"/>
  <c r="G89" i="424"/>
  <c r="O19" i="50"/>
  <c r="C22" i="50"/>
  <c r="G22" i="50"/>
  <c r="K22" i="50"/>
  <c r="O22" i="50"/>
  <c r="C25" i="50"/>
  <c r="I85" i="424"/>
  <c r="G25" i="50"/>
  <c r="K25" i="50"/>
  <c r="I89" i="424"/>
  <c r="O25" i="50"/>
  <c r="C30" i="50"/>
  <c r="G30" i="50"/>
  <c r="K30" i="50"/>
  <c r="N89" i="424"/>
  <c r="O30" i="50"/>
  <c r="C33" i="50"/>
  <c r="O85" i="424"/>
  <c r="G33" i="50"/>
  <c r="K33" i="50"/>
  <c r="O89" i="424"/>
  <c r="O33" i="50"/>
  <c r="J3" i="445"/>
  <c r="J9" i="445"/>
  <c r="D17" i="445"/>
  <c r="V3" i="131"/>
  <c r="C5" i="131"/>
  <c r="G13" i="7"/>
  <c r="C20" i="131"/>
  <c r="G146" i="376"/>
  <c r="V6" i="131"/>
  <c r="C8" i="131"/>
  <c r="G16" i="7"/>
  <c r="G5" i="131"/>
  <c r="V9" i="131"/>
  <c r="C11" i="131"/>
  <c r="G22" i="7"/>
  <c r="G8" i="131"/>
  <c r="C14" i="131"/>
  <c r="C17" i="131"/>
  <c r="D17" i="449"/>
  <c r="E16" i="396"/>
  <c r="G7" i="120"/>
  <c r="C49" i="424"/>
  <c r="C5" i="120"/>
  <c r="J76" i="6"/>
  <c r="D5" i="120"/>
  <c r="C13" i="120"/>
  <c r="G100" i="376"/>
  <c r="G13" i="120"/>
  <c r="C16" i="120"/>
  <c r="D16" i="120"/>
  <c r="G16" i="120"/>
  <c r="H16" i="120"/>
  <c r="C19" i="120"/>
  <c r="I70" i="452"/>
  <c r="G19" i="120"/>
  <c r="J79" i="6"/>
  <c r="C22" i="120"/>
  <c r="E53" i="424"/>
  <c r="D22" i="120"/>
  <c r="G22" i="120"/>
  <c r="I53" i="424"/>
  <c r="C28" i="120"/>
  <c r="G28" i="120"/>
  <c r="H178" i="442"/>
  <c r="J13" i="6"/>
  <c r="H10" i="112"/>
  <c r="H4" i="112"/>
  <c r="D28" i="112"/>
  <c r="C4" i="448"/>
  <c r="B5" i="424"/>
  <c r="O13" i="466"/>
  <c r="D64" i="457"/>
  <c r="F74" i="457"/>
  <c r="G74" i="457"/>
  <c r="M74" i="457"/>
  <c r="L77" i="457"/>
  <c r="B1" i="473"/>
  <c r="H3" i="473"/>
  <c r="K3" i="473"/>
  <c r="N3" i="473"/>
  <c r="Q3" i="473"/>
  <c r="T3" i="473"/>
  <c r="W3" i="473"/>
  <c r="Z3" i="473"/>
  <c r="AC3" i="473"/>
  <c r="AF3" i="473"/>
  <c r="AI3" i="473"/>
  <c r="AO3" i="473"/>
  <c r="AR3" i="473"/>
  <c r="BA3" i="473"/>
  <c r="BG3" i="473"/>
  <c r="BJ3" i="473"/>
  <c r="E22" i="473"/>
  <c r="B33" i="473"/>
  <c r="B10" i="473"/>
  <c r="K16" i="473"/>
  <c r="H20" i="473"/>
  <c r="N27" i="473"/>
  <c r="E3" i="473"/>
  <c r="K39" i="473"/>
  <c r="H37" i="473"/>
  <c r="B2" i="424"/>
  <c r="B45" i="424"/>
  <c r="B48" i="424"/>
  <c r="B33" i="424"/>
  <c r="G9" i="424"/>
  <c r="B13" i="424"/>
  <c r="D13" i="424"/>
  <c r="F13" i="424"/>
  <c r="G13" i="424"/>
  <c r="H13" i="424"/>
  <c r="B17" i="424"/>
  <c r="C17" i="424"/>
  <c r="D17" i="424"/>
  <c r="E17" i="424"/>
  <c r="B21" i="424"/>
  <c r="C21" i="424"/>
  <c r="D21" i="424"/>
  <c r="E21" i="424"/>
  <c r="B25" i="424"/>
  <c r="C25" i="424"/>
  <c r="E25" i="424"/>
  <c r="B49" i="424"/>
  <c r="B53" i="424"/>
  <c r="C53" i="424"/>
  <c r="D53" i="424"/>
  <c r="F53" i="424"/>
  <c r="G53" i="424"/>
  <c r="H53" i="424"/>
  <c r="B57" i="424"/>
  <c r="B61" i="424"/>
  <c r="B65" i="424"/>
  <c r="D65" i="424"/>
  <c r="B69" i="424"/>
  <c r="C69" i="424"/>
  <c r="D69" i="424"/>
  <c r="B73" i="424"/>
  <c r="D73" i="424"/>
  <c r="E73" i="424"/>
  <c r="F73" i="424"/>
  <c r="H73" i="424"/>
  <c r="J73" i="424"/>
  <c r="B80" i="424"/>
  <c r="C80" i="424"/>
  <c r="D80" i="424"/>
  <c r="E80" i="424"/>
  <c r="D81" i="424"/>
  <c r="F81" i="424"/>
  <c r="K81" i="424"/>
  <c r="M81" i="424"/>
  <c r="B85" i="424"/>
  <c r="D85" i="424"/>
  <c r="H85" i="424"/>
  <c r="J85" i="424"/>
  <c r="K85" i="424"/>
  <c r="L85" i="424"/>
  <c r="M85" i="424"/>
  <c r="P85" i="424"/>
  <c r="Q85" i="424"/>
  <c r="B89" i="424"/>
  <c r="D89" i="424"/>
  <c r="E89" i="424"/>
  <c r="H89" i="424"/>
  <c r="J89" i="424"/>
  <c r="K89" i="424"/>
  <c r="L89" i="424"/>
  <c r="M89" i="424"/>
  <c r="P89" i="424"/>
  <c r="Q89" i="424"/>
  <c r="B93" i="424"/>
  <c r="D93" i="424"/>
  <c r="E93" i="424"/>
  <c r="F93" i="424"/>
  <c r="G97" i="424"/>
  <c r="C101" i="424"/>
  <c r="F101" i="424"/>
  <c r="G101" i="424"/>
  <c r="K101" i="424"/>
  <c r="C105" i="424"/>
  <c r="E105" i="424"/>
  <c r="K105" i="424"/>
  <c r="J109" i="424"/>
  <c r="C133" i="424"/>
  <c r="D133" i="424"/>
  <c r="E133" i="424"/>
  <c r="G133" i="424"/>
  <c r="H133" i="424"/>
  <c r="I133" i="424"/>
  <c r="K133" i="424"/>
  <c r="M133" i="424"/>
  <c r="P133" i="424"/>
  <c r="Q133" i="424"/>
  <c r="R133" i="424"/>
  <c r="T133" i="424"/>
  <c r="C141" i="424"/>
  <c r="F141" i="424"/>
  <c r="G141" i="424"/>
  <c r="C145" i="424"/>
  <c r="E145" i="424"/>
  <c r="F145" i="424"/>
  <c r="G145" i="424"/>
  <c r="H145" i="424"/>
  <c r="I145" i="424"/>
  <c r="J145" i="424"/>
  <c r="K145" i="424"/>
  <c r="C10" i="470"/>
  <c r="E10" i="470"/>
  <c r="C13" i="470"/>
  <c r="G4" i="460"/>
  <c r="C8" i="460"/>
  <c r="E8" i="460"/>
  <c r="J12" i="460"/>
  <c r="C12" i="460"/>
  <c r="E12" i="460"/>
  <c r="G12" i="460"/>
  <c r="C21" i="460"/>
  <c r="E21" i="460"/>
  <c r="G21" i="460"/>
  <c r="C23" i="460"/>
  <c r="E23" i="460"/>
  <c r="G23" i="460"/>
  <c r="E24" i="460"/>
  <c r="C26" i="460"/>
  <c r="G26" i="460"/>
  <c r="E27" i="460"/>
  <c r="G27" i="460"/>
  <c r="I1" i="471"/>
  <c r="C1" i="471"/>
  <c r="D1" i="471"/>
  <c r="E1" i="471"/>
  <c r="F1" i="471"/>
  <c r="G1" i="471"/>
  <c r="H1" i="471"/>
  <c r="M1" i="471"/>
  <c r="N1" i="471"/>
  <c r="O1" i="471"/>
  <c r="P1" i="471"/>
  <c r="Q1" i="471"/>
  <c r="R1" i="471"/>
  <c r="S1" i="471"/>
  <c r="T1" i="471"/>
  <c r="U1" i="471"/>
  <c r="C59" i="462"/>
  <c r="Q37" i="473" s="1"/>
  <c r="AL139" i="381"/>
  <c r="H224" i="3"/>
  <c r="D33" i="32"/>
  <c r="D31" i="32"/>
  <c r="I26" i="32"/>
  <c r="C20" i="32"/>
  <c r="I67" i="32"/>
  <c r="J47" i="7"/>
  <c r="J130" i="2"/>
  <c r="G11" i="376"/>
  <c r="E85" i="424"/>
  <c r="N85" i="424"/>
  <c r="F85" i="424"/>
  <c r="G10" i="376"/>
  <c r="I69" i="32"/>
  <c r="I54" i="32"/>
  <c r="I56" i="32"/>
  <c r="I35" i="32"/>
  <c r="E64" i="32"/>
  <c r="B156" i="375"/>
  <c r="H76" i="382"/>
  <c r="C76" i="435"/>
  <c r="C5" i="435"/>
  <c r="C15" i="435"/>
  <c r="G85" i="376"/>
  <c r="M23" i="480"/>
  <c r="F41" i="375"/>
  <c r="J125" i="424"/>
  <c r="F50" i="2"/>
  <c r="G131" i="376"/>
  <c r="R105" i="424"/>
  <c r="B113" i="424"/>
  <c r="E113" i="424"/>
  <c r="F109" i="424"/>
  <c r="E109" i="424"/>
  <c r="F71" i="464"/>
  <c r="I113" i="424"/>
  <c r="B101" i="424"/>
  <c r="H101" i="424"/>
  <c r="E63" i="32"/>
  <c r="E44" i="32"/>
  <c r="H92" i="463"/>
  <c r="E31" i="463"/>
  <c r="E34" i="463" s="1"/>
  <c r="G59" i="462"/>
  <c r="I45" i="462"/>
  <c r="C45" i="462"/>
  <c r="Q23" i="473" s="1"/>
  <c r="F45" i="462"/>
  <c r="C52" i="462"/>
  <c r="Q30" i="473" s="1"/>
  <c r="E16" i="2"/>
  <c r="J13" i="476"/>
  <c r="G120" i="7"/>
  <c r="J22" i="476"/>
  <c r="J25" i="476"/>
  <c r="J83" i="391"/>
  <c r="F150" i="375"/>
  <c r="E97" i="466"/>
  <c r="I49" i="466"/>
  <c r="T20" i="466" s="1"/>
  <c r="F49" i="466"/>
  <c r="O20" i="466"/>
  <c r="I74" i="32"/>
  <c r="H42" i="394"/>
  <c r="B141" i="424"/>
  <c r="E30" i="452"/>
  <c r="B51" i="463"/>
  <c r="W11" i="473" s="1"/>
  <c r="Z17" i="473"/>
  <c r="B52" i="463"/>
  <c r="W12" i="473" s="1"/>
  <c r="Z18" i="473"/>
  <c r="G52" i="462"/>
  <c r="G56" i="462" s="1"/>
  <c r="F63" i="452"/>
  <c r="M9" i="480"/>
  <c r="F3" i="441"/>
  <c r="D77" i="487"/>
  <c r="J50" i="6"/>
  <c r="J17" i="6"/>
  <c r="C9" i="362"/>
  <c r="C10" i="362"/>
  <c r="G24" i="454"/>
  <c r="D145" i="424"/>
  <c r="J20" i="6"/>
  <c r="G57" i="481"/>
  <c r="M54" i="481"/>
  <c r="M16" i="480"/>
  <c r="B145" i="424"/>
  <c r="L133" i="424"/>
  <c r="U113" i="424"/>
  <c r="I109" i="424"/>
  <c r="D97" i="424"/>
  <c r="C85" i="424"/>
  <c r="N81" i="424"/>
  <c r="L81" i="424"/>
  <c r="G81" i="424"/>
  <c r="E81" i="424"/>
  <c r="B81" i="424"/>
  <c r="I73" i="424"/>
  <c r="G73" i="424"/>
  <c r="C73" i="424"/>
  <c r="E65" i="424"/>
  <c r="C57" i="424"/>
  <c r="E13" i="424"/>
  <c r="C13" i="424"/>
  <c r="G74" i="376"/>
  <c r="L21" i="396"/>
  <c r="H26" i="445"/>
  <c r="H17" i="445"/>
  <c r="D7" i="50"/>
  <c r="H53" i="451"/>
  <c r="J41" i="6"/>
  <c r="G103" i="376"/>
  <c r="I105" i="424"/>
  <c r="O133" i="424"/>
  <c r="Z16" i="473"/>
  <c r="J45" i="462"/>
  <c r="F52" i="462"/>
  <c r="H198" i="3"/>
  <c r="F125" i="424"/>
  <c r="J110" i="391"/>
  <c r="J29" i="6"/>
  <c r="C13" i="362"/>
  <c r="G77" i="454"/>
  <c r="B77" i="424"/>
  <c r="G8" i="481"/>
  <c r="J5" i="481"/>
  <c r="G22" i="481"/>
  <c r="G42" i="481"/>
  <c r="M39" i="481"/>
  <c r="G51" i="481"/>
  <c r="M72" i="481"/>
  <c r="C81" i="424"/>
  <c r="C109" i="424"/>
  <c r="H75" i="451"/>
  <c r="E141" i="424"/>
  <c r="D141" i="424"/>
  <c r="P13" i="103"/>
  <c r="G25" i="7"/>
  <c r="L73" i="424"/>
  <c r="I63" i="462"/>
  <c r="C56" i="462"/>
  <c r="Q34" i="473" s="1"/>
  <c r="C57" i="462"/>
  <c r="Q35" i="473" s="1"/>
  <c r="Z15" i="473"/>
  <c r="Z28" i="473"/>
  <c r="C60" i="462"/>
  <c r="Q38" i="473" s="1"/>
  <c r="C63" i="462"/>
  <c r="C96" i="424" s="1"/>
  <c r="Z27" i="473"/>
  <c r="Z24" i="473"/>
  <c r="E34" i="132"/>
  <c r="F28" i="132"/>
  <c r="N144" i="463" l="1"/>
  <c r="N145" i="463"/>
  <c r="L65" i="465"/>
  <c r="B65" i="465" s="1"/>
  <c r="AR67" i="473" s="1"/>
  <c r="B63" i="465"/>
  <c r="S92" i="48"/>
  <c r="B22" i="441"/>
  <c r="I115" i="9"/>
  <c r="B20" i="441"/>
  <c r="B36" i="441"/>
  <c r="F25" i="441"/>
  <c r="I71" i="48"/>
  <c r="F121" i="381"/>
  <c r="S57" i="48"/>
  <c r="I31" i="48"/>
  <c r="N116" i="48"/>
  <c r="C66" i="391"/>
  <c r="M32" i="375"/>
  <c r="N117" i="48"/>
  <c r="K27" i="473"/>
  <c r="H84" i="424"/>
  <c r="Q72" i="3"/>
  <c r="M72" i="3"/>
  <c r="Q57" i="3"/>
  <c r="M57" i="3"/>
  <c r="M41" i="3"/>
  <c r="Q41" i="3"/>
  <c r="P81" i="424"/>
  <c r="K127" i="442"/>
  <c r="B4" i="376"/>
  <c r="M41" i="375"/>
  <c r="S113" i="424"/>
  <c r="B109" i="424"/>
  <c r="C113" i="424"/>
  <c r="K109" i="424"/>
  <c r="J44" i="6"/>
  <c r="G10" i="392"/>
  <c r="D109" i="424"/>
  <c r="F54" i="2"/>
  <c r="E45" i="392"/>
  <c r="D36" i="435"/>
  <c r="D33" i="435"/>
  <c r="D35" i="435"/>
  <c r="D32" i="435"/>
  <c r="B8" i="48"/>
  <c r="C20" i="426"/>
  <c r="F32" i="381"/>
  <c r="F96" i="381"/>
  <c r="F70" i="381"/>
  <c r="F127" i="381"/>
  <c r="F44" i="381"/>
  <c r="F54" i="441"/>
  <c r="I74" i="452"/>
  <c r="I52" i="452"/>
  <c r="I61" i="491"/>
  <c r="F98" i="381"/>
  <c r="F34" i="381"/>
  <c r="E49" i="466"/>
  <c r="O16" i="466"/>
  <c r="E57" i="466"/>
  <c r="E60" i="6"/>
  <c r="F90" i="2"/>
  <c r="O94" i="3"/>
  <c r="G33" i="454"/>
  <c r="K67" i="442"/>
  <c r="I31" i="492"/>
  <c r="E31" i="492"/>
  <c r="M31" i="492"/>
  <c r="I21" i="492"/>
  <c r="M21" i="492"/>
  <c r="G55" i="4" s="1"/>
  <c r="R7" i="381"/>
  <c r="W45" i="4"/>
  <c r="O40" i="4"/>
  <c r="K46" i="4"/>
  <c r="AL144" i="381"/>
  <c r="AL133" i="381"/>
  <c r="I145" i="3"/>
  <c r="H133" i="426"/>
  <c r="H134" i="426" s="1"/>
  <c r="H148" i="426"/>
  <c r="I7" i="489" s="1"/>
  <c r="C22" i="435"/>
  <c r="M240" i="3"/>
  <c r="I183" i="3"/>
  <c r="Q126" i="3"/>
  <c r="J89" i="391"/>
  <c r="E24" i="442"/>
  <c r="AU156" i="424"/>
  <c r="B20" i="464"/>
  <c r="AI21" i="473" s="1"/>
  <c r="B18" i="464"/>
  <c r="AI19" i="473" s="1"/>
  <c r="K71" i="441"/>
  <c r="D86" i="391"/>
  <c r="F17" i="441"/>
  <c r="F31" i="441"/>
  <c r="F49" i="441"/>
  <c r="F27" i="441"/>
  <c r="G11" i="481"/>
  <c r="F11" i="441"/>
  <c r="K77" i="392"/>
  <c r="H75" i="392"/>
  <c r="K94" i="392" s="1"/>
  <c r="B124" i="424"/>
  <c r="BJ26" i="473"/>
  <c r="D120" i="424"/>
  <c r="D55" i="382"/>
  <c r="G5" i="481"/>
  <c r="D16" i="83"/>
  <c r="G40" i="464"/>
  <c r="N89" i="9"/>
  <c r="H71" i="464"/>
  <c r="G71" i="464"/>
  <c r="F60" i="2"/>
  <c r="O60" i="3"/>
  <c r="G82" i="376"/>
  <c r="T113" i="424"/>
  <c r="J47" i="6"/>
  <c r="F63" i="2"/>
  <c r="AU76" i="473"/>
  <c r="C72" i="391"/>
  <c r="AA129" i="424"/>
  <c r="F5" i="397"/>
  <c r="D129" i="424"/>
  <c r="J129" i="424"/>
  <c r="J87" i="2"/>
  <c r="T129" i="424"/>
  <c r="J53" i="6"/>
  <c r="C4" i="480"/>
  <c r="M96" i="3"/>
  <c r="Y129" i="424"/>
  <c r="G143" i="376"/>
  <c r="S129" i="424"/>
  <c r="F18" i="452"/>
  <c r="P129" i="424"/>
  <c r="B129" i="424"/>
  <c r="U129" i="424"/>
  <c r="I5" i="397"/>
  <c r="M94" i="375"/>
  <c r="J82" i="375"/>
  <c r="D109" i="2"/>
  <c r="C12" i="451"/>
  <c r="F94" i="375"/>
  <c r="F82" i="375"/>
  <c r="Y82" i="375"/>
  <c r="B28" i="375"/>
  <c r="B33" i="375"/>
  <c r="P91" i="375"/>
  <c r="P85" i="375"/>
  <c r="R129" i="424"/>
  <c r="F23" i="452"/>
  <c r="E31" i="452"/>
  <c r="D104" i="49"/>
  <c r="J49" i="466"/>
  <c r="K17" i="466"/>
  <c r="G104" i="464"/>
  <c r="G107" i="464" s="1"/>
  <c r="J104" i="464"/>
  <c r="J107" i="464" s="1"/>
  <c r="J116" i="464" s="1"/>
  <c r="F49" i="375"/>
  <c r="E111" i="3"/>
  <c r="M114" i="3"/>
  <c r="M74" i="3"/>
  <c r="Q74" i="3"/>
  <c r="C26" i="435"/>
  <c r="C32" i="426"/>
  <c r="C25" i="435"/>
  <c r="C21" i="426"/>
  <c r="F12" i="392"/>
  <c r="F15" i="392"/>
  <c r="H57" i="435"/>
  <c r="I41" i="32"/>
  <c r="C17" i="426"/>
  <c r="C22" i="426"/>
  <c r="C98" i="487"/>
  <c r="J80" i="454"/>
  <c r="K177" i="392"/>
  <c r="C95" i="487"/>
  <c r="J42" i="454"/>
  <c r="E186" i="442"/>
  <c r="H198" i="442"/>
  <c r="H63" i="462"/>
  <c r="I66" i="48"/>
  <c r="G88" i="376"/>
  <c r="F111" i="381"/>
  <c r="D98" i="48"/>
  <c r="F136" i="381"/>
  <c r="H10" i="83"/>
  <c r="C9" i="49"/>
  <c r="D63" i="468"/>
  <c r="C159" i="426"/>
  <c r="J6" i="448" s="1"/>
  <c r="N43" i="464"/>
  <c r="B43" i="464" s="1"/>
  <c r="AL10" i="473" s="1"/>
  <c r="N42" i="464"/>
  <c r="B42" i="464" s="1"/>
  <c r="AL9" i="473" s="1"/>
  <c r="M42" i="464"/>
  <c r="C13" i="390"/>
  <c r="G16" i="390"/>
  <c r="D48" i="468"/>
  <c r="G8" i="464"/>
  <c r="K81" i="457"/>
  <c r="I52" i="463"/>
  <c r="N87" i="9"/>
  <c r="H70" i="457"/>
  <c r="K110" i="463"/>
  <c r="D110" i="48"/>
  <c r="F129" i="381"/>
  <c r="G60" i="462"/>
  <c r="G63" i="462" s="1"/>
  <c r="F22" i="47"/>
  <c r="J171" i="392"/>
  <c r="C37" i="426"/>
  <c r="AH120" i="381"/>
  <c r="J68" i="6"/>
  <c r="I47" i="435" s="1"/>
  <c r="J67" i="6"/>
  <c r="M126" i="7"/>
  <c r="C67" i="435"/>
  <c r="H6" i="435"/>
  <c r="G126" i="7"/>
  <c r="M130" i="7"/>
  <c r="H14" i="435"/>
  <c r="C60" i="424"/>
  <c r="H16" i="473"/>
  <c r="B60" i="424"/>
  <c r="H15" i="473"/>
  <c r="I56" i="424"/>
  <c r="H14" i="473"/>
  <c r="C56" i="424"/>
  <c r="H8" i="473"/>
  <c r="B56" i="424"/>
  <c r="H7" i="473"/>
  <c r="H56" i="424"/>
  <c r="H13" i="473"/>
  <c r="D56" i="424"/>
  <c r="H9" i="473"/>
  <c r="B44" i="424"/>
  <c r="B45" i="473"/>
  <c r="B40" i="424"/>
  <c r="B40" i="473"/>
  <c r="B36" i="424"/>
  <c r="B34" i="473"/>
  <c r="B32" i="424"/>
  <c r="E16" i="473"/>
  <c r="C28" i="424"/>
  <c r="E10" i="473"/>
  <c r="F28" i="424"/>
  <c r="E13" i="473"/>
  <c r="D28" i="424"/>
  <c r="E11" i="473"/>
  <c r="E24" i="424"/>
  <c r="E7" i="473"/>
  <c r="B20" i="424"/>
  <c r="B27" i="473"/>
  <c r="J16" i="424"/>
  <c r="B26" i="473"/>
  <c r="D16" i="424"/>
  <c r="B20" i="473"/>
  <c r="B16" i="424"/>
  <c r="B18" i="473"/>
  <c r="E16" i="424"/>
  <c r="B21" i="473"/>
  <c r="F12" i="424"/>
  <c r="B15" i="473"/>
  <c r="M67" i="375"/>
  <c r="F147" i="375"/>
  <c r="E163" i="375"/>
  <c r="B144" i="375"/>
  <c r="AI33" i="473"/>
  <c r="K112" i="424"/>
  <c r="G41" i="376"/>
  <c r="G37" i="376"/>
  <c r="G66" i="481"/>
  <c r="D35" i="382"/>
  <c r="C49" i="487"/>
  <c r="D96" i="487"/>
  <c r="D90" i="487"/>
  <c r="H17" i="435"/>
  <c r="J28" i="476"/>
  <c r="H28" i="435"/>
  <c r="H10" i="435" s="1"/>
  <c r="D51" i="487"/>
  <c r="H75" i="435"/>
  <c r="C8" i="362"/>
  <c r="H24" i="435"/>
  <c r="D56" i="487"/>
  <c r="H27" i="435"/>
  <c r="B54" i="392"/>
  <c r="K79" i="392"/>
  <c r="H18" i="435"/>
  <c r="N125" i="468"/>
  <c r="L125" i="468"/>
  <c r="J125" i="468"/>
  <c r="M125" i="468"/>
  <c r="K125" i="468"/>
  <c r="N62" i="464"/>
  <c r="M62" i="464"/>
  <c r="N61" i="464"/>
  <c r="M61" i="464"/>
  <c r="AR62" i="473"/>
  <c r="K128" i="424"/>
  <c r="D77" i="424"/>
  <c r="C172" i="426"/>
  <c r="I32" i="435"/>
  <c r="AR36" i="473"/>
  <c r="E128" i="424"/>
  <c r="AR18" i="473"/>
  <c r="B128" i="424"/>
  <c r="AR35" i="473"/>
  <c r="C128" i="424"/>
  <c r="AR19" i="473"/>
  <c r="D128" i="424"/>
  <c r="I49" i="435"/>
  <c r="I44" i="435"/>
  <c r="I43" i="435"/>
  <c r="F9" i="489"/>
  <c r="N97" i="9"/>
  <c r="G40" i="454"/>
  <c r="I35" i="435"/>
  <c r="D136" i="489"/>
  <c r="N30" i="9"/>
  <c r="M131" i="7"/>
  <c r="I15" i="435" s="1"/>
  <c r="J120" i="489" s="1"/>
  <c r="I14" i="435"/>
  <c r="C42" i="435"/>
  <c r="H20" i="382"/>
  <c r="C99" i="9"/>
  <c r="I63" i="452"/>
  <c r="H50" i="451"/>
  <c r="D42" i="48"/>
  <c r="I54" i="48"/>
  <c r="I45" i="48"/>
  <c r="M12" i="3"/>
  <c r="F59" i="375"/>
  <c r="H154" i="442"/>
  <c r="I43" i="9"/>
  <c r="L5" i="9"/>
  <c r="C75" i="435"/>
  <c r="J42" i="7"/>
  <c r="K50" i="442"/>
  <c r="K52" i="442"/>
  <c r="K59" i="442"/>
  <c r="K61" i="442"/>
  <c r="K35" i="442"/>
  <c r="K37" i="442"/>
  <c r="C22" i="12"/>
  <c r="H155" i="442"/>
  <c r="K73" i="442"/>
  <c r="H115" i="442"/>
  <c r="H40" i="442"/>
  <c r="H112" i="442"/>
  <c r="E30" i="442"/>
  <c r="E43" i="442"/>
  <c r="K98" i="442"/>
  <c r="K9" i="442"/>
  <c r="K118" i="442"/>
  <c r="K70" i="442"/>
  <c r="E55" i="442"/>
  <c r="C180" i="442"/>
  <c r="K95" i="442"/>
  <c r="H43" i="442"/>
  <c r="H64" i="442"/>
  <c r="F140" i="375"/>
  <c r="F116" i="375"/>
  <c r="M113" i="375"/>
  <c r="B101" i="375"/>
  <c r="M62" i="375"/>
  <c r="F134" i="375"/>
  <c r="F104" i="375"/>
  <c r="F107" i="375"/>
  <c r="M150" i="375"/>
  <c r="F131" i="375"/>
  <c r="M44" i="375"/>
  <c r="M49" i="375"/>
  <c r="P73" i="375"/>
  <c r="M119" i="375"/>
  <c r="F125" i="375"/>
  <c r="F128" i="375"/>
  <c r="M157" i="375"/>
  <c r="M163" i="375"/>
  <c r="F122" i="375"/>
  <c r="M166" i="375"/>
  <c r="K83" i="392"/>
  <c r="B124" i="392"/>
  <c r="I113" i="9"/>
  <c r="C135" i="9"/>
  <c r="D95" i="487"/>
  <c r="C86" i="487"/>
  <c r="C48" i="487"/>
  <c r="C6" i="362"/>
  <c r="H47" i="32"/>
  <c r="K208" i="442"/>
  <c r="J32" i="6"/>
  <c r="N57" i="48"/>
  <c r="J119" i="2"/>
  <c r="N31" i="48"/>
  <c r="B2" i="48"/>
  <c r="E28" i="442"/>
  <c r="E258" i="3"/>
  <c r="B27" i="376"/>
  <c r="C35" i="362"/>
  <c r="K180" i="376"/>
  <c r="G50" i="376"/>
  <c r="G44" i="376"/>
  <c r="G42" i="376"/>
  <c r="G38" i="376"/>
  <c r="M44" i="376"/>
  <c r="M42" i="376"/>
  <c r="M38" i="376"/>
  <c r="G17" i="376"/>
  <c r="B184" i="376"/>
  <c r="G27" i="454"/>
  <c r="M70" i="375"/>
  <c r="C73" i="391"/>
  <c r="B145" i="375"/>
  <c r="B78" i="375"/>
  <c r="B154" i="375"/>
  <c r="B99" i="375"/>
  <c r="B98" i="375"/>
  <c r="F110" i="375"/>
  <c r="B176" i="375"/>
  <c r="B24" i="375"/>
  <c r="L92" i="9"/>
  <c r="L67" i="9"/>
  <c r="L39" i="9"/>
  <c r="L36" i="9"/>
  <c r="L131" i="9"/>
  <c r="L61" i="9"/>
  <c r="I80" i="9"/>
  <c r="I82" i="9"/>
  <c r="L68" i="9"/>
  <c r="L70" i="9"/>
  <c r="M208" i="3"/>
  <c r="I58" i="9"/>
  <c r="I49" i="9"/>
  <c r="L64" i="9"/>
  <c r="I86" i="9"/>
  <c r="L251" i="3"/>
  <c r="I125" i="9"/>
  <c r="H199" i="3"/>
  <c r="C8" i="426"/>
  <c r="I111" i="9"/>
  <c r="I121" i="9"/>
  <c r="C29" i="435"/>
  <c r="L244" i="3"/>
  <c r="B193" i="3"/>
  <c r="M261" i="3"/>
  <c r="M264" i="3"/>
  <c r="B286" i="3"/>
  <c r="B283" i="3"/>
  <c r="B282" i="3"/>
  <c r="Q90" i="3"/>
  <c r="M115" i="3"/>
  <c r="E130" i="3"/>
  <c r="C8" i="435"/>
  <c r="H45" i="451"/>
  <c r="J138" i="392"/>
  <c r="F33" i="392"/>
  <c r="F30" i="392"/>
  <c r="F24" i="392"/>
  <c r="F13" i="392"/>
  <c r="K114" i="392"/>
  <c r="F29" i="392"/>
  <c r="F28" i="392"/>
  <c r="F25" i="392"/>
  <c r="F26" i="392"/>
  <c r="F34" i="392"/>
  <c r="F31" i="392"/>
  <c r="K126" i="392"/>
  <c r="J146" i="392"/>
  <c r="H68" i="392"/>
  <c r="E17" i="2"/>
  <c r="D18" i="2" s="1"/>
  <c r="E18" i="2"/>
  <c r="J10" i="2"/>
  <c r="C68" i="391"/>
  <c r="N59" i="48"/>
  <c r="AL80" i="381"/>
  <c r="AL141" i="381"/>
  <c r="AH130" i="381"/>
  <c r="C31" i="435"/>
  <c r="C63" i="435" s="1"/>
  <c r="AL120" i="381"/>
  <c r="AL136" i="381"/>
  <c r="AL99" i="381"/>
  <c r="AH146" i="381"/>
  <c r="AL130" i="381"/>
  <c r="AL146" i="381"/>
  <c r="AL112" i="381"/>
  <c r="L125" i="424"/>
  <c r="F80" i="2"/>
  <c r="M125" i="424"/>
  <c r="N125" i="424"/>
  <c r="B9" i="424"/>
  <c r="B37" i="424"/>
  <c r="O52" i="463"/>
  <c r="Q52" i="463"/>
  <c r="P111" i="463"/>
  <c r="R111" i="463"/>
  <c r="P52" i="463"/>
  <c r="R52" i="463"/>
  <c r="O111" i="463"/>
  <c r="Q111" i="463"/>
  <c r="C9" i="489"/>
  <c r="B38" i="391"/>
  <c r="K19" i="83"/>
  <c r="L7" i="450"/>
  <c r="D39" i="463"/>
  <c r="D67" i="468"/>
  <c r="D75" i="464"/>
  <c r="D68" i="468"/>
  <c r="D37" i="450"/>
  <c r="L3" i="450"/>
  <c r="D43" i="468"/>
  <c r="D31" i="468"/>
  <c r="D23" i="468"/>
  <c r="D39" i="468"/>
  <c r="D13" i="468"/>
  <c r="D11" i="468"/>
  <c r="Q4" i="450"/>
  <c r="F81" i="457"/>
  <c r="H16" i="80"/>
  <c r="P51" i="463"/>
  <c r="R51" i="463"/>
  <c r="O110" i="463"/>
  <c r="Q110" i="463"/>
  <c r="O51" i="463"/>
  <c r="Q51" i="463"/>
  <c r="P110" i="463"/>
  <c r="R110" i="463"/>
  <c r="D110" i="2"/>
  <c r="J108" i="2"/>
  <c r="J57" i="391"/>
  <c r="H80" i="392"/>
  <c r="K102" i="392"/>
  <c r="K120" i="392"/>
  <c r="J133" i="392"/>
  <c r="H51" i="392"/>
  <c r="J130" i="392"/>
  <c r="F85" i="375"/>
  <c r="F95" i="375" s="1"/>
  <c r="D84" i="391" s="1"/>
  <c r="BD33" i="473"/>
  <c r="M140" i="424"/>
  <c r="BD25" i="473"/>
  <c r="J140" i="424"/>
  <c r="BD41" i="473"/>
  <c r="P140" i="424"/>
  <c r="L194" i="489"/>
  <c r="J194" i="489"/>
  <c r="J193" i="489"/>
  <c r="L193" i="489"/>
  <c r="I185" i="489"/>
  <c r="L188" i="49"/>
  <c r="L186" i="489"/>
  <c r="I186" i="489"/>
  <c r="L183" i="489"/>
  <c r="I183" i="489"/>
  <c r="H42" i="451"/>
  <c r="E13" i="12" s="1"/>
  <c r="BD13" i="473"/>
  <c r="BD29" i="473"/>
  <c r="K140" i="424"/>
  <c r="BD21" i="473"/>
  <c r="H140" i="424"/>
  <c r="BD12" i="473"/>
  <c r="BD10" i="473"/>
  <c r="C140" i="424"/>
  <c r="BD38" i="473"/>
  <c r="BD30" i="473"/>
  <c r="BD22" i="473"/>
  <c r="BD20" i="473"/>
  <c r="G140" i="424"/>
  <c r="AL132" i="381"/>
  <c r="S16" i="466"/>
  <c r="I65" i="466"/>
  <c r="N39" i="463"/>
  <c r="P39" i="463"/>
  <c r="R39" i="463"/>
  <c r="Q40" i="463"/>
  <c r="O39" i="463"/>
  <c r="Q39" i="463"/>
  <c r="N40" i="463"/>
  <c r="P40" i="463"/>
  <c r="R40" i="463"/>
  <c r="O40" i="463"/>
  <c r="I213" i="463"/>
  <c r="N105" i="424"/>
  <c r="O101" i="3"/>
  <c r="O105" i="424"/>
  <c r="Q105" i="424"/>
  <c r="J170" i="392"/>
  <c r="M105" i="424"/>
  <c r="AR65" i="473"/>
  <c r="G71" i="376"/>
  <c r="G58" i="454"/>
  <c r="C80" i="391"/>
  <c r="P120" i="391"/>
  <c r="J76" i="391"/>
  <c r="J86" i="391"/>
  <c r="W133" i="424"/>
  <c r="V133" i="424"/>
  <c r="F52" i="452"/>
  <c r="I28" i="48"/>
  <c r="U133" i="424"/>
  <c r="F133" i="424"/>
  <c r="B35" i="7"/>
  <c r="G28" i="464"/>
  <c r="E213" i="463"/>
  <c r="I62" i="464"/>
  <c r="J62" i="464"/>
  <c r="M145" i="463"/>
  <c r="H28" i="464"/>
  <c r="E28" i="464"/>
  <c r="H40" i="463"/>
  <c r="G213" i="463"/>
  <c r="H213" i="463"/>
  <c r="K213" i="463"/>
  <c r="I7" i="376"/>
  <c r="F62" i="464"/>
  <c r="L145" i="463"/>
  <c r="E145" i="463"/>
  <c r="I40" i="463"/>
  <c r="L40" i="463"/>
  <c r="M40" i="463"/>
  <c r="I8" i="376"/>
  <c r="C136" i="424"/>
  <c r="F40" i="463"/>
  <c r="J40" i="463"/>
  <c r="G40" i="463"/>
  <c r="K40" i="463"/>
  <c r="E40" i="463"/>
  <c r="I145" i="463"/>
  <c r="H145" i="463"/>
  <c r="G145" i="463"/>
  <c r="K145" i="463"/>
  <c r="F145" i="463"/>
  <c r="J145" i="463"/>
  <c r="G62" i="464"/>
  <c r="K62" i="464"/>
  <c r="H62" i="464"/>
  <c r="L62" i="464"/>
  <c r="E62" i="464"/>
  <c r="J145" i="392"/>
  <c r="K111" i="392"/>
  <c r="B121" i="392"/>
  <c r="J136" i="392"/>
  <c r="G7" i="454"/>
  <c r="L253" i="3"/>
  <c r="Q73" i="3"/>
  <c r="M124" i="3"/>
  <c r="M234" i="3"/>
  <c r="I170" i="3"/>
  <c r="H226" i="3"/>
  <c r="Q15" i="3"/>
  <c r="Q17" i="3"/>
  <c r="L152" i="489"/>
  <c r="L153" i="489"/>
  <c r="L154" i="489"/>
  <c r="I164" i="489"/>
  <c r="L164" i="489"/>
  <c r="L136" i="489"/>
  <c r="J136" i="489"/>
  <c r="L160" i="489"/>
  <c r="I160" i="489"/>
  <c r="I157" i="489"/>
  <c r="L157" i="489"/>
  <c r="I162" i="489"/>
  <c r="L162" i="489"/>
  <c r="L38" i="489"/>
  <c r="G38" i="489"/>
  <c r="L34" i="49"/>
  <c r="L33" i="489"/>
  <c r="G33" i="489"/>
  <c r="I163" i="489"/>
  <c r="L163" i="489"/>
  <c r="L158" i="489"/>
  <c r="I158" i="489"/>
  <c r="J99" i="49"/>
  <c r="L98" i="489"/>
  <c r="J98" i="489"/>
  <c r="L96" i="489"/>
  <c r="J96" i="489"/>
  <c r="L94" i="489"/>
  <c r="J94" i="489"/>
  <c r="C52" i="391"/>
  <c r="B220" i="3"/>
  <c r="L97" i="489"/>
  <c r="J97" i="489"/>
  <c r="L95" i="489"/>
  <c r="J95" i="489"/>
  <c r="L93" i="489"/>
  <c r="J93" i="489"/>
  <c r="D13" i="485"/>
  <c r="L37" i="489"/>
  <c r="G37" i="489"/>
  <c r="B36" i="7"/>
  <c r="D71" i="468"/>
  <c r="F9" i="424"/>
  <c r="E9" i="424"/>
  <c r="C9" i="424"/>
  <c r="I48" i="48"/>
  <c r="H41" i="451"/>
  <c r="C2" i="478"/>
  <c r="D11" i="74"/>
  <c r="D40" i="132"/>
  <c r="B87" i="474"/>
  <c r="L10" i="80"/>
  <c r="D138" i="49"/>
  <c r="D27" i="464"/>
  <c r="D121" i="463"/>
  <c r="D78" i="468"/>
  <c r="I8" i="464"/>
  <c r="N86" i="9"/>
  <c r="F110" i="463"/>
  <c r="J8" i="464"/>
  <c r="G50" i="463"/>
  <c r="G89" i="468"/>
  <c r="I51" i="463"/>
  <c r="AL149" i="381"/>
  <c r="D41" i="382"/>
  <c r="I53" i="452"/>
  <c r="D11" i="12" s="1"/>
  <c r="D109" i="48"/>
  <c r="H68" i="451"/>
  <c r="H56" i="451"/>
  <c r="C18" i="435"/>
  <c r="H15" i="451"/>
  <c r="C11" i="435"/>
  <c r="G94" i="376"/>
  <c r="H31" i="451"/>
  <c r="H88" i="451"/>
  <c r="C16" i="435"/>
  <c r="C12" i="435"/>
  <c r="H78" i="451"/>
  <c r="I70" i="48"/>
  <c r="E145" i="3"/>
  <c r="H39" i="473"/>
  <c r="I148" i="3"/>
  <c r="C27" i="435"/>
  <c r="I161" i="3"/>
  <c r="F46" i="375"/>
  <c r="L27" i="9"/>
  <c r="H229" i="3"/>
  <c r="H225" i="3"/>
  <c r="B221" i="3"/>
  <c r="BA10" i="473"/>
  <c r="AR66" i="473"/>
  <c r="J28" i="464"/>
  <c r="I28" i="464"/>
  <c r="F28" i="464"/>
  <c r="BJ20" i="473"/>
  <c r="AR20" i="473"/>
  <c r="F213" i="463"/>
  <c r="J213" i="463"/>
  <c r="K136" i="424"/>
  <c r="BA8" i="473"/>
  <c r="M136" i="424"/>
  <c r="I128" i="424"/>
  <c r="AR64" i="473"/>
  <c r="J148" i="424"/>
  <c r="E136" i="424"/>
  <c r="B24" i="424"/>
  <c r="J212" i="463"/>
  <c r="H212" i="463"/>
  <c r="F212" i="463"/>
  <c r="K212" i="463"/>
  <c r="I212" i="463"/>
  <c r="G212" i="463"/>
  <c r="E212" i="463"/>
  <c r="Q136" i="424"/>
  <c r="BA26" i="473"/>
  <c r="BJ12" i="473"/>
  <c r="BA22" i="473"/>
  <c r="BA18" i="473"/>
  <c r="BA21" i="473"/>
  <c r="BA11" i="473"/>
  <c r="G88" i="424"/>
  <c r="BA23" i="473"/>
  <c r="BA4" i="473"/>
  <c r="BA13" i="473"/>
  <c r="L136" i="424"/>
  <c r="BA17" i="473"/>
  <c r="P136" i="424"/>
  <c r="W136" i="424"/>
  <c r="H24" i="12"/>
  <c r="F22" i="12"/>
  <c r="BJ16" i="473"/>
  <c r="M86" i="375"/>
  <c r="D136" i="424"/>
  <c r="BA12" i="473"/>
  <c r="B64" i="424"/>
  <c r="D6" i="435"/>
  <c r="K61" i="464"/>
  <c r="I61" i="464"/>
  <c r="G61" i="464"/>
  <c r="E61" i="464"/>
  <c r="L61" i="464"/>
  <c r="J61" i="464"/>
  <c r="H61" i="464"/>
  <c r="F61" i="464"/>
  <c r="AR63" i="473"/>
  <c r="BD7" i="473"/>
  <c r="BJ14" i="473"/>
  <c r="BJ18" i="473"/>
  <c r="BA25" i="473"/>
  <c r="AR45" i="473"/>
  <c r="G128" i="424"/>
  <c r="M144" i="463"/>
  <c r="K144" i="463"/>
  <c r="I144" i="463"/>
  <c r="G144" i="463"/>
  <c r="E144" i="463"/>
  <c r="L144" i="463"/>
  <c r="J144" i="463"/>
  <c r="H144" i="463"/>
  <c r="F144" i="463"/>
  <c r="C16" i="424"/>
  <c r="G76" i="424"/>
  <c r="H41" i="382"/>
  <c r="K160" i="376"/>
  <c r="K163" i="376"/>
  <c r="H74" i="382"/>
  <c r="K120" i="376"/>
  <c r="G107" i="376"/>
  <c r="D76" i="424"/>
  <c r="J113" i="376"/>
  <c r="G23" i="376"/>
  <c r="C31" i="362"/>
  <c r="G40" i="362" s="1"/>
  <c r="G106" i="376"/>
  <c r="K78" i="376"/>
  <c r="K77" i="376"/>
  <c r="J114" i="376"/>
  <c r="B30" i="376"/>
  <c r="K156" i="376"/>
  <c r="E189" i="442"/>
  <c r="H201" i="442"/>
  <c r="H26" i="382"/>
  <c r="H28" i="382"/>
  <c r="C41" i="435"/>
  <c r="H73" i="382"/>
  <c r="H10" i="382"/>
  <c r="C44" i="435"/>
  <c r="C182" i="442"/>
  <c r="E192" i="442"/>
  <c r="E190" i="442"/>
  <c r="E187" i="442"/>
  <c r="D86" i="382"/>
  <c r="S46" i="48"/>
  <c r="I55" i="48"/>
  <c r="S55" i="48" s="1"/>
  <c r="I46" i="48"/>
  <c r="I29" i="48"/>
  <c r="A30" i="460"/>
  <c r="A29" i="460"/>
  <c r="Q46" i="48"/>
  <c r="G46" i="48"/>
  <c r="H18" i="382"/>
  <c r="D36" i="424"/>
  <c r="H55" i="442"/>
  <c r="K206" i="442"/>
  <c r="M4" i="7"/>
  <c r="C61" i="435"/>
  <c r="C58" i="435"/>
  <c r="C40" i="435"/>
  <c r="C50" i="435"/>
  <c r="D79" i="382"/>
  <c r="C43" i="435"/>
  <c r="C52" i="435"/>
  <c r="C64" i="435"/>
  <c r="C55" i="435"/>
  <c r="C45" i="435"/>
  <c r="H66" i="382"/>
  <c r="I57" i="48"/>
  <c r="D106" i="48"/>
  <c r="I11" i="452"/>
  <c r="D8" i="12" s="1"/>
  <c r="M87" i="375"/>
  <c r="E72" i="424"/>
  <c r="D72" i="424"/>
  <c r="G91" i="376"/>
  <c r="C10" i="435"/>
  <c r="F24" i="452"/>
  <c r="I39" i="452"/>
  <c r="F26" i="452"/>
  <c r="D16" i="435"/>
  <c r="D24" i="424"/>
  <c r="B28" i="424"/>
  <c r="E28" i="424"/>
  <c r="J14" i="2"/>
  <c r="D3" i="435" s="1"/>
  <c r="D22" i="382"/>
  <c r="I36" i="47"/>
  <c r="I27" i="464"/>
  <c r="G27" i="464"/>
  <c r="E27" i="464"/>
  <c r="J27" i="464"/>
  <c r="H27" i="464"/>
  <c r="F27" i="464"/>
  <c r="F156" i="424"/>
  <c r="D15" i="435"/>
  <c r="M88" i="375"/>
  <c r="D107" i="2"/>
  <c r="C11" i="451"/>
  <c r="D9" i="424"/>
  <c r="G16" i="424"/>
  <c r="H2" i="435"/>
  <c r="L149" i="9"/>
  <c r="L73" i="441"/>
  <c r="B38" i="7"/>
  <c r="M103" i="7"/>
  <c r="D21" i="485"/>
  <c r="O88" i="424"/>
  <c r="D57" i="487"/>
  <c r="L133" i="9"/>
  <c r="J55" i="7"/>
  <c r="C7" i="426"/>
  <c r="J45" i="7"/>
  <c r="C74" i="435"/>
  <c r="L94" i="9"/>
  <c r="I156" i="3"/>
  <c r="H5" i="435"/>
  <c r="M133" i="7"/>
  <c r="H4" i="435"/>
  <c r="M29" i="7"/>
  <c r="G48" i="481"/>
  <c r="G31" i="481"/>
  <c r="A27" i="460"/>
  <c r="A28" i="460"/>
  <c r="D44" i="382"/>
  <c r="D58" i="382"/>
  <c r="G45" i="481"/>
  <c r="F7" i="441"/>
  <c r="G7" i="376"/>
  <c r="F5" i="2"/>
  <c r="J11" i="2" s="1"/>
  <c r="O16" i="397"/>
  <c r="E12" i="424"/>
  <c r="L39" i="463"/>
  <c r="J39" i="463"/>
  <c r="H39" i="463"/>
  <c r="F39" i="463"/>
  <c r="M39" i="463"/>
  <c r="K39" i="463"/>
  <c r="I39" i="463"/>
  <c r="G39" i="463"/>
  <c r="E39" i="463"/>
  <c r="G34" i="49"/>
  <c r="C24" i="424"/>
  <c r="E20" i="424"/>
  <c r="H16" i="424"/>
  <c r="F148" i="424"/>
  <c r="B148" i="424"/>
  <c r="D148" i="424"/>
  <c r="H148" i="424"/>
  <c r="G8" i="376"/>
  <c r="C68" i="424"/>
  <c r="F56" i="424"/>
  <c r="I16" i="424"/>
  <c r="I76" i="424"/>
  <c r="L76" i="424"/>
  <c r="J76" i="424"/>
  <c r="BH156" i="424"/>
  <c r="B52" i="424"/>
  <c r="B84" i="424"/>
  <c r="Q20" i="473"/>
  <c r="H25" i="473"/>
  <c r="L111" i="463"/>
  <c r="C160" i="426"/>
  <c r="C158" i="426"/>
  <c r="J5" i="448" s="1"/>
  <c r="F144" i="424"/>
  <c r="E88" i="424"/>
  <c r="M92" i="424"/>
  <c r="K25" i="473"/>
  <c r="D1" i="362"/>
  <c r="D5" i="445"/>
  <c r="H36" i="92"/>
  <c r="I16" i="477"/>
  <c r="H9" i="386"/>
  <c r="H17" i="74"/>
  <c r="D16" i="477"/>
  <c r="B3" i="474"/>
  <c r="D6" i="386"/>
  <c r="B25" i="454" s="1"/>
  <c r="E54" i="462"/>
  <c r="D86" i="457"/>
  <c r="D82" i="468"/>
  <c r="D86" i="468"/>
  <c r="D72" i="468"/>
  <c r="D99" i="468"/>
  <c r="I144" i="424"/>
  <c r="D144" i="424"/>
  <c r="G43" i="464"/>
  <c r="L51" i="463"/>
  <c r="N90" i="9"/>
  <c r="E42" i="464"/>
  <c r="M51" i="463"/>
  <c r="F8" i="464"/>
  <c r="I42" i="464"/>
  <c r="J51" i="463"/>
  <c r="G52" i="463"/>
  <c r="F9" i="464"/>
  <c r="H51" i="463"/>
  <c r="H49" i="463"/>
  <c r="L89" i="468"/>
  <c r="H23" i="473"/>
  <c r="M52" i="463"/>
  <c r="G56" i="424"/>
  <c r="Z156" i="424"/>
  <c r="E92" i="424"/>
  <c r="H43" i="464"/>
  <c r="D88" i="424"/>
  <c r="G38" i="49"/>
  <c r="L38" i="49"/>
  <c r="K36" i="473"/>
  <c r="E68" i="424"/>
  <c r="J88" i="424"/>
  <c r="C20" i="424"/>
  <c r="E76" i="424"/>
  <c r="H38" i="473"/>
  <c r="H47" i="473"/>
  <c r="R156" i="424"/>
  <c r="AN156" i="424"/>
  <c r="G11" i="12"/>
  <c r="G17" i="12" s="1"/>
  <c r="E56" i="424"/>
  <c r="N48" i="473"/>
  <c r="L99" i="49"/>
  <c r="I64" i="452"/>
  <c r="D12" i="12" s="1"/>
  <c r="D156" i="424"/>
  <c r="L156" i="424"/>
  <c r="T156" i="424"/>
  <c r="AF156" i="424"/>
  <c r="AV156" i="424"/>
  <c r="BO156" i="424"/>
  <c r="AO156" i="424"/>
  <c r="F76" i="424"/>
  <c r="H76" i="424"/>
  <c r="J148" i="392"/>
  <c r="N40" i="473"/>
  <c r="F50" i="375"/>
  <c r="Q9" i="473"/>
  <c r="AI16" i="473"/>
  <c r="M84" i="424"/>
  <c r="M88" i="424"/>
  <c r="K31" i="473"/>
  <c r="N18" i="473"/>
  <c r="D44" i="424"/>
  <c r="J18" i="6"/>
  <c r="I39" i="435" s="1"/>
  <c r="U116" i="424"/>
  <c r="W116" i="424"/>
  <c r="C52" i="424"/>
  <c r="M13" i="3"/>
  <c r="C53" i="391"/>
  <c r="F64" i="462"/>
  <c r="H64" i="462"/>
  <c r="G64" i="462"/>
  <c r="C44" i="424"/>
  <c r="P116" i="391"/>
  <c r="E116" i="424"/>
  <c r="AI20" i="473"/>
  <c r="J116" i="424"/>
  <c r="J58" i="2"/>
  <c r="D12" i="424"/>
  <c r="BD15" i="473"/>
  <c r="C132" i="424"/>
  <c r="B27" i="394"/>
  <c r="B14" i="394"/>
  <c r="Q7" i="103"/>
  <c r="J127" i="2"/>
  <c r="B16" i="12" s="1"/>
  <c r="Q16" i="397"/>
  <c r="Q17" i="396"/>
  <c r="M90" i="375" s="1"/>
  <c r="Z20" i="473"/>
  <c r="J81" i="2"/>
  <c r="J41" i="2"/>
  <c r="F60" i="375"/>
  <c r="K154" i="376"/>
  <c r="V132" i="424"/>
  <c r="Q41" i="473"/>
  <c r="H31" i="473"/>
  <c r="H32" i="473"/>
  <c r="V116" i="424"/>
  <c r="H104" i="464"/>
  <c r="H107" i="464" s="1"/>
  <c r="H116" i="464" s="1"/>
  <c r="F104" i="464"/>
  <c r="F107" i="464" s="1"/>
  <c r="F116" i="464" s="1"/>
  <c r="E116" i="464"/>
  <c r="K104" i="464"/>
  <c r="K107" i="464" s="1"/>
  <c r="K116" i="464" s="1"/>
  <c r="G116" i="464"/>
  <c r="I116" i="464"/>
  <c r="L109" i="463"/>
  <c r="M108" i="424"/>
  <c r="I35" i="463"/>
  <c r="R108" i="424"/>
  <c r="M109" i="463"/>
  <c r="J140" i="463"/>
  <c r="J143" i="463" s="1"/>
  <c r="H140" i="463"/>
  <c r="H143" i="463" s="1"/>
  <c r="E140" i="463"/>
  <c r="E143" i="463" s="1"/>
  <c r="E108" i="463"/>
  <c r="E117" i="463" s="1"/>
  <c r="E120" i="463" s="1"/>
  <c r="E211" i="463"/>
  <c r="K108" i="424"/>
  <c r="G108" i="463"/>
  <c r="L35" i="463"/>
  <c r="G25" i="463"/>
  <c r="F108" i="463"/>
  <c r="F117" i="463" s="1"/>
  <c r="F120" i="463" s="1"/>
  <c r="F31" i="463"/>
  <c r="F34" i="463" s="1"/>
  <c r="J198" i="463"/>
  <c r="H109" i="463"/>
  <c r="M140" i="463"/>
  <c r="M143" i="463" s="1"/>
  <c r="L140" i="463"/>
  <c r="L143" i="463" s="1"/>
  <c r="K140" i="463"/>
  <c r="K143" i="463" s="1"/>
  <c r="K108" i="463"/>
  <c r="E176" i="463"/>
  <c r="E190" i="463" s="1"/>
  <c r="H176" i="463"/>
  <c r="F176" i="463"/>
  <c r="F190" i="463" s="1"/>
  <c r="J31" i="463"/>
  <c r="J34" i="463" s="1"/>
  <c r="E108" i="424"/>
  <c r="K176" i="463"/>
  <c r="K190" i="463" s="1"/>
  <c r="G176" i="463"/>
  <c r="I176" i="463"/>
  <c r="J52" i="462"/>
  <c r="J56" i="462" s="1"/>
  <c r="J60" i="462" s="1"/>
  <c r="J63" i="462" s="1"/>
  <c r="F56" i="462"/>
  <c r="F60" i="462" s="1"/>
  <c r="F63" i="462" s="1"/>
  <c r="K52" i="462"/>
  <c r="K56" i="462" s="1"/>
  <c r="K60" i="462" s="1"/>
  <c r="K59" i="462"/>
  <c r="J21" i="454"/>
  <c r="E45" i="32"/>
  <c r="H9" i="435"/>
  <c r="G39" i="454"/>
  <c r="G117" i="7"/>
  <c r="J135" i="392"/>
  <c r="B19" i="487"/>
  <c r="G15" i="454"/>
  <c r="J61" i="454"/>
  <c r="J88" i="6"/>
  <c r="D87" i="487"/>
  <c r="I18" i="32"/>
  <c r="J54" i="454"/>
  <c r="C4" i="362"/>
  <c r="D59" i="487"/>
  <c r="D15" i="485"/>
  <c r="D60" i="487"/>
  <c r="J51" i="454"/>
  <c r="C96" i="487"/>
  <c r="K182" i="376"/>
  <c r="C43" i="487"/>
  <c r="C45" i="487"/>
  <c r="C44" i="487"/>
  <c r="C41" i="362"/>
  <c r="B3" i="48"/>
  <c r="K153" i="376"/>
  <c r="K152" i="376"/>
  <c r="D97" i="487"/>
  <c r="D98" i="487"/>
  <c r="D11" i="485"/>
  <c r="C33" i="362"/>
  <c r="D9" i="485"/>
  <c r="F8" i="463"/>
  <c r="C16" i="32"/>
  <c r="L43" i="464"/>
  <c r="K22" i="473"/>
  <c r="F88" i="424"/>
  <c r="N88" i="424"/>
  <c r="E112" i="424"/>
  <c r="B116" i="424"/>
  <c r="L84" i="424"/>
  <c r="H92" i="424"/>
  <c r="I116" i="424"/>
  <c r="B108" i="424"/>
  <c r="D104" i="424"/>
  <c r="D116" i="424"/>
  <c r="AU19" i="473"/>
  <c r="Q144" i="424"/>
  <c r="O144" i="424"/>
  <c r="K144" i="424"/>
  <c r="G144" i="424"/>
  <c r="E144" i="424"/>
  <c r="H9" i="464"/>
  <c r="E9" i="463"/>
  <c r="E43" i="464"/>
  <c r="J43" i="464"/>
  <c r="E111" i="463"/>
  <c r="G9" i="463"/>
  <c r="I123" i="9"/>
  <c r="N96" i="9"/>
  <c r="K43" i="464"/>
  <c r="C7" i="362"/>
  <c r="J52" i="463"/>
  <c r="F9" i="49"/>
  <c r="E52" i="463"/>
  <c r="I23" i="32"/>
  <c r="C47" i="487"/>
  <c r="K23" i="473"/>
  <c r="D84" i="424"/>
  <c r="N24" i="473"/>
  <c r="Q88" i="424"/>
  <c r="N16" i="473"/>
  <c r="I88" i="424"/>
  <c r="N46" i="473"/>
  <c r="O92" i="424"/>
  <c r="N42" i="473"/>
  <c r="K92" i="424"/>
  <c r="N38" i="473"/>
  <c r="G92" i="424"/>
  <c r="N30" i="473"/>
  <c r="D92" i="424"/>
  <c r="Q22" i="473"/>
  <c r="E96" i="424"/>
  <c r="AI34" i="473"/>
  <c r="AI30" i="473"/>
  <c r="I112" i="424"/>
  <c r="S116" i="424"/>
  <c r="AO24" i="473"/>
  <c r="F116" i="424"/>
  <c r="AL25" i="473"/>
  <c r="K151" i="392"/>
  <c r="C46" i="487"/>
  <c r="E84" i="424"/>
  <c r="N4" i="473"/>
  <c r="B88" i="424"/>
  <c r="N23" i="473"/>
  <c r="P88" i="424"/>
  <c r="N19" i="473"/>
  <c r="L88" i="424"/>
  <c r="N15" i="473"/>
  <c r="H88" i="424"/>
  <c r="B92" i="424"/>
  <c r="N28" i="473"/>
  <c r="N47" i="473"/>
  <c r="P92" i="424"/>
  <c r="Q42" i="473"/>
  <c r="F96" i="424"/>
  <c r="O108" i="424"/>
  <c r="AF9" i="473"/>
  <c r="AC17" i="473"/>
  <c r="H108" i="424"/>
  <c r="AI25" i="473"/>
  <c r="F112" i="424"/>
  <c r="AO27" i="473"/>
  <c r="T116" i="424"/>
  <c r="AX57" i="473"/>
  <c r="X132" i="424"/>
  <c r="AX29" i="473"/>
  <c r="R132" i="424"/>
  <c r="AU67" i="473"/>
  <c r="I132" i="424"/>
  <c r="L144" i="424"/>
  <c r="B144" i="424"/>
  <c r="P144" i="424"/>
  <c r="N144" i="424"/>
  <c r="J144" i="424"/>
  <c r="C144" i="424"/>
  <c r="E1" i="426"/>
  <c r="D93" i="468"/>
  <c r="D73" i="468"/>
  <c r="D59" i="468"/>
  <c r="D94" i="468"/>
  <c r="D77" i="468"/>
  <c r="D69" i="468"/>
  <c r="D60" i="468"/>
  <c r="D90" i="468"/>
  <c r="D91" i="468"/>
  <c r="D122" i="463"/>
  <c r="D212" i="463"/>
  <c r="D61" i="464"/>
  <c r="D144" i="463"/>
  <c r="H89" i="468"/>
  <c r="J110" i="463"/>
  <c r="F42" i="464"/>
  <c r="G51" i="463"/>
  <c r="E8" i="464"/>
  <c r="H110" i="463"/>
  <c r="F52" i="463"/>
  <c r="G111" i="463"/>
  <c r="E51" i="463"/>
  <c r="G7" i="463"/>
  <c r="G42" i="464"/>
  <c r="K51" i="463"/>
  <c r="N91" i="9"/>
  <c r="F6" i="464"/>
  <c r="D16" i="479"/>
  <c r="I110" i="463"/>
  <c r="F111" i="463"/>
  <c r="K42" i="464"/>
  <c r="I89" i="468"/>
  <c r="F51" i="463"/>
  <c r="E39" i="464"/>
  <c r="N88" i="9"/>
  <c r="N92" i="9"/>
  <c r="L110" i="463"/>
  <c r="E110" i="463"/>
  <c r="H8" i="464"/>
  <c r="H42" i="464"/>
  <c r="G9" i="464"/>
  <c r="L42" i="464"/>
  <c r="J173" i="392"/>
  <c r="C92" i="424"/>
  <c r="L92" i="424"/>
  <c r="N84" i="424"/>
  <c r="J92" i="424"/>
  <c r="G84" i="424"/>
  <c r="N92" i="424"/>
  <c r="F92" i="424"/>
  <c r="C100" i="424"/>
  <c r="M144" i="424"/>
  <c r="J18" i="454"/>
  <c r="D100" i="424"/>
  <c r="T37" i="473"/>
  <c r="T33" i="473"/>
  <c r="B100" i="424"/>
  <c r="AF5" i="473"/>
  <c r="N108" i="424"/>
  <c r="J108" i="424"/>
  <c r="AC19" i="473"/>
  <c r="O116" i="424"/>
  <c r="E164" i="426"/>
  <c r="J89" i="468"/>
  <c r="D81" i="457"/>
  <c r="I9" i="462"/>
  <c r="N85" i="9"/>
  <c r="D70" i="457" s="1"/>
  <c r="N89" i="468"/>
  <c r="M89" i="468"/>
  <c r="M110" i="463"/>
  <c r="G110" i="463"/>
  <c r="L41" i="394"/>
  <c r="L36" i="394"/>
  <c r="P14" i="394"/>
  <c r="BD6" i="473"/>
  <c r="BD11" i="473"/>
  <c r="L14" i="394"/>
  <c r="F14" i="394"/>
  <c r="D14" i="394"/>
  <c r="J135" i="2" s="1"/>
  <c r="L40" i="394"/>
  <c r="J42" i="394"/>
  <c r="N14" i="394"/>
  <c r="J14" i="394"/>
  <c r="H16" i="451" s="1"/>
  <c r="K132" i="424"/>
  <c r="Z132" i="424"/>
  <c r="BD37" i="473"/>
  <c r="BD16" i="473"/>
  <c r="F132" i="424"/>
  <c r="F16" i="2"/>
  <c r="F18" i="2" s="1"/>
  <c r="H32" i="451"/>
  <c r="E11" i="12" s="1"/>
  <c r="J103" i="2"/>
  <c r="G16" i="2"/>
  <c r="G18" i="2" s="1"/>
  <c r="L39" i="49"/>
  <c r="G39" i="49"/>
  <c r="D112" i="7"/>
  <c r="C25" i="482"/>
  <c r="U22" i="396"/>
  <c r="M91" i="375" s="1"/>
  <c r="F16" i="424"/>
  <c r="J199" i="49"/>
  <c r="L199" i="49"/>
  <c r="L155" i="49"/>
  <c r="L156" i="49"/>
  <c r="L154" i="49"/>
  <c r="L166" i="49"/>
  <c r="I166" i="49"/>
  <c r="L138" i="49"/>
  <c r="J138" i="49"/>
  <c r="L162" i="49"/>
  <c r="I162" i="49"/>
  <c r="I188" i="49"/>
  <c r="I185" i="49"/>
  <c r="L185" i="49"/>
  <c r="AU50" i="473"/>
  <c r="I187" i="49"/>
  <c r="Q94" i="3"/>
  <c r="I159" i="49"/>
  <c r="L159" i="49"/>
  <c r="J75" i="2"/>
  <c r="J64" i="2"/>
  <c r="Q60" i="3"/>
  <c r="F104" i="424"/>
  <c r="J112" i="424"/>
  <c r="AC9" i="473"/>
  <c r="K104" i="424"/>
  <c r="H104" i="424"/>
  <c r="X116" i="424"/>
  <c r="G132" i="424"/>
  <c r="AX25" i="473"/>
  <c r="J51" i="2"/>
  <c r="E104" i="424"/>
  <c r="J35" i="2"/>
  <c r="H113" i="442"/>
  <c r="K96" i="442"/>
  <c r="K99" i="442" s="1"/>
  <c r="K102" i="442" s="1"/>
  <c r="J98" i="49"/>
  <c r="L98" i="49"/>
  <c r="L164" i="49"/>
  <c r="I164" i="49"/>
  <c r="I165" i="49"/>
  <c r="L165" i="49"/>
  <c r="AX58" i="473"/>
  <c r="AX54" i="473"/>
  <c r="J198" i="49"/>
  <c r="L198" i="49"/>
  <c r="AU68" i="473"/>
  <c r="AU60" i="473"/>
  <c r="AX60" i="473"/>
  <c r="AX56" i="473"/>
  <c r="L160" i="49"/>
  <c r="I160" i="49"/>
  <c r="W22" i="396"/>
  <c r="S17" i="396"/>
  <c r="G12" i="424"/>
  <c r="C12" i="424"/>
  <c r="H51" i="451"/>
  <c r="F10" i="12" s="1"/>
  <c r="F28" i="452"/>
  <c r="I40" i="452" s="1"/>
  <c r="F55" i="9"/>
  <c r="L25" i="9"/>
  <c r="A10" i="482"/>
  <c r="BI156" i="424"/>
  <c r="D20" i="424"/>
  <c r="J94" i="49"/>
  <c r="L94" i="49"/>
  <c r="G118" i="7"/>
  <c r="N5" i="473"/>
  <c r="C88" i="424"/>
  <c r="K10" i="442"/>
  <c r="BC156" i="424"/>
  <c r="AM156" i="424"/>
  <c r="BP156" i="424"/>
  <c r="BA156" i="424"/>
  <c r="AG156" i="424"/>
  <c r="BQ156" i="424"/>
  <c r="BJ156" i="424"/>
  <c r="BB156" i="424"/>
  <c r="AT156" i="424"/>
  <c r="AH156" i="424"/>
  <c r="AA156" i="424"/>
  <c r="Y156" i="424"/>
  <c r="S156" i="424"/>
  <c r="M156" i="424"/>
  <c r="K156" i="424"/>
  <c r="E156" i="424"/>
  <c r="D22" i="12"/>
  <c r="I162" i="3"/>
  <c r="G26" i="4" s="1"/>
  <c r="T42" i="473"/>
  <c r="G100" i="424"/>
  <c r="Z32" i="473"/>
  <c r="G104" i="424"/>
  <c r="AC18" i="473"/>
  <c r="I108" i="424"/>
  <c r="AC12" i="473"/>
  <c r="P116" i="424"/>
  <c r="AL41" i="473"/>
  <c r="K116" i="424"/>
  <c r="F76" i="458"/>
  <c r="E76" i="458"/>
  <c r="B76" i="458" s="1"/>
  <c r="B50" i="473" s="1"/>
  <c r="I43" i="464"/>
  <c r="K52" i="463"/>
  <c r="N93" i="9"/>
  <c r="H52" i="463"/>
  <c r="F9" i="463"/>
  <c r="E9" i="464"/>
  <c r="I9" i="464"/>
  <c r="H111" i="463"/>
  <c r="K111" i="463"/>
  <c r="I111" i="463"/>
  <c r="H9" i="463"/>
  <c r="N95" i="9"/>
  <c r="K9" i="463"/>
  <c r="I9" i="463"/>
  <c r="L52" i="463"/>
  <c r="J111" i="463"/>
  <c r="F43" i="464"/>
  <c r="L9" i="463"/>
  <c r="J9" i="464"/>
  <c r="M111" i="463"/>
  <c r="N94" i="9"/>
  <c r="E53" i="462"/>
  <c r="AL42" i="473"/>
  <c r="T132" i="424"/>
  <c r="AX31" i="473"/>
  <c r="L11" i="9"/>
  <c r="K86" i="392"/>
  <c r="J9" i="463"/>
  <c r="AX30" i="473"/>
  <c r="AX28" i="473"/>
  <c r="Q132" i="424"/>
  <c r="E9" i="462"/>
  <c r="D77" i="457"/>
  <c r="E68" i="458"/>
  <c r="D198" i="426"/>
  <c r="C198" i="426" s="1"/>
  <c r="D95" i="468"/>
  <c r="F75" i="458"/>
  <c r="E75" i="458"/>
  <c r="B75" i="458" s="1"/>
  <c r="B49" i="473" s="1"/>
  <c r="I190" i="463"/>
  <c r="J97" i="49"/>
  <c r="L97" i="49"/>
  <c r="L96" i="49"/>
  <c r="J96" i="49"/>
  <c r="J95" i="49"/>
  <c r="L95" i="49"/>
  <c r="I125" i="468"/>
  <c r="H125" i="468"/>
  <c r="G125" i="468"/>
  <c r="F125" i="468"/>
  <c r="E139" i="426"/>
  <c r="E140" i="426"/>
  <c r="D199" i="426"/>
  <c r="C199" i="426" s="1"/>
  <c r="B40" i="463" l="1"/>
  <c r="T41" i="473" s="1"/>
  <c r="B145" i="463"/>
  <c r="Z52" i="473" s="1"/>
  <c r="B144" i="463"/>
  <c r="I104" i="424" s="1"/>
  <c r="B39" i="463"/>
  <c r="T40" i="473" s="1"/>
  <c r="J53" i="7"/>
  <c r="E113" i="3"/>
  <c r="D21" i="435" s="1"/>
  <c r="I67" i="48"/>
  <c r="I92" i="48" s="1"/>
  <c r="F113" i="381"/>
  <c r="F81" i="381"/>
  <c r="F55" i="381"/>
  <c r="S58" i="48"/>
  <c r="L56" i="489"/>
  <c r="L54" i="489"/>
  <c r="L58" i="489"/>
  <c r="L53" i="489"/>
  <c r="L55" i="489"/>
  <c r="L59" i="489"/>
  <c r="L57" i="489"/>
  <c r="L52" i="489"/>
  <c r="L57" i="49"/>
  <c r="L55" i="49"/>
  <c r="L60" i="49"/>
  <c r="L53" i="49"/>
  <c r="L56" i="49"/>
  <c r="L58" i="49"/>
  <c r="L54" i="49"/>
  <c r="L59" i="49"/>
  <c r="S29" i="48"/>
  <c r="I32" i="48"/>
  <c r="M60" i="375"/>
  <c r="K167" i="442"/>
  <c r="H81" i="392"/>
  <c r="K81" i="392" s="1"/>
  <c r="K127" i="392"/>
  <c r="I203" i="3"/>
  <c r="D27" i="435" s="1"/>
  <c r="L44" i="49" s="1"/>
  <c r="J90" i="391"/>
  <c r="Z8" i="381"/>
  <c r="R8" i="381"/>
  <c r="I184" i="3"/>
  <c r="A32" i="460"/>
  <c r="B4" i="473" s="1"/>
  <c r="D103" i="489"/>
  <c r="H103" i="49"/>
  <c r="H102" i="489"/>
  <c r="E47" i="442"/>
  <c r="D164" i="489"/>
  <c r="D30" i="32"/>
  <c r="E25" i="442"/>
  <c r="G89" i="376"/>
  <c r="H40" i="450"/>
  <c r="K90" i="457"/>
  <c r="J122" i="49"/>
  <c r="M117" i="463"/>
  <c r="M120" i="463" s="1"/>
  <c r="L117" i="463"/>
  <c r="L120" i="463" s="1"/>
  <c r="B3" i="424"/>
  <c r="C39" i="362"/>
  <c r="G39" i="362"/>
  <c r="M85" i="375"/>
  <c r="G24" i="12"/>
  <c r="H190" i="463"/>
  <c r="H201" i="463" s="1"/>
  <c r="K158" i="442"/>
  <c r="M265" i="3"/>
  <c r="L159" i="489"/>
  <c r="D15" i="2"/>
  <c r="F39" i="375"/>
  <c r="M42" i="375" s="1"/>
  <c r="M89" i="375"/>
  <c r="J50" i="391"/>
  <c r="H46" i="451"/>
  <c r="B28" i="464"/>
  <c r="AI29" i="473" s="1"/>
  <c r="I58" i="48"/>
  <c r="G32" i="376"/>
  <c r="G47" i="376" s="1"/>
  <c r="B213" i="463"/>
  <c r="Q108" i="424" s="1"/>
  <c r="B62" i="464"/>
  <c r="H116" i="424" s="1"/>
  <c r="I158" i="49"/>
  <c r="L156" i="489"/>
  <c r="I156" i="489"/>
  <c r="I157" i="49"/>
  <c r="L155" i="489"/>
  <c r="I155" i="489"/>
  <c r="F14" i="49"/>
  <c r="L14" i="489"/>
  <c r="F14" i="489"/>
  <c r="L18" i="49"/>
  <c r="L17" i="489"/>
  <c r="G17" i="489"/>
  <c r="L27" i="489"/>
  <c r="G27" i="489"/>
  <c r="L153" i="49"/>
  <c r="L151" i="489"/>
  <c r="H152" i="489"/>
  <c r="I151" i="489"/>
  <c r="L143" i="49"/>
  <c r="L141" i="489"/>
  <c r="H141" i="489"/>
  <c r="L27" i="49"/>
  <c r="G26" i="489"/>
  <c r="L26" i="489"/>
  <c r="I7" i="49"/>
  <c r="I116" i="49"/>
  <c r="J142" i="489"/>
  <c r="I114" i="489"/>
  <c r="L142" i="489"/>
  <c r="L60" i="489"/>
  <c r="L61" i="489"/>
  <c r="H122" i="49"/>
  <c r="L122" i="489"/>
  <c r="H120" i="489"/>
  <c r="L120" i="489"/>
  <c r="I163" i="49"/>
  <c r="L161" i="489"/>
  <c r="I161" i="489"/>
  <c r="G28" i="49"/>
  <c r="B212" i="463"/>
  <c r="AF16" i="473" s="1"/>
  <c r="I126" i="9"/>
  <c r="L129" i="9" s="1"/>
  <c r="L132" i="9" s="1"/>
  <c r="B27" i="464"/>
  <c r="G112" i="424" s="1"/>
  <c r="L14" i="49"/>
  <c r="L158" i="49"/>
  <c r="J67" i="2"/>
  <c r="B8" i="12" s="1"/>
  <c r="H143" i="49"/>
  <c r="G18" i="49"/>
  <c r="L157" i="49"/>
  <c r="J44" i="2"/>
  <c r="D7" i="435" s="1"/>
  <c r="B61" i="464"/>
  <c r="AL28" i="473" s="1"/>
  <c r="B125" i="468"/>
  <c r="D17" i="435"/>
  <c r="G29" i="49" s="1"/>
  <c r="G12" i="376"/>
  <c r="G18" i="376" s="1"/>
  <c r="G24" i="376" s="1"/>
  <c r="D13" i="435"/>
  <c r="G27" i="49"/>
  <c r="L28" i="49"/>
  <c r="M75" i="3"/>
  <c r="M116" i="3" s="1"/>
  <c r="L122" i="49"/>
  <c r="H154" i="49"/>
  <c r="I153" i="49"/>
  <c r="J30" i="6"/>
  <c r="I41" i="435" s="1"/>
  <c r="L163" i="49"/>
  <c r="G95" i="376"/>
  <c r="I171" i="3"/>
  <c r="L62" i="49"/>
  <c r="Q20" i="396"/>
  <c r="J22" i="397" s="1"/>
  <c r="D14" i="435"/>
  <c r="E191" i="463"/>
  <c r="E202" i="463" s="1"/>
  <c r="E203" i="463" s="1"/>
  <c r="E204" i="463" s="1"/>
  <c r="G104" i="376"/>
  <c r="J84" i="2"/>
  <c r="B9" i="12" s="1"/>
  <c r="L61" i="49"/>
  <c r="H103" i="426"/>
  <c r="I103" i="426" s="1"/>
  <c r="I75" i="452"/>
  <c r="D38" i="48"/>
  <c r="I206" i="3"/>
  <c r="D28" i="435" s="1"/>
  <c r="H57" i="451"/>
  <c r="B10" i="12"/>
  <c r="L42" i="394"/>
  <c r="I108" i="463"/>
  <c r="J108" i="463"/>
  <c r="J117" i="463" s="1"/>
  <c r="J120" i="463" s="1"/>
  <c r="K117" i="463"/>
  <c r="K120" i="463" s="1"/>
  <c r="H121" i="463"/>
  <c r="H117" i="463"/>
  <c r="H120" i="463" s="1"/>
  <c r="G35" i="463"/>
  <c r="L121" i="463"/>
  <c r="G117" i="463"/>
  <c r="G120" i="463" s="1"/>
  <c r="G190" i="463"/>
  <c r="M121" i="463"/>
  <c r="K63" i="462"/>
  <c r="C5" i="12"/>
  <c r="D2" i="435"/>
  <c r="B35" i="12"/>
  <c r="C17" i="12"/>
  <c r="D10" i="435"/>
  <c r="D10" i="12"/>
  <c r="Q75" i="3"/>
  <c r="Q128" i="3" s="1"/>
  <c r="F20" i="2"/>
  <c r="J21" i="2" s="1"/>
  <c r="D4" i="435" s="1"/>
  <c r="C16" i="489" s="1"/>
  <c r="I5" i="435"/>
  <c r="G112" i="7"/>
  <c r="I6" i="435" s="1"/>
  <c r="H102" i="426"/>
  <c r="I102" i="426" s="1"/>
  <c r="K113" i="442"/>
  <c r="H116" i="442"/>
  <c r="K116" i="442" s="1"/>
  <c r="L144" i="49"/>
  <c r="I9" i="435"/>
  <c r="J144" i="49"/>
  <c r="K13" i="442"/>
  <c r="K16" i="442" s="1"/>
  <c r="G92" i="376"/>
  <c r="E146" i="3"/>
  <c r="I146" i="3" s="1"/>
  <c r="D20" i="435" s="1"/>
  <c r="B11" i="12"/>
  <c r="D12" i="435"/>
  <c r="D88" i="457"/>
  <c r="B6" i="32"/>
  <c r="H14" i="386"/>
  <c r="D166" i="49"/>
  <c r="B71" i="32"/>
  <c r="C16" i="390"/>
  <c r="H25" i="386"/>
  <c r="D9" i="386"/>
  <c r="B49" i="454" s="1"/>
  <c r="I198" i="463"/>
  <c r="I201" i="463"/>
  <c r="F198" i="463"/>
  <c r="F201" i="463"/>
  <c r="D107" i="457"/>
  <c r="D45" i="468"/>
  <c r="D90" i="457"/>
  <c r="D22" i="477"/>
  <c r="K198" i="463"/>
  <c r="K201" i="463"/>
  <c r="E201" i="463"/>
  <c r="D37" i="435" l="1"/>
  <c r="I118" i="48"/>
  <c r="I62" i="491"/>
  <c r="M271" i="3"/>
  <c r="M95" i="375"/>
  <c r="S32" i="48"/>
  <c r="I65" i="491"/>
  <c r="D64" i="48"/>
  <c r="N92" i="48" s="1"/>
  <c r="F131" i="381" s="1"/>
  <c r="D38" i="435"/>
  <c r="D34" i="435"/>
  <c r="H198" i="463"/>
  <c r="H84" i="392"/>
  <c r="K84" i="392" s="1"/>
  <c r="K87" i="392" s="1"/>
  <c r="G44" i="49"/>
  <c r="L43" i="489"/>
  <c r="G43" i="489"/>
  <c r="K97" i="392"/>
  <c r="K118" i="392" s="1"/>
  <c r="BJ25" i="473"/>
  <c r="C120" i="424"/>
  <c r="C36" i="489"/>
  <c r="C37" i="49"/>
  <c r="F137" i="381"/>
  <c r="F17" i="12"/>
  <c r="I19" i="435"/>
  <c r="I18" i="435"/>
  <c r="I159" i="489"/>
  <c r="K170" i="442"/>
  <c r="K173" i="442"/>
  <c r="I37" i="435" s="1"/>
  <c r="L161" i="49"/>
  <c r="I161" i="49"/>
  <c r="M57" i="391"/>
  <c r="M60" i="391" s="1"/>
  <c r="J60" i="391"/>
  <c r="D60" i="391"/>
  <c r="H112" i="424"/>
  <c r="F100" i="424"/>
  <c r="G51" i="376"/>
  <c r="D31" i="362" s="1"/>
  <c r="AF17" i="473"/>
  <c r="J104" i="424"/>
  <c r="D8" i="435"/>
  <c r="L19" i="489" s="1"/>
  <c r="AL29" i="473"/>
  <c r="L15" i="489"/>
  <c r="F15" i="489"/>
  <c r="L29" i="49"/>
  <c r="L28" i="489"/>
  <c r="G28" i="489"/>
  <c r="H155" i="49"/>
  <c r="H153" i="489"/>
  <c r="G26" i="49"/>
  <c r="G25" i="489"/>
  <c r="L25" i="489"/>
  <c r="H111" i="489"/>
  <c r="G112" i="489"/>
  <c r="F13" i="49"/>
  <c r="F13" i="489"/>
  <c r="L13" i="489"/>
  <c r="G35" i="489"/>
  <c r="L44" i="489"/>
  <c r="G44" i="489"/>
  <c r="L18" i="489"/>
  <c r="G18" i="489"/>
  <c r="L23" i="489"/>
  <c r="G23" i="489"/>
  <c r="G34" i="489"/>
  <c r="L34" i="489"/>
  <c r="I112" i="489"/>
  <c r="J111" i="489"/>
  <c r="G22" i="49"/>
  <c r="L21" i="489"/>
  <c r="G21" i="489"/>
  <c r="L25" i="49"/>
  <c r="L24" i="489"/>
  <c r="G24" i="489"/>
  <c r="F24" i="12"/>
  <c r="B7" i="12"/>
  <c r="P108" i="424"/>
  <c r="AI28" i="473"/>
  <c r="G116" i="424"/>
  <c r="Z51" i="473"/>
  <c r="E100" i="424"/>
  <c r="J101" i="426"/>
  <c r="G25" i="49"/>
  <c r="D20" i="362"/>
  <c r="E10" i="12"/>
  <c r="G108" i="376"/>
  <c r="K118" i="376" s="1"/>
  <c r="D9" i="435"/>
  <c r="L26" i="49"/>
  <c r="J33" i="6"/>
  <c r="I42" i="435" s="1"/>
  <c r="J102" i="426"/>
  <c r="B38" i="12"/>
  <c r="D17" i="12"/>
  <c r="F20" i="396"/>
  <c r="D43" i="48"/>
  <c r="N58" i="48" s="1"/>
  <c r="F36" i="381" s="1"/>
  <c r="B29" i="12"/>
  <c r="L13" i="49"/>
  <c r="D99" i="48"/>
  <c r="J24" i="2"/>
  <c r="J131" i="2" s="1"/>
  <c r="D77" i="435"/>
  <c r="D76" i="435"/>
  <c r="G45" i="49"/>
  <c r="L45" i="49"/>
  <c r="L15" i="49"/>
  <c r="G36" i="49"/>
  <c r="L22" i="49"/>
  <c r="I117" i="463"/>
  <c r="I120" i="463" s="1"/>
  <c r="G201" i="463"/>
  <c r="G198" i="463"/>
  <c r="D11" i="435"/>
  <c r="F15" i="49"/>
  <c r="I114" i="49"/>
  <c r="J113" i="49"/>
  <c r="G114" i="49"/>
  <c r="H113" i="49"/>
  <c r="G19" i="49"/>
  <c r="L19" i="49"/>
  <c r="K119" i="442"/>
  <c r="L24" i="49"/>
  <c r="G24" i="49"/>
  <c r="L35" i="49"/>
  <c r="G35" i="49"/>
  <c r="S118" i="48" l="1"/>
  <c r="H70" i="382" s="1"/>
  <c r="D64" i="435" s="1"/>
  <c r="J84" i="489" s="1"/>
  <c r="C59" i="49"/>
  <c r="D77" i="391"/>
  <c r="D16" i="48"/>
  <c r="K128" i="442"/>
  <c r="K131" i="442" s="1"/>
  <c r="C57" i="489"/>
  <c r="C58" i="49"/>
  <c r="C59" i="489"/>
  <c r="C60" i="49"/>
  <c r="C58" i="489"/>
  <c r="E184" i="3"/>
  <c r="M184" i="3" s="1"/>
  <c r="F100" i="381"/>
  <c r="K100" i="392"/>
  <c r="K103" i="392" s="1"/>
  <c r="I36" i="435"/>
  <c r="I118" i="49" s="1"/>
  <c r="I11" i="435"/>
  <c r="B26" i="12"/>
  <c r="I58" i="435"/>
  <c r="I23" i="435"/>
  <c r="I20" i="435"/>
  <c r="I59" i="435"/>
  <c r="L178" i="489" s="1"/>
  <c r="C57" i="49"/>
  <c r="C56" i="489"/>
  <c r="C55" i="489"/>
  <c r="C54" i="489"/>
  <c r="G124" i="7"/>
  <c r="J144" i="489"/>
  <c r="L144" i="489"/>
  <c r="L146" i="49"/>
  <c r="J146" i="49"/>
  <c r="I154" i="489"/>
  <c r="J87" i="6"/>
  <c r="G46" i="454" s="1"/>
  <c r="D11" i="362" s="1"/>
  <c r="P63" i="391"/>
  <c r="G20" i="49"/>
  <c r="L20" i="49"/>
  <c r="H104" i="426"/>
  <c r="I104" i="426" s="1"/>
  <c r="J103" i="426" s="1"/>
  <c r="K79" i="376"/>
  <c r="K121" i="376" s="1"/>
  <c r="G19" i="489"/>
  <c r="I156" i="49"/>
  <c r="J101" i="49"/>
  <c r="J100" i="489"/>
  <c r="C56" i="49"/>
  <c r="L23" i="49"/>
  <c r="L22" i="489"/>
  <c r="G22" i="489"/>
  <c r="L100" i="489"/>
  <c r="H100" i="489"/>
  <c r="L21" i="49"/>
  <c r="L20" i="489"/>
  <c r="G20" i="489"/>
  <c r="H105" i="426"/>
  <c r="I105" i="426" s="1"/>
  <c r="J104" i="426" s="1"/>
  <c r="C55" i="49"/>
  <c r="G21" i="49"/>
  <c r="E17" i="12"/>
  <c r="G23" i="49"/>
  <c r="D5" i="435"/>
  <c r="B17" i="12"/>
  <c r="B5" i="12"/>
  <c r="B32" i="12"/>
  <c r="H101" i="49"/>
  <c r="L101" i="49"/>
  <c r="H69" i="451"/>
  <c r="D195" i="426"/>
  <c r="D196" i="426" s="1"/>
  <c r="L85" i="49" l="1"/>
  <c r="L84" i="489"/>
  <c r="J85" i="49"/>
  <c r="N32" i="48"/>
  <c r="N118" i="48" s="1"/>
  <c r="M36" i="375" s="1"/>
  <c r="L17" i="49"/>
  <c r="G17" i="49"/>
  <c r="L16" i="49"/>
  <c r="I116" i="489"/>
  <c r="L145" i="49"/>
  <c r="G180" i="49"/>
  <c r="G178" i="489"/>
  <c r="L180" i="49"/>
  <c r="I60" i="435"/>
  <c r="I178" i="489" s="1"/>
  <c r="I21" i="435"/>
  <c r="J143" i="489"/>
  <c r="J145" i="49"/>
  <c r="L143" i="489"/>
  <c r="K176" i="392"/>
  <c r="G16" i="454" s="1"/>
  <c r="D22" i="362"/>
  <c r="B40" i="12"/>
  <c r="L190" i="49"/>
  <c r="G179" i="49"/>
  <c r="L188" i="489"/>
  <c r="L178" i="49"/>
  <c r="L179" i="49"/>
  <c r="L176" i="489"/>
  <c r="G177" i="489"/>
  <c r="L177" i="489"/>
  <c r="L16" i="489"/>
  <c r="G16" i="489"/>
  <c r="J52" i="454"/>
  <c r="K157" i="376"/>
  <c r="K166" i="376" s="1"/>
  <c r="D39" i="362"/>
  <c r="G16" i="49"/>
  <c r="D18" i="435"/>
  <c r="H79" i="451"/>
  <c r="G19" i="12"/>
  <c r="H89" i="451" l="1"/>
  <c r="F164" i="381"/>
  <c r="F17" i="381"/>
  <c r="K112" i="392"/>
  <c r="K115" i="392" s="1"/>
  <c r="K121" i="392" s="1"/>
  <c r="K124" i="392" s="1"/>
  <c r="K142" i="392" s="1"/>
  <c r="K150" i="392" s="1"/>
  <c r="F48" i="381"/>
  <c r="M248" i="3"/>
  <c r="D29" i="435" s="1"/>
  <c r="G46" i="49" s="1"/>
  <c r="K169" i="376"/>
  <c r="K181" i="376" s="1"/>
  <c r="I180" i="49"/>
  <c r="I53" i="435"/>
  <c r="BJ8" i="473"/>
  <c r="I24" i="435"/>
  <c r="G8" i="390"/>
  <c r="I24" i="32"/>
  <c r="D8" i="362"/>
  <c r="H30" i="49"/>
  <c r="H29" i="489"/>
  <c r="D33" i="362"/>
  <c r="D130" i="489"/>
  <c r="E119" i="3" l="1"/>
  <c r="E122" i="3" s="1"/>
  <c r="M125" i="3" s="1"/>
  <c r="M128" i="3" s="1"/>
  <c r="E131" i="3" s="1"/>
  <c r="F74" i="381"/>
  <c r="G28" i="454"/>
  <c r="I27" i="435" s="1"/>
  <c r="R17" i="381"/>
  <c r="L167" i="49"/>
  <c r="N44" i="381"/>
  <c r="M45" i="375"/>
  <c r="F123" i="375" s="1"/>
  <c r="F126" i="375" s="1"/>
  <c r="E262" i="3"/>
  <c r="G45" i="489"/>
  <c r="L46" i="49"/>
  <c r="L45" i="489"/>
  <c r="L152" i="49"/>
  <c r="L168" i="49"/>
  <c r="L165" i="489"/>
  <c r="J165" i="489"/>
  <c r="J167" i="49"/>
  <c r="L150" i="489"/>
  <c r="L166" i="489"/>
  <c r="D23" i="362"/>
  <c r="D132" i="49"/>
  <c r="I131" i="489"/>
  <c r="I133" i="49"/>
  <c r="G128" i="489"/>
  <c r="G127" i="489"/>
  <c r="G125" i="489"/>
  <c r="I128" i="489"/>
  <c r="D35" i="362"/>
  <c r="I130" i="49"/>
  <c r="G129" i="49"/>
  <c r="H127" i="49"/>
  <c r="G130" i="49"/>
  <c r="I149" i="3" l="1"/>
  <c r="D22" i="435"/>
  <c r="Z17" i="381"/>
  <c r="V30" i="381" s="1"/>
  <c r="G8" i="454"/>
  <c r="I22" i="435" s="1"/>
  <c r="I127" i="489"/>
  <c r="I125" i="489"/>
  <c r="C11" i="390"/>
  <c r="D41" i="362"/>
  <c r="I129" i="49"/>
  <c r="J127" i="49"/>
  <c r="AH17" i="381" l="1"/>
  <c r="AD30" i="381" s="1"/>
  <c r="L36" i="49"/>
  <c r="G36" i="489"/>
  <c r="L35" i="489"/>
  <c r="L36" i="489"/>
  <c r="L37" i="49"/>
  <c r="G37" i="49"/>
  <c r="I59" i="491"/>
  <c r="I176" i="3"/>
  <c r="G5" i="390"/>
  <c r="BJ7" i="473"/>
  <c r="J19" i="454"/>
  <c r="I25" i="435" s="1"/>
  <c r="L148" i="49" s="1"/>
  <c r="D7" i="362"/>
  <c r="D9" i="362"/>
  <c r="BJ6" i="473"/>
  <c r="F56" i="9"/>
  <c r="J8" i="476" l="1"/>
  <c r="J14" i="476" s="1"/>
  <c r="J17" i="476" s="1"/>
  <c r="J23" i="476" s="1"/>
  <c r="J26" i="476" s="1"/>
  <c r="L6" i="9"/>
  <c r="L150" i="49"/>
  <c r="L149" i="49"/>
  <c r="L136" i="49"/>
  <c r="L135" i="49"/>
  <c r="L134" i="49"/>
  <c r="C147" i="489"/>
  <c r="J134" i="489"/>
  <c r="J133" i="489"/>
  <c r="C148" i="489"/>
  <c r="C146" i="489"/>
  <c r="D134" i="489"/>
  <c r="D133" i="489"/>
  <c r="J136" i="49"/>
  <c r="J135" i="49"/>
  <c r="C171" i="489"/>
  <c r="C190" i="489"/>
  <c r="C145" i="489"/>
  <c r="D132" i="489"/>
  <c r="L138" i="489"/>
  <c r="J137" i="489"/>
  <c r="L137" i="489"/>
  <c r="J138" i="489"/>
  <c r="L139" i="49"/>
  <c r="L140" i="49"/>
  <c r="J140" i="49"/>
  <c r="I131" i="49"/>
  <c r="L130" i="489"/>
  <c r="I129" i="489"/>
  <c r="L131" i="49"/>
  <c r="L135" i="489"/>
  <c r="J132" i="489"/>
  <c r="L131" i="489"/>
  <c r="L129" i="489"/>
  <c r="L128" i="489"/>
  <c r="L126" i="489"/>
  <c r="L125" i="489"/>
  <c r="L132" i="489"/>
  <c r="L127" i="489"/>
  <c r="L132" i="49"/>
  <c r="L128" i="49"/>
  <c r="L137" i="49"/>
  <c r="L133" i="49"/>
  <c r="J134" i="49"/>
  <c r="L129" i="49"/>
  <c r="L130" i="49"/>
  <c r="L127" i="49"/>
  <c r="J139" i="49"/>
  <c r="I44" i="9" l="1"/>
  <c r="I50" i="9" s="1"/>
  <c r="I53" i="9" s="1"/>
  <c r="L12" i="9"/>
  <c r="L18" i="9" s="1"/>
  <c r="L26" i="9" s="1"/>
  <c r="F59" i="9" s="1"/>
  <c r="I59" i="9" s="1"/>
  <c r="G31" i="454"/>
  <c r="I28" i="435" s="1"/>
  <c r="G121" i="7"/>
  <c r="I196" i="3" l="1"/>
  <c r="M209" i="3" s="1"/>
  <c r="I68" i="491" s="1"/>
  <c r="I71" i="491" s="1"/>
  <c r="L80" i="491" s="1"/>
  <c r="J78" i="7" s="1"/>
  <c r="I115" i="489"/>
  <c r="L139" i="489"/>
  <c r="I10" i="435"/>
  <c r="I117" i="49"/>
  <c r="J139" i="489"/>
  <c r="J141" i="49"/>
  <c r="L141" i="49"/>
  <c r="L62" i="9"/>
  <c r="L65" i="9" s="1"/>
  <c r="L72" i="9" s="1"/>
  <c r="I87" i="9" s="1"/>
  <c r="L90" i="9" s="1"/>
  <c r="L93" i="9" s="1"/>
  <c r="L148" i="9" s="1"/>
  <c r="J50" i="7" l="1"/>
  <c r="D25" i="435"/>
  <c r="C39" i="489" s="1"/>
  <c r="D40" i="489" s="1"/>
  <c r="D81" i="435"/>
  <c r="H104" i="49" s="1"/>
  <c r="M78" i="7"/>
  <c r="D74" i="435" l="1"/>
  <c r="I232" i="3"/>
  <c r="D26" i="435" s="1"/>
  <c r="G41" i="489" s="1"/>
  <c r="J56" i="7"/>
  <c r="M56" i="7" s="1"/>
  <c r="D75" i="435"/>
  <c r="J99" i="489" s="1"/>
  <c r="G40" i="49"/>
  <c r="H40" i="489"/>
  <c r="G39" i="489"/>
  <c r="H41" i="49"/>
  <c r="C40" i="49"/>
  <c r="D41" i="49" s="1"/>
  <c r="D82" i="435"/>
  <c r="J102" i="489" s="1"/>
  <c r="L103" i="489"/>
  <c r="H103" i="489"/>
  <c r="L104" i="49"/>
  <c r="L102" i="489"/>
  <c r="L103" i="49"/>
  <c r="B46" i="468"/>
  <c r="BD47" i="473" s="1"/>
  <c r="H42" i="489" l="1"/>
  <c r="M235" i="3"/>
  <c r="M241" i="3" s="1"/>
  <c r="F8" i="381" s="1"/>
  <c r="N144" i="381" s="1"/>
  <c r="H43" i="49"/>
  <c r="G42" i="49"/>
  <c r="H99" i="489"/>
  <c r="H100" i="49"/>
  <c r="L99" i="489"/>
  <c r="L100" i="49"/>
  <c r="J100" i="49"/>
  <c r="J104" i="49"/>
  <c r="J103" i="49"/>
  <c r="J103" i="489"/>
  <c r="B8" i="468"/>
  <c r="B140" i="424" s="1"/>
  <c r="B18" i="468"/>
  <c r="BD19" i="473" s="1"/>
  <c r="M268" i="3" l="1"/>
  <c r="E281" i="3" s="1"/>
  <c r="J74" i="381"/>
  <c r="J36" i="381"/>
  <c r="AL164" i="381"/>
  <c r="D70" i="391" s="1"/>
  <c r="J77" i="391" s="1"/>
  <c r="J84" i="391" s="1"/>
  <c r="J87" i="391" s="1"/>
  <c r="J93" i="391" s="1"/>
  <c r="J96" i="391" s="1"/>
  <c r="M255" i="3"/>
  <c r="D30" i="435" s="1"/>
  <c r="L41" i="489" s="1"/>
  <c r="F47" i="375"/>
  <c r="M50" i="375" s="1"/>
  <c r="M53" i="375" s="1"/>
  <c r="M63" i="375" s="1"/>
  <c r="M68" i="375" s="1"/>
  <c r="M71" i="375" s="1"/>
  <c r="F105" i="375" s="1"/>
  <c r="M262" i="3"/>
  <c r="M281" i="3" s="1"/>
  <c r="BD9" i="473"/>
  <c r="L42" i="489" l="1"/>
  <c r="L43" i="49"/>
  <c r="L46" i="489"/>
  <c r="L42" i="49"/>
  <c r="L32" i="49"/>
  <c r="H47" i="49"/>
  <c r="D31" i="435"/>
  <c r="L49" i="489" s="1"/>
  <c r="I281" i="3"/>
  <c r="Q281" i="3" s="1"/>
  <c r="J74" i="7" s="1"/>
  <c r="D78" i="435" s="1"/>
  <c r="H101" i="489" s="1"/>
  <c r="D40" i="12"/>
  <c r="C40" i="12" s="1"/>
  <c r="E32" i="442"/>
  <c r="E44" i="442" s="1"/>
  <c r="E56" i="442" s="1"/>
  <c r="L32" i="489"/>
  <c r="P71" i="375"/>
  <c r="L40" i="489"/>
  <c r="F129" i="375"/>
  <c r="F132" i="375" s="1"/>
  <c r="F135" i="375" s="1"/>
  <c r="F138" i="375" s="1"/>
  <c r="F141" i="375" s="1"/>
  <c r="F148" i="375" s="1"/>
  <c r="M148" i="375" s="1"/>
  <c r="L33" i="49"/>
  <c r="L40" i="49"/>
  <c r="H46" i="489"/>
  <c r="L31" i="489"/>
  <c r="L41" i="49"/>
  <c r="M315" i="3"/>
  <c r="L47" i="49"/>
  <c r="L39" i="489"/>
  <c r="P68" i="375"/>
  <c r="M303" i="3"/>
  <c r="J99" i="391"/>
  <c r="J102" i="391" s="1"/>
  <c r="J105" i="391"/>
  <c r="J108" i="391" s="1"/>
  <c r="J111" i="391" s="1"/>
  <c r="I67" i="435" s="1"/>
  <c r="F108" i="375"/>
  <c r="F111" i="375" s="1"/>
  <c r="M111" i="375" s="1"/>
  <c r="M105" i="375"/>
  <c r="L50" i="49" l="1"/>
  <c r="H49" i="49"/>
  <c r="H49" i="489"/>
  <c r="D63" i="435"/>
  <c r="H82" i="489"/>
  <c r="L48" i="489"/>
  <c r="H48" i="489"/>
  <c r="L49" i="49"/>
  <c r="H50" i="49"/>
  <c r="H83" i="49"/>
  <c r="E41" i="442"/>
  <c r="H41" i="442" s="1"/>
  <c r="K41" i="442" s="1"/>
  <c r="F167" i="375"/>
  <c r="P74" i="375"/>
  <c r="H35" i="132"/>
  <c r="M161" i="375"/>
  <c r="H29" i="132"/>
  <c r="M326" i="3"/>
  <c r="N30" i="381" s="1"/>
  <c r="N33" i="381" s="1"/>
  <c r="N36" i="381" s="1"/>
  <c r="H102" i="49"/>
  <c r="M74" i="7"/>
  <c r="D79" i="435" s="1"/>
  <c r="J102" i="49" s="1"/>
  <c r="I65" i="435"/>
  <c r="L181" i="489" s="1"/>
  <c r="P108" i="391"/>
  <c r="I66" i="435" s="1"/>
  <c r="I181" i="489" s="1"/>
  <c r="P99" i="391"/>
  <c r="I62" i="435" s="1"/>
  <c r="I181" i="49" s="1"/>
  <c r="I61" i="435"/>
  <c r="G181" i="49" s="1"/>
  <c r="P111" i="391"/>
  <c r="I68" i="435" s="1"/>
  <c r="I182" i="489" s="1"/>
  <c r="I63" i="435"/>
  <c r="P102" i="391"/>
  <c r="I64" i="435" s="1"/>
  <c r="L182" i="489"/>
  <c r="G182" i="489"/>
  <c r="F151" i="375"/>
  <c r="M151" i="375" s="1"/>
  <c r="M158" i="375" s="1"/>
  <c r="F117" i="375"/>
  <c r="M117" i="375" s="1"/>
  <c r="M114" i="375"/>
  <c r="G184" i="49"/>
  <c r="L184" i="49"/>
  <c r="M164" i="375" l="1"/>
  <c r="M167" i="375" s="1"/>
  <c r="S66" i="381"/>
  <c r="H44" i="442"/>
  <c r="H56" i="442" s="1"/>
  <c r="K56" i="442" s="1"/>
  <c r="K34" i="4"/>
  <c r="R36" i="381"/>
  <c r="N48" i="381" s="1"/>
  <c r="V33" i="381"/>
  <c r="J101" i="489"/>
  <c r="L101" i="489"/>
  <c r="L102" i="49"/>
  <c r="G183" i="49"/>
  <c r="L183" i="49"/>
  <c r="G181" i="489"/>
  <c r="L181" i="49"/>
  <c r="I179" i="489"/>
  <c r="G179" i="489"/>
  <c r="I183" i="49"/>
  <c r="L179" i="489"/>
  <c r="P114" i="391"/>
  <c r="P121" i="391" s="1"/>
  <c r="I182" i="49"/>
  <c r="I180" i="489"/>
  <c r="L180" i="489"/>
  <c r="L182" i="49"/>
  <c r="G180" i="489"/>
  <c r="G182" i="49"/>
  <c r="I184" i="49"/>
  <c r="M120" i="375"/>
  <c r="M170" i="375" l="1"/>
  <c r="J11" i="7" s="1"/>
  <c r="D67" i="435" s="1"/>
  <c r="J93" i="49" s="1"/>
  <c r="H65" i="442"/>
  <c r="K65" i="442" s="1"/>
  <c r="K68" i="442" s="1"/>
  <c r="E147" i="442" s="1"/>
  <c r="V36" i="381"/>
  <c r="Z36" i="381" s="1"/>
  <c r="R48" i="381"/>
  <c r="R55" i="381" s="1"/>
  <c r="P127" i="391"/>
  <c r="P139" i="391" s="1"/>
  <c r="I70" i="435"/>
  <c r="L185" i="489" s="1"/>
  <c r="L93" i="49" l="1"/>
  <c r="J92" i="489"/>
  <c r="L92" i="489"/>
  <c r="G59" i="454"/>
  <c r="I74" i="435" s="1"/>
  <c r="L177" i="49" s="1"/>
  <c r="G115" i="7"/>
  <c r="I7" i="435" s="1"/>
  <c r="V41" i="381"/>
  <c r="V43" i="381" s="1"/>
  <c r="V45" i="381" s="1"/>
  <c r="V48" i="381" s="1"/>
  <c r="AD34" i="381"/>
  <c r="AD36" i="381" s="1"/>
  <c r="AH36" i="381" s="1"/>
  <c r="AD42" i="381" s="1"/>
  <c r="K71" i="442"/>
  <c r="I29" i="435"/>
  <c r="L184" i="489"/>
  <c r="I184" i="489"/>
  <c r="I186" i="49"/>
  <c r="L187" i="49"/>
  <c r="L186" i="49"/>
  <c r="BJ9" i="473" l="1"/>
  <c r="G11" i="390"/>
  <c r="D6" i="362"/>
  <c r="E150" i="442"/>
  <c r="I30" i="435" s="1"/>
  <c r="J85" i="381"/>
  <c r="Z48" i="381"/>
  <c r="N121" i="381" s="1"/>
  <c r="N123" i="381" s="1"/>
  <c r="N125" i="381" s="1"/>
  <c r="K74" i="442"/>
  <c r="K144" i="442" s="1"/>
  <c r="G127" i="7"/>
  <c r="I12" i="435" s="1"/>
  <c r="L192" i="489"/>
  <c r="L189" i="489"/>
  <c r="J188" i="489"/>
  <c r="L197" i="49"/>
  <c r="L175" i="489"/>
  <c r="I113" i="489"/>
  <c r="J190" i="49"/>
  <c r="L191" i="49"/>
  <c r="Z55" i="381" l="1"/>
  <c r="AH55" i="381" s="1"/>
  <c r="J81" i="381" s="1"/>
  <c r="D142" i="49"/>
  <c r="D140" i="489"/>
  <c r="G34" i="454"/>
  <c r="N127" i="381"/>
  <c r="AD46" i="381"/>
  <c r="AD48" i="381" s="1"/>
  <c r="AH48" i="381" s="1"/>
  <c r="J113" i="381" s="1"/>
  <c r="J119" i="49"/>
  <c r="J117" i="489"/>
  <c r="I115" i="49"/>
  <c r="J91" i="381" l="1"/>
  <c r="J88" i="381"/>
  <c r="I31" i="435"/>
  <c r="L147" i="49" s="1"/>
  <c r="D27" i="362"/>
  <c r="G14" i="390"/>
  <c r="BJ10" i="473"/>
  <c r="J140" i="489" l="1"/>
  <c r="J100" i="381"/>
  <c r="N85" i="381" s="1"/>
  <c r="L151" i="49"/>
  <c r="J142" i="49"/>
  <c r="L146" i="489"/>
  <c r="L145" i="489"/>
  <c r="L147" i="489"/>
  <c r="L142" i="49"/>
  <c r="L140" i="489"/>
  <c r="L149" i="489"/>
  <c r="L148" i="489"/>
  <c r="J103" i="381" l="1"/>
  <c r="N74" i="381" l="1"/>
  <c r="N81" i="381" l="1"/>
  <c r="N91" i="381" s="1"/>
  <c r="N94" i="381" s="1"/>
  <c r="N88" i="381" l="1"/>
  <c r="N100" i="381" s="1"/>
  <c r="N103" i="381" s="1"/>
  <c r="N115" i="381" s="1"/>
  <c r="N134" i="381" s="1"/>
  <c r="R71" i="381" l="1"/>
  <c r="N117" i="381"/>
  <c r="N119" i="381" s="1"/>
  <c r="N146" i="381" s="1"/>
  <c r="N152" i="381" s="1"/>
  <c r="R107" i="381"/>
  <c r="R111" i="381" s="1"/>
  <c r="N140" i="381" l="1"/>
  <c r="N154" i="381"/>
  <c r="N156" i="381" s="1"/>
  <c r="N138" i="381"/>
  <c r="N142" i="381" l="1"/>
  <c r="E26" i="12"/>
  <c r="R64" i="381" l="1"/>
  <c r="E32" i="12"/>
  <c r="R77" i="381" l="1"/>
  <c r="R81" i="381" s="1"/>
  <c r="R100" i="381" s="1"/>
  <c r="E35" i="12"/>
  <c r="R103" i="381" l="1"/>
  <c r="R105" i="381" s="1"/>
  <c r="R113" i="381" s="1"/>
  <c r="V81" i="381" l="1"/>
  <c r="V100" i="381" s="1"/>
  <c r="V103" i="381" s="1"/>
  <c r="Z68" i="381" s="1"/>
  <c r="Z70" i="381" s="1"/>
  <c r="Z72" i="381" s="1"/>
  <c r="Z74" i="381" s="1"/>
  <c r="AH74" i="381" s="1"/>
  <c r="Z81" i="381" l="1"/>
  <c r="AH81" i="381" s="1"/>
  <c r="AL81" i="381" s="1"/>
  <c r="AL74" i="381"/>
  <c r="F23" i="47" s="1"/>
  <c r="Z100" i="381" l="1"/>
  <c r="Z103" i="381" s="1"/>
  <c r="F26" i="47"/>
  <c r="I23" i="47"/>
  <c r="Z113" i="381" l="1"/>
  <c r="L23" i="47"/>
  <c r="J86" i="7" s="1"/>
  <c r="I26" i="47"/>
  <c r="G9" i="453" s="1"/>
  <c r="G12" i="453" s="1"/>
  <c r="J12" i="453" s="1"/>
  <c r="AD100" i="381" l="1"/>
  <c r="AH100" i="381" s="1"/>
  <c r="AH113" i="381" l="1"/>
  <c r="AL100" i="381"/>
  <c r="K18" i="4" s="1"/>
  <c r="D29" i="12" l="1"/>
  <c r="C29" i="12" s="1"/>
  <c r="AL113" i="381"/>
  <c r="AH121" i="381"/>
  <c r="AL121" i="381" l="1"/>
  <c r="AH131" i="381"/>
  <c r="AL131" i="381" l="1"/>
  <c r="O18" i="4" s="1"/>
  <c r="AH137" i="381"/>
  <c r="O38" i="4" l="1"/>
  <c r="D53" i="382" s="1"/>
  <c r="H53" i="382" s="1"/>
  <c r="D32" i="12"/>
  <c r="C32" i="12" s="1"/>
  <c r="AH142" i="381"/>
  <c r="AL137" i="381"/>
  <c r="AL142" i="381" l="1"/>
  <c r="AH147" i="381"/>
  <c r="AL147" i="381" s="1"/>
  <c r="J83" i="7"/>
  <c r="M83" i="7" s="1"/>
  <c r="D83" i="435" s="1"/>
  <c r="W18" i="4"/>
  <c r="D38" i="12" l="1"/>
  <c r="C38" i="12" s="1"/>
  <c r="L105" i="49"/>
  <c r="J105" i="49"/>
  <c r="J104" i="489"/>
  <c r="L104" i="489"/>
  <c r="G18" i="4"/>
  <c r="F44" i="47"/>
  <c r="L44" i="47" s="1"/>
  <c r="F34" i="47"/>
  <c r="S18" i="4"/>
  <c r="D35" i="12" s="1"/>
  <c r="C35" i="12" s="1"/>
  <c r="G48" i="4" l="1"/>
  <c r="D26" i="12"/>
  <c r="C26" i="12" s="1"/>
  <c r="W21" i="4"/>
  <c r="W24" i="4" s="1"/>
  <c r="K21" i="4"/>
  <c r="K24" i="4" s="1"/>
  <c r="K27" i="4" s="1"/>
  <c r="F26" i="12" l="1"/>
  <c r="G52" i="4"/>
  <c r="G61" i="4" s="1"/>
  <c r="K38" i="4"/>
  <c r="E29" i="12"/>
  <c r="G67" i="481"/>
  <c r="W27" i="4"/>
  <c r="K55" i="4" l="1"/>
  <c r="K48" i="4"/>
  <c r="K52" i="4" s="1"/>
  <c r="G26" i="12"/>
  <c r="G65" i="4"/>
  <c r="H26" i="12" s="1"/>
  <c r="D36" i="382"/>
  <c r="E38" i="12"/>
  <c r="E40" i="12" s="1"/>
  <c r="W34" i="4"/>
  <c r="W38" i="4" s="1"/>
  <c r="K61" i="4" l="1"/>
  <c r="K65" i="4" s="1"/>
  <c r="O42" i="4"/>
  <c r="S48" i="4" s="1"/>
  <c r="F29" i="12"/>
  <c r="D39" i="382"/>
  <c r="H36" i="382"/>
  <c r="D46" i="435" s="1"/>
  <c r="D45" i="435"/>
  <c r="G46" i="481" l="1"/>
  <c r="G29" i="12"/>
  <c r="O55" i="4"/>
  <c r="O59" i="4" s="1"/>
  <c r="D57" i="435" s="1"/>
  <c r="H79" i="49" s="1"/>
  <c r="O44" i="4"/>
  <c r="O48" i="4" s="1"/>
  <c r="F32" i="12" s="1"/>
  <c r="O52" i="4"/>
  <c r="S55" i="4" s="1"/>
  <c r="G40" i="481"/>
  <c r="J40" i="481" s="1"/>
  <c r="H29" i="12"/>
  <c r="H69" i="489"/>
  <c r="H70" i="49"/>
  <c r="S52" i="4"/>
  <c r="W48" i="4" s="1"/>
  <c r="F35" i="12"/>
  <c r="D15" i="382"/>
  <c r="J70" i="49"/>
  <c r="J69" i="489"/>
  <c r="D47" i="435"/>
  <c r="H39" i="382"/>
  <c r="I16" i="435"/>
  <c r="D42" i="382" l="1"/>
  <c r="H42" i="382" s="1"/>
  <c r="D49" i="435" s="1"/>
  <c r="W52" i="4"/>
  <c r="F38" i="12"/>
  <c r="F40" i="12" s="1"/>
  <c r="D54" i="435"/>
  <c r="L76" i="489" s="1"/>
  <c r="G32" i="481"/>
  <c r="H78" i="489"/>
  <c r="O57" i="4"/>
  <c r="O61" i="4" s="1"/>
  <c r="O65" i="4" s="1"/>
  <c r="D60" i="435"/>
  <c r="H80" i="489" s="1"/>
  <c r="L79" i="49"/>
  <c r="L78" i="489"/>
  <c r="D56" i="382"/>
  <c r="D55" i="435" s="1"/>
  <c r="H77" i="489" s="1"/>
  <c r="S61" i="4"/>
  <c r="F47" i="441" s="1"/>
  <c r="H15" i="382"/>
  <c r="D40" i="435" s="1"/>
  <c r="J65" i="49" s="1"/>
  <c r="D39" i="435"/>
  <c r="M40" i="481"/>
  <c r="G7" i="482" s="1"/>
  <c r="E7" i="482"/>
  <c r="G43" i="481"/>
  <c r="H71" i="49"/>
  <c r="H70" i="489"/>
  <c r="L124" i="49"/>
  <c r="L125" i="49"/>
  <c r="C123" i="489"/>
  <c r="J123" i="49"/>
  <c r="L123" i="49"/>
  <c r="C122" i="489"/>
  <c r="L124" i="489"/>
  <c r="J121" i="489"/>
  <c r="L126" i="49"/>
  <c r="G35" i="12" l="1"/>
  <c r="D48" i="435"/>
  <c r="H71" i="489" s="1"/>
  <c r="H76" i="489"/>
  <c r="F8" i="441"/>
  <c r="F12" i="441" s="1"/>
  <c r="G12" i="481" s="1"/>
  <c r="H77" i="49"/>
  <c r="L77" i="49"/>
  <c r="F69" i="47"/>
  <c r="D59" i="382"/>
  <c r="D58" i="435" s="1"/>
  <c r="G32" i="12"/>
  <c r="L80" i="489"/>
  <c r="H81" i="49"/>
  <c r="L81" i="49"/>
  <c r="H78" i="49"/>
  <c r="H56" i="382"/>
  <c r="D56" i="435" s="1"/>
  <c r="J77" i="489" s="1"/>
  <c r="J64" i="489"/>
  <c r="D23" i="382"/>
  <c r="H23" i="382" s="1"/>
  <c r="D42" i="435" s="1"/>
  <c r="S65" i="4"/>
  <c r="H35" i="12" s="1"/>
  <c r="W55" i="4"/>
  <c r="W61" i="4" s="1"/>
  <c r="F65" i="441" s="1"/>
  <c r="J71" i="489"/>
  <c r="J72" i="49"/>
  <c r="D62" i="382"/>
  <c r="F63" i="47"/>
  <c r="I66" i="47" s="1"/>
  <c r="F72" i="47" s="1"/>
  <c r="H65" i="49"/>
  <c r="H64" i="489"/>
  <c r="H72" i="49" l="1"/>
  <c r="H59" i="382"/>
  <c r="D59" i="435" s="1"/>
  <c r="J79" i="489" s="1"/>
  <c r="I72" i="47"/>
  <c r="L72" i="47" s="1"/>
  <c r="J78" i="49"/>
  <c r="D41" i="435"/>
  <c r="H65" i="489" s="1"/>
  <c r="W65" i="4"/>
  <c r="D48" i="382" s="1"/>
  <c r="G38" i="12"/>
  <c r="F29" i="441"/>
  <c r="D45" i="382"/>
  <c r="G40" i="12" s="1"/>
  <c r="I34" i="47"/>
  <c r="F37" i="47" s="1"/>
  <c r="I37" i="47" s="1"/>
  <c r="L37" i="47" s="1"/>
  <c r="D31" i="382"/>
  <c r="L66" i="47"/>
  <c r="H80" i="49"/>
  <c r="H79" i="489"/>
  <c r="G6" i="481"/>
  <c r="H32" i="12"/>
  <c r="H62" i="382"/>
  <c r="D62" i="435" s="1"/>
  <c r="D61" i="435"/>
  <c r="F18" i="441"/>
  <c r="K12" i="441"/>
  <c r="J65" i="489"/>
  <c r="J66" i="49"/>
  <c r="J80" i="49" l="1"/>
  <c r="I75" i="47"/>
  <c r="L75" i="47" s="1"/>
  <c r="M95" i="7" s="1"/>
  <c r="I3" i="435" s="1"/>
  <c r="J107" i="489" s="1"/>
  <c r="L34" i="47"/>
  <c r="H66" i="49"/>
  <c r="H38" i="12"/>
  <c r="H40" i="12" s="1"/>
  <c r="D43" i="435"/>
  <c r="H31" i="382"/>
  <c r="H45" i="382"/>
  <c r="D51" i="435" s="1"/>
  <c r="D50" i="435"/>
  <c r="D84" i="382"/>
  <c r="D91" i="382"/>
  <c r="H48" i="382"/>
  <c r="D53" i="435" s="1"/>
  <c r="D52" i="435"/>
  <c r="L78" i="49"/>
  <c r="L81" i="489"/>
  <c r="H82" i="49"/>
  <c r="H81" i="489"/>
  <c r="L79" i="489"/>
  <c r="L80" i="49"/>
  <c r="L77" i="489"/>
  <c r="L76" i="49"/>
  <c r="L75" i="489"/>
  <c r="L82" i="49"/>
  <c r="F50" i="441"/>
  <c r="K50" i="441" s="1"/>
  <c r="F32" i="441"/>
  <c r="J82" i="49"/>
  <c r="J81" i="489"/>
  <c r="J6" i="481"/>
  <c r="G20" i="481" s="1"/>
  <c r="J20" i="481" s="1"/>
  <c r="I40" i="47"/>
  <c r="L40" i="47" s="1"/>
  <c r="J108" i="49" l="1"/>
  <c r="L107" i="489"/>
  <c r="L108" i="49"/>
  <c r="H207" i="442"/>
  <c r="L51" i="47"/>
  <c r="J89" i="7" s="1"/>
  <c r="M92" i="7" s="1"/>
  <c r="D84" i="435" s="1"/>
  <c r="L75" i="49"/>
  <c r="F55" i="441"/>
  <c r="F68" i="441" s="1"/>
  <c r="K68" i="441" s="1"/>
  <c r="J73" i="489"/>
  <c r="J74" i="49"/>
  <c r="J73" i="49"/>
  <c r="J72" i="489"/>
  <c r="L66" i="489"/>
  <c r="H67" i="49"/>
  <c r="H66" i="489"/>
  <c r="L64" i="49"/>
  <c r="L66" i="49"/>
  <c r="L67" i="489"/>
  <c r="L63" i="489"/>
  <c r="L64" i="489"/>
  <c r="L65" i="49"/>
  <c r="L65" i="489"/>
  <c r="L67" i="49"/>
  <c r="L68" i="49"/>
  <c r="L74" i="49"/>
  <c r="L73" i="489"/>
  <c r="H73" i="489"/>
  <c r="H74" i="49"/>
  <c r="L72" i="489"/>
  <c r="H73" i="49"/>
  <c r="L71" i="489"/>
  <c r="L70" i="49"/>
  <c r="L71" i="49"/>
  <c r="L69" i="489"/>
  <c r="G69" i="49"/>
  <c r="G68" i="489"/>
  <c r="L73" i="49"/>
  <c r="H72" i="489"/>
  <c r="L72" i="49"/>
  <c r="L74" i="489"/>
  <c r="L68" i="489"/>
  <c r="L69" i="49"/>
  <c r="L70" i="489"/>
  <c r="D44" i="435"/>
  <c r="H75" i="382"/>
  <c r="M6" i="481"/>
  <c r="E14" i="482"/>
  <c r="G9" i="481"/>
  <c r="J12" i="481" s="1"/>
  <c r="K32" i="441"/>
  <c r="G49" i="481"/>
  <c r="E22" i="482"/>
  <c r="G23" i="481"/>
  <c r="M20" i="481"/>
  <c r="G22" i="482" s="1"/>
  <c r="K72" i="441" l="1"/>
  <c r="J8" i="7" s="1"/>
  <c r="M30" i="7" s="1"/>
  <c r="K207" i="442"/>
  <c r="G37" i="454" s="1"/>
  <c r="I34" i="435" s="1"/>
  <c r="I33" i="435"/>
  <c r="D15" i="362"/>
  <c r="D65" i="435"/>
  <c r="M5" i="7"/>
  <c r="J67" i="49"/>
  <c r="J66" i="489"/>
  <c r="G14" i="482"/>
  <c r="G28" i="482" s="1"/>
  <c r="E28" i="482"/>
  <c r="G61" i="481"/>
  <c r="G52" i="481"/>
  <c r="G55" i="481"/>
  <c r="E13" i="482"/>
  <c r="M12" i="481"/>
  <c r="M15" i="481" s="1"/>
  <c r="G26" i="481"/>
  <c r="J26" i="481" s="1"/>
  <c r="J105" i="489"/>
  <c r="J106" i="49"/>
  <c r="L105" i="489"/>
  <c r="L106" i="49"/>
  <c r="I143" i="49" l="1"/>
  <c r="I141" i="489"/>
  <c r="J141" i="489"/>
  <c r="J143" i="49"/>
  <c r="D66" i="435"/>
  <c r="J92" i="49" s="1"/>
  <c r="M98" i="7"/>
  <c r="J90" i="49"/>
  <c r="J86" i="49"/>
  <c r="J88" i="489"/>
  <c r="J87" i="489"/>
  <c r="J88" i="49"/>
  <c r="J89" i="489"/>
  <c r="J87" i="49"/>
  <c r="J86" i="489"/>
  <c r="J85" i="489"/>
  <c r="J89" i="49"/>
  <c r="E21" i="482"/>
  <c r="E27" i="482" s="1"/>
  <c r="M26" i="481"/>
  <c r="E12" i="482"/>
  <c r="G13" i="482"/>
  <c r="J55" i="481"/>
  <c r="G29" i="481"/>
  <c r="J32" i="481" s="1"/>
  <c r="L91" i="489" l="1"/>
  <c r="J91" i="489"/>
  <c r="L92" i="49"/>
  <c r="M32" i="481"/>
  <c r="G20" i="482" s="1"/>
  <c r="E20" i="482"/>
  <c r="E23" i="482" s="1"/>
  <c r="G21" i="482"/>
  <c r="G27" i="482" s="1"/>
  <c r="E6" i="482"/>
  <c r="G58" i="481"/>
  <c r="M55" i="481"/>
  <c r="E15" i="482"/>
  <c r="G16" i="482" s="1"/>
  <c r="G30" i="482" s="1"/>
  <c r="G12" i="482"/>
  <c r="E26" i="482" l="1"/>
  <c r="M35" i="481"/>
  <c r="J61" i="481"/>
  <c r="G64" i="481" s="1"/>
  <c r="J67" i="481" s="1"/>
  <c r="E29" i="482"/>
  <c r="G15" i="482"/>
  <c r="G17" i="482" s="1"/>
  <c r="G26" i="482"/>
  <c r="G6" i="482"/>
  <c r="G23" i="482"/>
  <c r="G29" i="482" l="1"/>
  <c r="G31" i="482" s="1"/>
  <c r="M67" i="481"/>
  <c r="G4" i="482" s="1"/>
  <c r="E4" i="482"/>
  <c r="M61" i="481"/>
  <c r="E5" i="482"/>
  <c r="E8" i="482" l="1"/>
  <c r="G5" i="482"/>
  <c r="G8" i="482" s="1"/>
  <c r="M70" i="481"/>
  <c r="M73" i="481" s="1"/>
  <c r="M101" i="7" s="1"/>
  <c r="G35" i="482" l="1"/>
  <c r="H43" i="426" s="1"/>
  <c r="G33" i="482"/>
  <c r="I2" i="435"/>
  <c r="M104" i="7"/>
  <c r="I4" i="435" l="1"/>
  <c r="M127" i="7"/>
  <c r="F3" i="466"/>
  <c r="L106" i="489"/>
  <c r="J107" i="49"/>
  <c r="H3" i="466"/>
  <c r="I3" i="466"/>
  <c r="J3" i="466"/>
  <c r="J106" i="489"/>
  <c r="L3" i="466"/>
  <c r="K3" i="466"/>
  <c r="E3" i="466"/>
  <c r="L107" i="49"/>
  <c r="G3" i="466"/>
  <c r="B3" i="466" l="1"/>
  <c r="AU5" i="473" s="1"/>
  <c r="J111" i="49"/>
  <c r="J110" i="49"/>
  <c r="I13" i="435"/>
  <c r="M134" i="7"/>
  <c r="J5" i="454" s="1"/>
  <c r="L110" i="489"/>
  <c r="J109" i="49"/>
  <c r="J109" i="489"/>
  <c r="L112" i="49"/>
  <c r="J108" i="489"/>
  <c r="L111" i="49" l="1"/>
  <c r="L115" i="49"/>
  <c r="B132" i="424"/>
  <c r="L108" i="489"/>
  <c r="L110" i="49"/>
  <c r="L109" i="49"/>
  <c r="I17" i="435"/>
  <c r="J22" i="454"/>
  <c r="J43" i="454" s="1"/>
  <c r="D4" i="362"/>
  <c r="L117" i="489"/>
  <c r="L120" i="49"/>
  <c r="J120" i="49"/>
  <c r="L114" i="489"/>
  <c r="J118" i="489"/>
  <c r="L114" i="49"/>
  <c r="L118" i="49"/>
  <c r="L118" i="489"/>
  <c r="L113" i="489"/>
  <c r="L112" i="489"/>
  <c r="L117" i="49"/>
  <c r="L116" i="489"/>
  <c r="L111" i="489"/>
  <c r="L115" i="489"/>
  <c r="L116" i="49"/>
  <c r="L119" i="49"/>
  <c r="L119" i="489"/>
  <c r="L121" i="49"/>
  <c r="L113" i="49"/>
  <c r="L109" i="489"/>
  <c r="J55" i="454" l="1"/>
  <c r="I38" i="435"/>
  <c r="J123" i="489"/>
  <c r="J124" i="49"/>
  <c r="J122" i="489"/>
  <c r="J125" i="49"/>
  <c r="L196" i="49" l="1"/>
  <c r="L190" i="489"/>
  <c r="L191" i="489"/>
  <c r="L171" i="489"/>
  <c r="L170" i="489"/>
  <c r="L175" i="49"/>
  <c r="L194" i="49"/>
  <c r="L173" i="49"/>
  <c r="L197" i="489"/>
  <c r="J149" i="49"/>
  <c r="L196" i="489"/>
  <c r="L174" i="49"/>
  <c r="L192" i="49"/>
  <c r="J145" i="489"/>
  <c r="L202" i="49"/>
  <c r="J150" i="49"/>
  <c r="J148" i="49"/>
  <c r="J148" i="489"/>
  <c r="J147" i="489"/>
  <c r="L201" i="49"/>
  <c r="L193" i="49"/>
  <c r="L176" i="49"/>
  <c r="J146" i="489"/>
  <c r="J147" i="49"/>
  <c r="L195" i="489"/>
  <c r="L200" i="49"/>
  <c r="L172" i="49"/>
  <c r="L195" i="49"/>
  <c r="J62" i="454"/>
  <c r="I57" i="435"/>
  <c r="C193" i="489" l="1"/>
  <c r="C194" i="489"/>
  <c r="C199" i="49"/>
  <c r="C198" i="49"/>
  <c r="C5" i="390"/>
  <c r="I56" i="435"/>
  <c r="C8" i="390"/>
  <c r="J81" i="454"/>
  <c r="BJ4" i="473"/>
  <c r="BJ5" i="473"/>
  <c r="I75" i="435"/>
  <c r="J173" i="489"/>
  <c r="J170" i="489"/>
  <c r="J172" i="49"/>
  <c r="J174" i="49"/>
  <c r="J173" i="49"/>
  <c r="J174" i="489"/>
  <c r="J172" i="489"/>
  <c r="J176" i="49"/>
  <c r="J171" i="489"/>
  <c r="J175" i="49"/>
  <c r="I78" i="435" l="1"/>
  <c r="I19" i="32"/>
  <c r="J171" i="49"/>
  <c r="J169" i="489"/>
  <c r="J195" i="49"/>
  <c r="J190" i="489"/>
  <c r="J194" i="49"/>
  <c r="J191" i="489"/>
  <c r="J192" i="49"/>
  <c r="J193" i="49"/>
  <c r="J196" i="49"/>
  <c r="I27" i="32" l="1"/>
  <c r="I32" i="32" s="1"/>
  <c r="L87" i="489"/>
  <c r="J201" i="49"/>
  <c r="J200" i="49"/>
  <c r="L87" i="49"/>
  <c r="L88" i="49"/>
  <c r="J202" i="49"/>
  <c r="L89" i="49"/>
  <c r="L86" i="489"/>
  <c r="J197" i="489"/>
  <c r="L88" i="489"/>
  <c r="J195" i="489"/>
  <c r="L86" i="49"/>
  <c r="J196" i="489"/>
  <c r="L85" i="489"/>
  <c r="I36" i="32" l="1"/>
  <c r="I39" i="32" s="1"/>
  <c r="I42" i="32"/>
  <c r="I58" i="32" l="1"/>
  <c r="I48" i="32"/>
  <c r="I51" i="32" s="1"/>
  <c r="I61" i="32"/>
  <c r="I71" i="32" l="1"/>
  <c r="I75" i="32" s="1"/>
</calcChain>
</file>

<file path=xl/comments1.xml><?xml version="1.0" encoding="utf-8"?>
<comments xmlns="http://schemas.openxmlformats.org/spreadsheetml/2006/main">
  <authors>
    <author>aks</author>
    <author>Keith Graham</author>
  </authors>
  <commentList>
    <comment ref="AD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2"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3"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D8" authorId="1" shapeId="0">
      <text>
        <r>
          <rPr>
            <b/>
            <sz val="9"/>
            <color indexed="81"/>
            <rFont val="Tahoma"/>
            <family val="2"/>
          </rPr>
          <t>1 = rUK; 2 = STp</t>
        </r>
      </text>
    </comment>
    <comment ref="AD10"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19"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30"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37"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43"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53"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59"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AD65"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D68" authorId="1" shapeId="0">
      <text>
        <r>
          <rPr>
            <b/>
            <sz val="9"/>
            <color indexed="81"/>
            <rFont val="Tahoma"/>
            <family val="2"/>
          </rPr>
          <t>a) must be a valid date DDMMYYYY
b) must be within the return year
c) if present CBC1 &amp; CBC2 must be present</t>
        </r>
      </text>
    </comment>
    <comment ref="AD70"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2.xml><?xml version="1.0" encoding="utf-8"?>
<comments xmlns="http://schemas.openxmlformats.org/spreadsheetml/2006/main">
  <authors>
    <author>aks</author>
    <author>Keith Graham</author>
  </authors>
  <commentList>
    <comment ref="V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V2"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V25"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E57" authorId="1" shapeId="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authors>
    <author>aks</author>
    <author>Keith Graham</author>
  </authors>
  <commentList>
    <comment ref="T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T2"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D122" authorId="1" shapeId="0">
      <text>
        <r>
          <rPr>
            <b/>
            <sz val="9"/>
            <color indexed="81"/>
            <rFont val="Tahoma"/>
            <family val="2"/>
          </rPr>
          <t>If present, must be less than or equal to FSE77.
 If FSE10 = 'Y' then FSE78 must be zero or absent.</t>
        </r>
      </text>
    </comment>
    <comment ref="T149"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authors>
    <author>aks</author>
  </authors>
  <commentList>
    <comment ref="P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P2"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ref="P36"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authors>
    <author>aks</author>
  </authors>
  <commentList>
    <comment ref="R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6.xml><?xml version="1.0" encoding="utf-8"?>
<comments xmlns="http://schemas.openxmlformats.org/spreadsheetml/2006/main">
  <authors>
    <author>Keith Graham</author>
  </authors>
  <commentList>
    <comment ref="C4" authorId="0" shapeId="0">
      <text>
        <r>
          <rPr>
            <b/>
            <sz val="9"/>
            <color indexed="81"/>
            <rFont val="Tahoma"/>
            <family val="2"/>
          </rPr>
          <t>Column A, Row 1</t>
        </r>
      </text>
    </comment>
    <comment ref="C10" authorId="0" shapeId="0">
      <text>
        <r>
          <rPr>
            <b/>
            <sz val="9"/>
            <color indexed="81"/>
            <rFont val="Tahoma"/>
            <family val="2"/>
          </rPr>
          <t>Column A, Row 2</t>
        </r>
      </text>
    </comment>
    <comment ref="C16" authorId="0" shapeId="0">
      <text>
        <r>
          <rPr>
            <b/>
            <sz val="9"/>
            <color indexed="81"/>
            <rFont val="Tahoma"/>
            <family val="2"/>
          </rPr>
          <t>Column D Total</t>
        </r>
      </text>
    </comment>
    <comment ref="C17" authorId="0" shapeId="0">
      <text>
        <r>
          <rPr>
            <b/>
            <sz val="9"/>
            <color indexed="81"/>
            <rFont val="Tahoma"/>
            <family val="2"/>
          </rPr>
          <t>Column F Total</t>
        </r>
      </text>
    </comment>
  </commentList>
</comments>
</file>

<file path=xl/comments7.xml><?xml version="1.0" encoding="utf-8"?>
<comments xmlns="http://schemas.openxmlformats.org/spreadsheetml/2006/main">
  <authors>
    <author>aks</author>
  </authors>
  <commentList>
    <comment ref="O1" authorId="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8.xml><?xml version="1.0" encoding="utf-8"?>
<comments xmlns="http://schemas.openxmlformats.org/spreadsheetml/2006/main">
  <authors>
    <author>aks</author>
    <author>Keith Graham</author>
  </authors>
  <commentList>
    <comment ref="V1" authorId="0" shapeId="0">
      <text>
        <r>
          <rPr>
            <sz val="8"/>
            <color indexed="81"/>
            <rFont val="Tahoma"/>
            <family val="2"/>
          </rPr>
          <t>The "Value validation" column is used to constrain the value of the current item.
For more detailed help, press the "Syntax Help" button.</t>
        </r>
      </text>
    </comment>
    <comment ref="V2" authorId="0" shapeId="0">
      <text>
        <r>
          <rPr>
            <sz val="8"/>
            <color indexed="81"/>
            <rFont val="Tahoma"/>
            <family val="2"/>
          </rPr>
          <t>The "Value validation" column is used to constrain the value of the current item.
For more detailed help, press the "Syntax Help" button.</t>
        </r>
      </text>
    </comment>
    <comment ref="T36" authorId="1" shapeId="0">
      <text>
        <r>
          <rPr>
            <b/>
            <sz val="8"/>
            <color indexed="81"/>
            <rFont val="Tahoma"/>
            <family val="2"/>
          </rPr>
          <t>not in JAR</t>
        </r>
      </text>
    </comment>
    <comment ref="D86" authorId="1" shapeId="0">
      <text>
        <r>
          <rPr>
            <b/>
            <sz val="9"/>
            <color indexed="81"/>
            <rFont val="Tahoma"/>
            <family val="2"/>
          </rPr>
          <t>If 'Y' NRD23 must be 'Y'</t>
        </r>
      </text>
    </comment>
    <comment ref="D89" authorId="1" shapeId="0">
      <text>
        <r>
          <rPr>
            <b/>
            <sz val="9"/>
            <color indexed="81"/>
            <rFont val="Tahoma"/>
            <family val="2"/>
          </rPr>
          <t>a) If present NRD23 must be present 
b) If present NRD26 must be absent</t>
        </r>
      </text>
    </comment>
    <comment ref="D90" authorId="1" shapeId="0">
      <text>
        <r>
          <rPr>
            <b/>
            <sz val="9"/>
            <color indexed="81"/>
            <rFont val="Tahoma"/>
            <family val="2"/>
          </rPr>
          <t xml:space="preserve"> If present, NRD23 must be present</t>
        </r>
      </text>
    </comment>
    <comment ref="D97" authorId="1" shapeId="0">
      <text>
        <r>
          <rPr>
            <b/>
            <sz val="9"/>
            <color indexed="81"/>
            <rFont val="Tahoma"/>
            <family val="2"/>
          </rPr>
          <t>If NRD28 = 'Y' and (NRD30 = 'Y' or NRD31 = 'Y' or NRD32 = 'Y') and NRD29 = 'N' and NRD33 = 'N' then
NRD34 + NRD35 must be greater than zero.</t>
        </r>
      </text>
    </comment>
  </commentList>
</comments>
</file>

<file path=xl/comments9.xml><?xml version="1.0" encoding="utf-8"?>
<comments xmlns="http://schemas.openxmlformats.org/spreadsheetml/2006/main">
  <authors>
    <author>Keith Graham</author>
  </authors>
  <commentList>
    <comment ref="C7" authorId="0" shapeId="0">
      <text>
        <r>
          <rPr>
            <b/>
            <sz val="9"/>
            <color indexed="81"/>
            <rFont val="Tahoma"/>
            <family val="2"/>
          </rPr>
          <t>Pseudo Box - not on paper SA Return</t>
        </r>
      </text>
    </comment>
  </commentList>
</comments>
</file>

<file path=xl/comments10.xml><?xml version="1.0" encoding="utf-8"?>
<comments xmlns="http://schemas.openxmlformats.org/spreadsheetml/2006/main">
  <authors>
    <author>Keith Graham</author>
  </authors>
  <commentList>
    <comment ref="C13" authorId="0" shapeId="0">
      <text>
        <r>
          <rPr>
            <b/>
            <sz val="9"/>
            <color indexed="81"/>
            <rFont val="Tahoma"/>
            <family val="2"/>
          </rPr>
          <t>Pseudo Box not on paper SA Return</t>
        </r>
      </text>
    </comment>
    <comment ref="C27" authorId="0" shapeId="0">
      <text>
        <r>
          <rPr>
            <b/>
            <sz val="9"/>
            <color indexed="81"/>
            <rFont val="Tahoma"/>
            <family val="2"/>
          </rPr>
          <t>Pseudo Box not on paper SA Return</t>
        </r>
      </text>
    </comment>
    <comment ref="C33" authorId="0" shapeId="0">
      <text>
        <r>
          <rPr>
            <b/>
            <sz val="9"/>
            <color indexed="81"/>
            <rFont val="Tahoma"/>
            <family val="2"/>
          </rPr>
          <t>Pseudo Box not on paper SA Return</t>
        </r>
      </text>
    </comment>
    <comment ref="G33" authorId="0" shapeId="0">
      <text>
        <r>
          <rPr>
            <b/>
            <sz val="9"/>
            <color indexed="81"/>
            <rFont val="Tahoma"/>
            <family val="2"/>
          </rPr>
          <t>Pseudo Box not on paper SA Return</t>
        </r>
      </text>
    </comment>
  </commentList>
</comments>
</file>

<file path=xl/comments11.xml><?xml version="1.0" encoding="utf-8"?>
<comments xmlns="http://schemas.openxmlformats.org/spreadsheetml/2006/main">
  <authors>
    <author>4452569</author>
    <author>Keith Graham</author>
  </authors>
  <commentList>
    <comment ref="AB1" authorId="0" shapeId="0">
      <text>
        <r>
          <rPr>
            <b/>
            <sz val="8"/>
            <color indexed="81"/>
            <rFont val="Tahoma"/>
            <family val="2"/>
          </rPr>
          <t>S = There is a ‘subject to tax’ condition</t>
        </r>
      </text>
    </comment>
    <comment ref="AC1" authorId="0" shapeId="0">
      <text>
        <r>
          <rPr>
            <b/>
            <sz val="8"/>
            <color indexed="81"/>
            <rFont val="Tahoma"/>
            <family val="2"/>
          </rPr>
          <t>S = There is a ‘subject to tax’ condition</t>
        </r>
      </text>
    </comment>
    <comment ref="AD1" authorId="0" shapeId="0">
      <text>
        <r>
          <rPr>
            <b/>
            <sz val="8"/>
            <color indexed="81"/>
            <rFont val="Tahoma"/>
            <family val="2"/>
          </rPr>
          <t>S = There is a ‘subject to tax’ condition</t>
        </r>
      </text>
    </comment>
    <comment ref="M8" authorId="0" shapeId="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ref="E9" authorId="1" shapeId="0">
      <text>
        <r>
          <rPr>
            <b/>
            <sz val="9"/>
            <color indexed="81"/>
            <rFont val="Tahoma"/>
            <family val="2"/>
          </rPr>
          <t>Optional - for use with 'Savings and gains' and 'Dividends that qualify for UK tax credits'</t>
        </r>
      </text>
    </comment>
    <comment ref="K11" authorId="0" shapeId="0">
      <text>
        <r>
          <rPr>
            <b/>
            <sz val="8"/>
            <color indexed="81"/>
            <rFont val="Tahoma"/>
            <family val="2"/>
          </rPr>
          <t>(S) = There is a ‘subject to tax’ condition. Check what that is before proceeding.</t>
        </r>
      </text>
    </comment>
    <comment ref="K15" authorId="0" shapeId="0">
      <text>
        <r>
          <rPr>
            <b/>
            <sz val="8"/>
            <color indexed="81"/>
            <rFont val="Tahoma"/>
            <family val="2"/>
          </rPr>
          <t>(S) = There is a ‘subject to tax’ condition. Check what that is before proceeding.</t>
        </r>
      </text>
    </comment>
    <comment ref="K19" authorId="0" shapeId="0">
      <text>
        <r>
          <rPr>
            <b/>
            <sz val="8"/>
            <color indexed="81"/>
            <rFont val="Tahoma"/>
            <family val="2"/>
          </rPr>
          <t>(S) = There is a ‘subject to tax’ condition. Check what that is before proceeding.</t>
        </r>
      </text>
    </comment>
    <comment ref="K23" authorId="0" shapeId="0">
      <text>
        <r>
          <rPr>
            <b/>
            <sz val="8"/>
            <color indexed="81"/>
            <rFont val="Tahoma"/>
            <family val="2"/>
          </rPr>
          <t>(S) = There is a ‘subject to tax’ condition. Check what that is before proceeding.</t>
        </r>
      </text>
    </comment>
    <comment ref="K27" authorId="0" shapeId="0">
      <text>
        <r>
          <rPr>
            <b/>
            <sz val="8"/>
            <color indexed="81"/>
            <rFont val="Tahoma"/>
            <family val="2"/>
          </rPr>
          <t>(S) = There is a ‘subject to tax’ condition. Check what that is before proceeding.</t>
        </r>
      </text>
    </comment>
    <comment ref="K31" authorId="0" shapeId="0">
      <text>
        <r>
          <rPr>
            <b/>
            <sz val="8"/>
            <color indexed="81"/>
            <rFont val="Tahoma"/>
            <family val="2"/>
          </rPr>
          <t>(S) = There is a ‘subject to tax’ condition. Check what that is before proceeding.</t>
        </r>
      </text>
    </comment>
    <comment ref="K35" authorId="0" shapeId="0">
      <text>
        <r>
          <rPr>
            <b/>
            <sz val="8"/>
            <color indexed="81"/>
            <rFont val="Tahoma"/>
            <family val="2"/>
          </rPr>
          <t>(S) = There is a ‘subject to tax’ condition. Check what that is before proceeding.</t>
        </r>
      </text>
    </comment>
    <comment ref="K39" authorId="0" shapeId="0">
      <text>
        <r>
          <rPr>
            <b/>
            <sz val="8"/>
            <color indexed="81"/>
            <rFont val="Tahoma"/>
            <family val="2"/>
          </rPr>
          <t>(S) = There is a ‘subject to tax’ condition. Check what that is before proceeding.</t>
        </r>
      </text>
    </comment>
    <comment ref="K43" authorId="0" shapeId="0">
      <text>
        <r>
          <rPr>
            <b/>
            <sz val="8"/>
            <color indexed="81"/>
            <rFont val="Tahoma"/>
            <family val="2"/>
          </rPr>
          <t>(S) = There is a ‘subject to tax’ condition. Check what that is before proceeding.</t>
        </r>
      </text>
    </comment>
    <comment ref="K47" authorId="0" shapeId="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<sst xmlns="http://schemas.openxmlformats.org/spreadsheetml/2006/main" count="21692" uniqueCount="8537">
  <si>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</si>
  <si>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</si>
  <si>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</si>
  <si>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</si>
  <si>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</si>
  <si>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</si>
  <si>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</si>
  <si>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</si>
  <si>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</si>
  <si>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</si>
  <si>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</si>
  <si>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</si>
  <si>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</si>
  <si>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</si>
  <si>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</si>
  <si>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</si>
  <si>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</si>
  <si>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</si>
  <si>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</si>
  <si>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Annual allowance charge and unauthorised payment charge (@40% and 55%) income over  £100000 reduced PA</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</si>
  <si>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</si>
  <si>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</si>
  <si>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</si>
  <si>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</si>
  <si>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</si>
  <si>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</si>
  <si>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</si>
  <si>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</si>
  <si>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</si>
  <si>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</si>
  <si>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</si>
  <si>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</si>
  <si>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</si>
  <si>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</si>
  <si>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</si>
  <si>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</si>
  <si>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</si>
  <si>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</si>
  <si>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</si>
  <si>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</si>
  <si>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</si>
  <si>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Employment with Small Debt coded and PAYE tax to cover (STR 18)</t>
  </si>
  <si>
    <t>60</t>
  </si>
  <si>
    <t>19</t>
  </si>
  <si>
    <t>61</t>
  </si>
  <si>
    <t>20</t>
  </si>
  <si>
    <t>62</t>
  </si>
  <si>
    <t>21</t>
  </si>
  <si>
    <t>63</t>
  </si>
  <si>
    <t>22</t>
  </si>
  <si>
    <t>64</t>
  </si>
  <si>
    <t>23</t>
  </si>
  <si>
    <t>Excess taken as pension</t>
  </si>
  <si>
    <t>Excess taken as lump sum</t>
  </si>
  <si>
    <t>Crewe</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</si>
  <si>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</si>
  <si>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</si>
  <si>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</si>
  <si>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</si>
  <si>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</si>
  <si>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</si>
  <si>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</si>
  <si>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</si>
  <si>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</si>
  <si>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</si>
  <si>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</si>
  <si>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</si>
  <si>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</si>
  <si>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</si>
  <si>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</si>
  <si>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</si>
  <si>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L40</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</si>
  <si>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</si>
  <si>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</si>
  <si>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</si>
  <si>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</si>
  <si>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</si>
  <si>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</si>
  <si>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</si>
  <si>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</si>
  <si>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</si>
  <si>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</si>
  <si>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</si>
  <si>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</si>
  <si>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</si>
  <si>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</si>
  <si>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</si>
  <si>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</si>
  <si>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</si>
  <si>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</si>
  <si>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</si>
  <si>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</si>
  <si>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</si>
  <si>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</si>
  <si>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</si>
  <si>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</si>
  <si>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</si>
  <si>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</si>
  <si>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</si>
  <si>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</si>
  <si>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</si>
  <si>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</si>
  <si>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</si>
  <si>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</si>
  <si>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</si>
  <si>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</si>
  <si>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</si>
  <si>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</si>
  <si>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</si>
  <si>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</si>
  <si>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</si>
  <si>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</si>
  <si>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</si>
  <si>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</si>
  <si>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</si>
  <si>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</si>
  <si>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Item 9 type</t>
  </si>
  <si>
    <t>Item 9 % max</t>
  </si>
  <si>
    <t>Item 9 Income</t>
  </si>
  <si>
    <t>Item 9 tax</t>
  </si>
  <si>
    <t>Item 10 type</t>
  </si>
  <si>
    <t>Item 10 % max</t>
  </si>
  <si>
    <t>Item 10 Income</t>
  </si>
  <si>
    <t>Item 10 tax</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</si>
  <si>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</si>
  <si>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</si>
  <si>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</si>
  <si>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</si>
  <si>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</si>
  <si>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</si>
  <si>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</si>
  <si>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</si>
  <si>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</si>
  <si>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</si>
  <si>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</si>
  <si>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</si>
  <si>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</si>
  <si>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</si>
  <si>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</si>
  <si>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</si>
  <si>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</si>
  <si>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</si>
  <si>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</si>
  <si>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</si>
  <si>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</si>
  <si>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</si>
  <si>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</si>
  <si>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</si>
  <si>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</si>
  <si>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</si>
  <si>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</si>
  <si>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</si>
  <si>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</si>
  <si>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</si>
  <si>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</si>
  <si>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</si>
  <si>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</si>
  <si>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</si>
  <si>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</si>
  <si>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</si>
  <si>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</si>
  <si>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</si>
  <si>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</si>
  <si>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</si>
  <si>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</si>
  <si>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</si>
  <si>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</si>
  <si>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</si>
  <si>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</si>
  <si>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</si>
  <si>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</si>
  <si>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</si>
  <si>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</si>
  <si>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</si>
  <si>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</si>
  <si>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</si>
  <si>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</si>
  <si>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</si>
  <si>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</si>
  <si>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</si>
  <si>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</si>
  <si>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</si>
  <si>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</si>
  <si>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</si>
  <si>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</si>
  <si>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</si>
  <si>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</si>
  <si>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</si>
  <si>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</si>
  <si>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</si>
  <si>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</si>
  <si>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</si>
  <si>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</si>
  <si>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</si>
  <si>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</si>
  <si>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</si>
  <si>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</si>
  <si>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</si>
  <si>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</si>
  <si>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</si>
  <si>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</si>
  <si>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</si>
  <si>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</si>
  <si>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</si>
  <si>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</si>
  <si>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</si>
  <si>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</si>
  <si>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</si>
  <si>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</si>
  <si>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</si>
  <si>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</si>
  <si>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</si>
  <si>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</si>
  <si>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</si>
  <si>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</si>
  <si>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</si>
  <si>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</si>
  <si>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</si>
  <si>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</si>
  <si>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</si>
  <si>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</si>
  <si>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</si>
  <si>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</si>
  <si>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</si>
  <si>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</si>
  <si>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</si>
  <si>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</si>
  <si>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</si>
  <si>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</si>
  <si>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</si>
  <si>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</si>
  <si>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</si>
  <si>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</si>
  <si>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</si>
  <si>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</si>
  <si>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</si>
  <si>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</si>
  <si>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</si>
  <si>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</si>
  <si>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</si>
  <si>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</si>
  <si>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</si>
  <si>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</si>
  <si>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</si>
  <si>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</si>
  <si>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</si>
  <si>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</si>
  <si>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</si>
  <si>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</si>
  <si>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</si>
  <si>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</si>
  <si>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</si>
  <si>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</si>
  <si>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</si>
  <si>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</si>
  <si>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</si>
  <si>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</si>
  <si>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</si>
  <si>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</si>
  <si>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</si>
  <si>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</si>
  <si>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</si>
  <si>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</si>
  <si>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</si>
  <si>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</si>
  <si>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</si>
  <si>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</si>
  <si>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</si>
  <si>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</si>
  <si>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</si>
  <si>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</si>
  <si>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</si>
  <si>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</si>
  <si>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</si>
  <si>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</si>
  <si>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</si>
  <si>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</si>
  <si>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</si>
  <si>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</si>
  <si>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</si>
  <si>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</si>
  <si>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</si>
  <si>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</si>
  <si>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</si>
  <si>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</si>
  <si>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</si>
  <si>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</si>
  <si>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</si>
  <si>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</si>
  <si>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</si>
  <si>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</si>
  <si>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</si>
  <si>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</si>
  <si>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</si>
  <si>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</si>
  <si>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</si>
  <si>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</si>
  <si>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</si>
  <si>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</si>
  <si>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</si>
  <si>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</si>
  <si>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</si>
  <si>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</si>
  <si>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</si>
  <si>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</si>
  <si>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</si>
  <si>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</si>
  <si>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</si>
  <si>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</si>
  <si>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</si>
  <si>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</si>
  <si>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</si>
  <si>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</si>
  <si>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</si>
  <si>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</si>
  <si>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</si>
  <si>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</si>
  <si>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</si>
  <si>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</si>
  <si>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</si>
  <si>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</si>
  <si>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</si>
  <si>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</si>
  <si>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</si>
  <si>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</si>
  <si>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</si>
  <si>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</si>
  <si>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</si>
  <si>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</si>
  <si>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</si>
  <si>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</si>
  <si>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</si>
  <si>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</si>
  <si>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</si>
  <si>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</si>
  <si>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</si>
  <si>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</si>
  <si>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</si>
  <si>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</si>
  <si>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</si>
  <si>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</si>
  <si>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</si>
  <si>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</si>
  <si>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</si>
  <si>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</si>
  <si>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</si>
  <si>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</si>
  <si>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</si>
  <si>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</si>
  <si>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</si>
  <si>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</si>
  <si>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</si>
  <si>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</si>
  <si>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</si>
  <si>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</si>
  <si>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</si>
  <si>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</si>
  <si>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</si>
  <si>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</si>
  <si>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</si>
  <si>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</si>
  <si>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</si>
  <si>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</si>
  <si>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</si>
  <si>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</si>
  <si>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</si>
  <si>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</si>
  <si>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</si>
  <si>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</si>
  <si>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</si>
  <si>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</si>
  <si>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</si>
  <si>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</si>
  <si>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</si>
  <si>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</si>
  <si>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</si>
  <si>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</si>
  <si>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</si>
  <si>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</si>
  <si>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</si>
  <si>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</si>
  <si>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</si>
  <si>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</si>
  <si>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</si>
  <si>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</si>
  <si>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</si>
  <si>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</si>
  <si>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</si>
  <si>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</si>
  <si>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</si>
  <si>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</si>
  <si>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</si>
  <si>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</si>
  <si>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</si>
  <si>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</si>
  <si>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</si>
  <si>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</si>
  <si>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</si>
  <si>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</si>
  <si>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</si>
  <si>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</si>
  <si>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</si>
  <si>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</si>
  <si>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</si>
  <si>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</si>
  <si>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</si>
  <si>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</si>
  <si>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</si>
  <si>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</si>
  <si>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</si>
  <si>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</si>
  <si>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</si>
  <si>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</si>
  <si>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</si>
  <si>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</si>
  <si>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</si>
  <si>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</si>
  <si>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</si>
  <si>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</si>
  <si>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</si>
  <si>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</si>
  <si>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</si>
  <si>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</si>
  <si>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</si>
  <si>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</si>
  <si>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</si>
  <si>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</si>
  <si>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</si>
  <si>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</si>
  <si>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</si>
  <si>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</si>
  <si>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</si>
  <si>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</si>
  <si>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</si>
  <si>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</si>
  <si>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</si>
  <si>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</si>
  <si>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</si>
  <si>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</si>
  <si>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</si>
  <si>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</si>
  <si>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</si>
  <si>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</si>
  <si>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</si>
  <si>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</si>
  <si>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</si>
  <si>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</si>
  <si>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</si>
  <si>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</si>
  <si>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</si>
  <si>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</si>
  <si>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</si>
  <si>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</si>
  <si>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</si>
  <si>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</si>
  <si>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</si>
  <si>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</si>
  <si>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</si>
  <si>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</si>
  <si>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</si>
  <si>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</si>
  <si>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</si>
  <si>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</si>
  <si>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</si>
  <si>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</si>
  <si>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</si>
  <si>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</si>
  <si>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</si>
  <si>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</si>
  <si>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</si>
  <si>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</si>
  <si>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</si>
  <si>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</si>
  <si>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</si>
  <si>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</si>
  <si>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</si>
  <si>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</si>
  <si>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</si>
  <si>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</si>
  <si>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</si>
  <si>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</si>
  <si>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</si>
  <si>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</si>
  <si>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</si>
  <si>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</si>
  <si>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</si>
  <si>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</si>
  <si>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</si>
  <si>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</si>
  <si>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</si>
  <si>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</si>
  <si>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</si>
  <si>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</si>
  <si>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</si>
  <si>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</si>
  <si>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</si>
  <si>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</si>
  <si>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</si>
  <si>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</si>
  <si>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</si>
  <si>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</si>
  <si>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</si>
  <si>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</si>
  <si>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</si>
  <si>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</si>
  <si>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</si>
  <si>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</si>
  <si>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</si>
  <si>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</si>
  <si>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</si>
  <si>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</si>
  <si>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</si>
  <si>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</si>
  <si>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</si>
  <si>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</si>
  <si>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</si>
  <si>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</si>
  <si>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</si>
  <si>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</si>
  <si>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</si>
  <si>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</si>
  <si>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</si>
  <si>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</si>
  <si>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</si>
  <si>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</si>
  <si>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</si>
  <si>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</si>
  <si>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</si>
  <si>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</si>
  <si>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</si>
  <si>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</si>
  <si>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</si>
  <si>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</si>
  <si>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</si>
  <si>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</si>
  <si>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</si>
  <si>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</si>
  <si>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</si>
  <si>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</si>
  <si>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</si>
  <si>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</si>
  <si>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</si>
  <si>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</si>
  <si>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</si>
  <si>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</si>
  <si>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</si>
  <si>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</si>
  <si>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</si>
  <si>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</si>
  <si>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</si>
  <si>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</si>
  <si>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</si>
  <si>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</si>
  <si>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</si>
  <si>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</si>
  <si>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</si>
  <si>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</si>
  <si>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</si>
  <si>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</si>
  <si>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 xml:space="preserve"> income etc. </t>
  </si>
  <si>
    <t>@ 10%</t>
  </si>
  <si>
    <t>@ 40%</t>
  </si>
  <si>
    <t>@ 20%</t>
  </si>
  <si>
    <t>@ 32.5%</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</si>
  <si>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</si>
  <si>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</si>
  <si>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</si>
  <si>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</si>
  <si>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</si>
  <si>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</si>
  <si>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</si>
  <si>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</si>
  <si>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</si>
  <si>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</si>
  <si>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</si>
  <si>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</si>
  <si>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</si>
  <si>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</si>
  <si>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</si>
  <si>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</si>
  <si>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</si>
  <si>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</si>
  <si>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</si>
  <si>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</si>
  <si>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</si>
  <si>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</si>
  <si>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</si>
  <si>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</si>
  <si>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</si>
  <si>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</si>
  <si>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</si>
  <si>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</si>
  <si>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</si>
  <si>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</si>
  <si>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</si>
  <si>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</si>
  <si>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</si>
  <si>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</si>
  <si>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</si>
  <si>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</si>
  <si>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</si>
  <si>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</si>
  <si>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</si>
  <si>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</si>
  <si>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</si>
  <si>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</si>
  <si>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</si>
  <si>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</si>
  <si>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</si>
  <si>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</si>
  <si>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</si>
  <si>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</si>
  <si>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</si>
  <si>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</si>
  <si>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</si>
  <si>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</si>
  <si>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</si>
  <si>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</si>
  <si>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</si>
  <si>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 xml:space="preserve">Test for SSE20 ,Balance Basic rate to  Gains fro 23/6 </t>
  </si>
  <si>
    <t xml:space="preserve"> Profit from UK Land &amp; Property</t>
  </si>
  <si>
    <t>Basic rate band</t>
  </si>
  <si>
    <t>Lloyds AHR</t>
  </si>
  <si>
    <t>NIC_supp_rate</t>
  </si>
  <si>
    <t>SR_rate</t>
  </si>
  <si>
    <t>BR_rate</t>
  </si>
  <si>
    <t>SR_band</t>
  </si>
  <si>
    <t>MCA</t>
  </si>
  <si>
    <t>Chargeable Event Gains</t>
  </si>
  <si>
    <t>L4</t>
  </si>
  <si>
    <t>L5</t>
  </si>
  <si>
    <t>L6</t>
  </si>
  <si>
    <t>L7</t>
  </si>
  <si>
    <t>L8</t>
  </si>
  <si>
    <t>L9</t>
  </si>
  <si>
    <t>L10</t>
  </si>
  <si>
    <t>L11</t>
  </si>
  <si>
    <t>L12</t>
  </si>
  <si>
    <t>L13</t>
  </si>
  <si>
    <t>L14</t>
  </si>
  <si>
    <t>TSR with lump sum</t>
  </si>
  <si>
    <t>CGT, CEG and PPR</t>
  </si>
  <si>
    <t xml:space="preserve">Each case is numbered and can be selected by inputting the case number in the box </t>
  </si>
  <si>
    <t xml:space="preserve">Trusts and Estates </t>
  </si>
  <si>
    <t>H17</t>
  </si>
  <si>
    <t>CGT with Deficiency Relief</t>
  </si>
  <si>
    <t>c2.13</t>
  </si>
  <si>
    <t>c2.17</t>
  </si>
  <si>
    <t>Enterprise Investment Scheme</t>
  </si>
  <si>
    <t>c6.39</t>
  </si>
  <si>
    <t>c14.12</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</si>
  <si>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</si>
  <si>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</si>
  <si>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</si>
  <si>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</si>
  <si>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</si>
  <si>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</si>
  <si>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</si>
  <si>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</si>
  <si>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</si>
  <si>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Multiple source losses with total exceeding £50k</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</si>
  <si>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</si>
  <si>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</si>
  <si>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</si>
  <si>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</si>
  <si>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</si>
  <si>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</si>
  <si>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</si>
  <si>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</si>
  <si>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</si>
  <si>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</si>
  <si>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</si>
  <si>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</si>
  <si>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</si>
  <si>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</si>
  <si>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</si>
  <si>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</si>
  <si>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</si>
  <si>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</si>
  <si>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</si>
  <si>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</si>
  <si>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</si>
  <si>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</si>
  <si>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</si>
  <si>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</si>
  <si>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</si>
  <si>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</si>
  <si>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</si>
  <si>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</si>
  <si>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</si>
  <si>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</si>
  <si>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</si>
  <si>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</si>
  <si>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</si>
  <si>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</si>
  <si>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</si>
  <si>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</si>
  <si>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</si>
  <si>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</si>
  <si>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</si>
  <si>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</si>
  <si>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</si>
  <si>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</si>
  <si>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</si>
  <si>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</si>
  <si>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</si>
  <si>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</si>
  <si>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</si>
  <si>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</si>
  <si>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</si>
  <si>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</si>
  <si>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Lifetime allowance charge -further tax due  (lump sum and pension amounts)</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</si>
  <si>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</si>
  <si>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</si>
  <si>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</si>
  <si>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</si>
  <si>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</si>
  <si>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</si>
  <si>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</si>
  <si>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</si>
  <si>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</si>
  <si>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</si>
  <si>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</si>
  <si>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</si>
  <si>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</si>
  <si>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c19.23</t>
  </si>
  <si>
    <t>c19.24</t>
  </si>
  <si>
    <t>c19.25</t>
  </si>
  <si>
    <t>c19.26</t>
  </si>
  <si>
    <t>c19.27</t>
  </si>
  <si>
    <t>c19.28</t>
  </si>
  <si>
    <t>c19.29</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</si>
  <si>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</si>
  <si>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</si>
  <si>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</si>
  <si>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</si>
  <si>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</si>
  <si>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</si>
  <si>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</si>
  <si>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</si>
  <si>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</si>
  <si>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</si>
  <si>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</si>
  <si>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</si>
  <si>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</si>
  <si>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</si>
  <si>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</si>
  <si>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</si>
  <si>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</si>
  <si>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</si>
  <si>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</si>
  <si>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</si>
  <si>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</si>
  <si>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</si>
  <si>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</si>
  <si>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</si>
  <si>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</si>
  <si>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</si>
  <si>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</si>
  <si>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</si>
  <si>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</si>
  <si>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</si>
  <si>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</si>
  <si>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</si>
  <si>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</si>
  <si>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</si>
  <si>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</si>
  <si>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</si>
  <si>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</si>
  <si>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</si>
  <si>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</si>
  <si>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</si>
  <si>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</si>
  <si>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</si>
  <si>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</si>
  <si>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</si>
  <si>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</si>
  <si>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</si>
  <si>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</si>
  <si>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</si>
  <si>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</si>
  <si>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</si>
  <si>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</si>
  <si>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</si>
  <si>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</si>
  <si>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</si>
  <si>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</si>
  <si>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</si>
  <si>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</si>
  <si>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</si>
  <si>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</si>
  <si>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</si>
  <si>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</si>
  <si>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Share of BPRA</t>
  </si>
  <si>
    <t>D35</t>
  </si>
  <si>
    <t>Benefits and expenses received</t>
  </si>
  <si>
    <t>c8.20</t>
  </si>
  <si>
    <t>c8.21</t>
  </si>
  <si>
    <t>c8.22</t>
  </si>
  <si>
    <t>Total taxable income where not resident in the UK, ‘Annual Allowance Charge’ &amp; income potentially excluded from  tax calc under s128 FA 1995 for Annual Allowance Charge</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</si>
  <si>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</si>
  <si>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</si>
  <si>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</si>
  <si>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</si>
  <si>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</si>
  <si>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</si>
  <si>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</si>
  <si>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</si>
  <si>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</si>
  <si>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</si>
  <si>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</si>
  <si>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</si>
  <si>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</si>
  <si>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</si>
  <si>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</si>
  <si>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</si>
  <si>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</si>
  <si>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</si>
  <si>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</si>
  <si>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</si>
  <si>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</si>
  <si>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</si>
  <si>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</si>
  <si>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</si>
  <si>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</si>
  <si>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</si>
  <si>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</si>
  <si>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</si>
  <si>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</si>
  <si>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</si>
  <si>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</si>
  <si>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</si>
  <si>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No PAYE tax paid but tax paid on interest (STR 21)</t>
  </si>
  <si>
    <t>Partnership8</t>
  </si>
  <si>
    <t>L95</t>
  </si>
  <si>
    <t>SL box EMP8 entry, eligible income below £15795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</si>
  <si>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</si>
  <si>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</si>
  <si>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</si>
  <si>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</si>
  <si>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</si>
  <si>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</si>
  <si>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</si>
  <si>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</si>
  <si>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</si>
  <si>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</si>
  <si>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</si>
  <si>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</si>
  <si>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</si>
  <si>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</si>
  <si>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</si>
  <si>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</si>
  <si>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</si>
  <si>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</si>
  <si>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</si>
  <si>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</si>
  <si>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</si>
  <si>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</si>
  <si>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</si>
  <si>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</si>
  <si>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</si>
  <si>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</si>
  <si>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</si>
  <si>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</si>
  <si>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</si>
  <si>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</si>
  <si>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</si>
  <si>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</si>
  <si>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</si>
  <si>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</si>
  <si>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</si>
  <si>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Higher rate threshold</t>
  </si>
  <si>
    <t>CITR_rate</t>
  </si>
  <si>
    <t>or former wife</t>
  </si>
  <si>
    <t>Void ISAs</t>
  </si>
  <si>
    <t>Income Tax due after reliefs</t>
  </si>
  <si>
    <t>UK Tax treated as paid</t>
  </si>
  <si>
    <t>Tax Credit Relief for Income Tax</t>
  </si>
  <si>
    <t>Residence etc.</t>
  </si>
  <si>
    <t xml:space="preserve">Tax from Property Income, community investment relief, pension lump sum </t>
  </si>
  <si>
    <t>c25.1</t>
  </si>
  <si>
    <t>c25.2</t>
  </si>
  <si>
    <t>354/112</t>
  </si>
  <si>
    <t>14</t>
  </si>
  <si>
    <t>If any box on this page is minus substitute zero, unless otherwise stated</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</si>
  <si>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</si>
  <si>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</si>
  <si>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</si>
  <si>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</si>
  <si>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</si>
  <si>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</si>
  <si>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</si>
  <si>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</si>
  <si>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</si>
  <si>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</si>
  <si>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</si>
  <si>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</si>
  <si>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</si>
  <si>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</si>
  <si>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</si>
  <si>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</si>
  <si>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</si>
  <si>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</si>
  <si>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</si>
  <si>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</si>
  <si>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</si>
  <si>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</si>
  <si>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</si>
  <si>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</si>
  <si>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</si>
  <si>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</si>
  <si>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</si>
  <si>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</si>
  <si>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</si>
  <si>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</si>
  <si>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</si>
  <si>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</si>
  <si>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</si>
  <si>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</si>
  <si>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</si>
  <si>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</si>
  <si>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</si>
  <si>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</si>
  <si>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</si>
  <si>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</si>
  <si>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</si>
  <si>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Property developer</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</si>
  <si>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</si>
  <si>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</si>
  <si>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</si>
  <si>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</si>
  <si>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</si>
  <si>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</si>
  <si>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</si>
  <si>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</si>
  <si>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</si>
  <si>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</si>
  <si>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</si>
  <si>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</si>
  <si>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</si>
  <si>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</si>
  <si>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</si>
  <si>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</si>
  <si>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</si>
  <si>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</si>
  <si>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</si>
  <si>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</si>
  <si>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</si>
  <si>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</si>
  <si>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</si>
  <si>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</si>
  <si>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</si>
  <si>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</si>
  <si>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</si>
  <si>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</si>
  <si>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</si>
  <si>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</si>
  <si>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</si>
  <si>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</si>
  <si>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</si>
  <si>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</si>
  <si>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Item 4 Income</t>
  </si>
  <si>
    <t>Item 4 tax</t>
  </si>
  <si>
    <t>MOR29</t>
  </si>
  <si>
    <t>MOR30</t>
  </si>
  <si>
    <t>Total CGT charged</t>
  </si>
  <si>
    <t>coded out limit</t>
  </si>
  <si>
    <t>coded_out_limit</t>
  </si>
  <si>
    <t>c11.8</t>
  </si>
  <si>
    <t>Deficiency Relief</t>
  </si>
  <si>
    <t>remaining Deficiency Relief</t>
  </si>
  <si>
    <t>Losses from property on partnerships offset against other income FPS37 and FPS41</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</si>
  <si>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</si>
  <si>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</si>
  <si>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</si>
  <si>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</si>
  <si>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</si>
  <si>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</si>
  <si>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</si>
  <si>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</si>
  <si>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</si>
  <si>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</si>
  <si>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</si>
  <si>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</si>
  <si>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</si>
  <si>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</si>
  <si>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</si>
  <si>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</si>
  <si>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</si>
  <si>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</si>
  <si>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</si>
  <si>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</si>
  <si>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</si>
  <si>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</si>
  <si>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</si>
  <si>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</si>
  <si>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</si>
  <si>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</si>
  <si>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</si>
  <si>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</si>
  <si>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 xml:space="preserve">BR band to ER gains and  balance other gains </t>
  </si>
  <si>
    <t>CGT and CEG. With slice gain BR band available to gain therefore charged at 18%</t>
  </si>
  <si>
    <t>4 Dividends</t>
  </si>
  <si>
    <t>UK tax credit qual</t>
  </si>
  <si>
    <t xml:space="preserve">See: </t>
  </si>
  <si>
    <t>Capital Gains</t>
  </si>
  <si>
    <t>Deductions etc</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</si>
  <si>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</si>
  <si>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</si>
  <si>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</si>
  <si>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</si>
  <si>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</si>
  <si>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</si>
  <si>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</si>
  <si>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</si>
  <si>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</si>
  <si>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</si>
  <si>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</si>
  <si>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</si>
  <si>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</si>
  <si>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</si>
  <si>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</si>
  <si>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</si>
  <si>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</si>
  <si>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</si>
  <si>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</si>
  <si>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</si>
  <si>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</si>
  <si>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</si>
  <si>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</si>
  <si>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</si>
  <si>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Item  type</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</si>
  <si>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</si>
  <si>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</si>
  <si>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</si>
  <si>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</si>
  <si>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</si>
  <si>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</si>
  <si>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</si>
  <si>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</si>
  <si>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</si>
  <si>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</si>
  <si>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</si>
  <si>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</si>
  <si>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</si>
  <si>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</si>
  <si>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</si>
  <si>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</si>
  <si>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</si>
  <si>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</si>
  <si>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</si>
  <si>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</si>
  <si>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</si>
  <si>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SA302_interface - The tax calculation data required by Issue Revenue Calculation.</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</si>
  <si>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</si>
  <si>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</si>
  <si>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</si>
  <si>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</si>
  <si>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</si>
  <si>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</si>
  <si>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</si>
  <si>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</si>
  <si>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</si>
  <si>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</si>
  <si>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</si>
  <si>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</si>
  <si>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</si>
  <si>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</si>
  <si>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</si>
  <si>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</si>
  <si>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</si>
  <si>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</si>
  <si>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</si>
  <si>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</si>
  <si>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</si>
  <si>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</si>
  <si>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</si>
  <si>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</si>
  <si>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</si>
  <si>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</si>
  <si>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</si>
  <si>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</si>
  <si>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</si>
  <si>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Allocate Savings etc.</t>
  </si>
  <si>
    <t xml:space="preserve"> (except Dividends) </t>
  </si>
  <si>
    <t>income-D</t>
  </si>
  <si>
    <t>income-D(PTR)</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</si>
  <si>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</si>
  <si>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</si>
  <si>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</si>
  <si>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</si>
  <si>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</si>
  <si>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</si>
  <si>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</si>
  <si>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</si>
  <si>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</si>
  <si>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</si>
  <si>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</si>
  <si>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</si>
  <si>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</si>
  <si>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</si>
  <si>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</si>
  <si>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</si>
  <si>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</si>
  <si>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</si>
  <si>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</si>
  <si>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</si>
  <si>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</si>
  <si>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</si>
  <si>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</si>
  <si>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</si>
  <si>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</si>
  <si>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</si>
  <si>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</si>
  <si>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</si>
  <si>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</si>
  <si>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</si>
  <si>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 Dividends from UK companies (plus 10% tax credits)</t>
  </si>
  <si>
    <t xml:space="preserve">minus </t>
  </si>
  <si>
    <t xml:space="preserve">Total </t>
  </si>
  <si>
    <t>How I have worked out your Income Tax</t>
  </si>
  <si>
    <t>Total income on which tax has been charged</t>
  </si>
  <si>
    <t>Income Tax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</si>
  <si>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</si>
  <si>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</si>
  <si>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</si>
  <si>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</si>
  <si>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</si>
  <si>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</si>
  <si>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</si>
  <si>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</si>
  <si>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</si>
  <si>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</si>
  <si>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</si>
  <si>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</si>
  <si>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</si>
  <si>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</si>
  <si>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</si>
  <si>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</si>
  <si>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</si>
  <si>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</si>
  <si>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</si>
  <si>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</si>
  <si>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</si>
  <si>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</si>
  <si>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</si>
  <si>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</si>
  <si>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</si>
  <si>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</si>
  <si>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</si>
  <si>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</si>
  <si>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</si>
  <si>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</si>
  <si>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</si>
  <si>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</si>
  <si>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</si>
  <si>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</si>
  <si>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</si>
  <si>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</si>
  <si>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</si>
  <si>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</si>
  <si>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</si>
  <si>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</si>
  <si>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</si>
  <si>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</si>
  <si>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</si>
  <si>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</si>
  <si>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</si>
  <si>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</si>
  <si>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</si>
  <si>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</si>
  <si>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</si>
  <si>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</si>
  <si>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</si>
  <si>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</si>
  <si>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</si>
  <si>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</si>
  <si>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</si>
  <si>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</si>
  <si>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</si>
  <si>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</si>
  <si>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</si>
  <si>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</si>
  <si>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</si>
  <si>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</si>
  <si>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</si>
  <si>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</si>
  <si>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</si>
  <si>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</si>
  <si>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</si>
  <si>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</si>
  <si>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</si>
  <si>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</si>
  <si>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</si>
  <si>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</si>
  <si>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</si>
  <si>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</si>
  <si>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</si>
  <si>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</si>
  <si>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</si>
  <si>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</si>
  <si>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</si>
  <si>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</si>
  <si>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</si>
  <si>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</si>
  <si>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</si>
  <si>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</si>
  <si>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</si>
  <si>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</si>
  <si>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</si>
  <si>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</si>
  <si>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</si>
  <si>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</si>
  <si>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</si>
  <si>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</si>
  <si>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</si>
  <si>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</si>
  <si>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</si>
  <si>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</si>
  <si>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Additional rate full gain</t>
  </si>
  <si>
    <t>c17.46</t>
  </si>
  <si>
    <t>remaining gain</t>
  </si>
  <si>
    <t>Higher rate full gain</t>
  </si>
  <si>
    <t>Partnership 1</t>
  </si>
  <si>
    <t>Partnership 2</t>
  </si>
  <si>
    <t>Tax on income excluded from this calculation</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</si>
  <si>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</si>
  <si>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</si>
  <si>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</si>
  <si>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</si>
  <si>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</si>
  <si>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</si>
  <si>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</si>
  <si>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</si>
  <si>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</si>
  <si>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</si>
  <si>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</si>
  <si>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</si>
  <si>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</si>
  <si>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</si>
  <si>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</si>
  <si>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</si>
  <si>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</si>
  <si>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</si>
  <si>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</si>
  <si>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</si>
  <si>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</si>
  <si>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</si>
  <si>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</si>
  <si>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</si>
  <si>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</si>
  <si>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</si>
  <si>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</si>
  <si>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</si>
  <si>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</si>
  <si>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</si>
  <si>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</si>
  <si>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</si>
  <si>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</si>
  <si>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</si>
  <si>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</si>
  <si>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</si>
  <si>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</si>
  <si>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</si>
  <si>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</si>
  <si>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</si>
  <si>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</si>
  <si>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</si>
  <si>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</si>
  <si>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</si>
  <si>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</si>
  <si>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</si>
  <si>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</si>
  <si>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</si>
  <si>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</si>
  <si>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</si>
  <si>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</si>
  <si>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</si>
  <si>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</si>
  <si>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</si>
  <si>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</si>
  <si>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</si>
  <si>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</si>
  <si>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</si>
  <si>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</si>
  <si>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</si>
  <si>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</si>
  <si>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</si>
  <si>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</si>
  <si>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</si>
  <si>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</si>
  <si>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</si>
  <si>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</si>
  <si>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</si>
  <si>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</si>
  <si>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</si>
  <si>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</si>
  <si>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</si>
  <si>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</si>
  <si>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</si>
  <si>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</si>
  <si>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</si>
  <si>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</si>
  <si>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</si>
  <si>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</si>
  <si>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</si>
  <si>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</si>
  <si>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</si>
  <si>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</si>
  <si>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</si>
  <si>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</si>
  <si>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</si>
  <si>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</si>
  <si>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</si>
  <si>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</si>
  <si>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</si>
  <si>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</si>
  <si>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</si>
  <si>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</si>
  <si>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</si>
  <si>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</si>
  <si>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</si>
  <si>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</si>
  <si>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</si>
  <si>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</si>
  <si>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</si>
  <si>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</si>
  <si>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</si>
  <si>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</si>
  <si>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</si>
  <si>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</si>
  <si>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</si>
  <si>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</si>
  <si>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</si>
  <si>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</si>
  <si>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</si>
  <si>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</si>
  <si>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</si>
  <si>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</si>
  <si>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</si>
  <si>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</si>
  <si>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</si>
  <si>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</si>
  <si>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</si>
  <si>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</si>
  <si>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</si>
  <si>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</si>
  <si>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</si>
  <si>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</si>
  <si>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</si>
  <si>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Income</t>
  </si>
  <si>
    <t>Item 1 type</t>
  </si>
  <si>
    <t>item 1 inc</t>
  </si>
  <si>
    <t>item 1 tax</t>
  </si>
  <si>
    <t>item 1 ftcr</t>
  </si>
  <si>
    <t>item 2 inc</t>
  </si>
  <si>
    <t>item 2 tax</t>
  </si>
  <si>
    <t>item 2 ftcr</t>
  </si>
  <si>
    <t>item 3 inc</t>
  </si>
  <si>
    <t>item 3 tax</t>
  </si>
  <si>
    <t>item 3 ftcr</t>
  </si>
  <si>
    <t>item 1 type</t>
  </si>
  <si>
    <t>item 2 type</t>
  </si>
  <si>
    <t>item 3 type</t>
  </si>
  <si>
    <t>Item 1 tax</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</si>
  <si>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</si>
  <si>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</si>
  <si>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</si>
  <si>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</si>
  <si>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</si>
  <si>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</si>
  <si>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</si>
  <si>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</si>
  <si>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</si>
  <si>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</si>
  <si>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</si>
  <si>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</si>
  <si>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</si>
  <si>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</si>
  <si>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</si>
  <si>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</si>
  <si>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</si>
  <si>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</si>
  <si>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</si>
  <si>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</si>
  <si>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</si>
  <si>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</si>
  <si>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</si>
  <si>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</si>
  <si>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</si>
  <si>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</si>
  <si>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</si>
  <si>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</si>
  <si>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</si>
  <si>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</si>
  <si>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</si>
  <si>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</si>
  <si>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</si>
  <si>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</si>
  <si>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</si>
  <si>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</si>
  <si>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</si>
  <si>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</si>
  <si>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</si>
  <si>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</si>
  <si>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</si>
  <si>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</si>
  <si>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</si>
  <si>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</si>
  <si>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</si>
  <si>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</si>
  <si>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</si>
  <si>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TSR , PRO22</t>
  </si>
  <si>
    <t>Ent Gains plus other gains. AEA, loss and balance BR band to other gains</t>
  </si>
  <si>
    <t>Total BR Band</t>
  </si>
  <si>
    <t>Total HR Band</t>
  </si>
  <si>
    <t>@ 42.5%</t>
  </si>
  <si>
    <t>State pension lump sum</t>
  </si>
  <si>
    <t>c15.8</t>
  </si>
  <si>
    <t>c15.9</t>
  </si>
  <si>
    <t xml:space="preserve">Special lump sum death benefit charge due </t>
  </si>
  <si>
    <t>Lump sums - redundancy/compensation</t>
  </si>
  <si>
    <t>Lump sums - contract payments</t>
  </si>
  <si>
    <t>Foreign income</t>
  </si>
  <si>
    <t>HR_case</t>
  </si>
  <si>
    <t>If any box on this page is negative substitute zero</t>
  </si>
  <si>
    <t>Capital Gains Tax Due</t>
  </si>
  <si>
    <t xml:space="preserve"> Foreign Income</t>
  </si>
  <si>
    <t xml:space="preserve"> Other Income</t>
  </si>
  <si>
    <t>M11</t>
  </si>
  <si>
    <t>income etc.</t>
  </si>
  <si>
    <t xml:space="preserve"> Dividends from companies etc.</t>
  </si>
  <si>
    <t>minus</t>
  </si>
  <si>
    <t>Deductions (2)</t>
  </si>
  <si>
    <t>Tax taken off - UK interest</t>
  </si>
  <si>
    <t>Tax taken off - Foreign interest</t>
  </si>
  <si>
    <t>LUN (LUN20), Lump Sums and Employment income</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</si>
  <si>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</si>
  <si>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</si>
  <si>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</si>
  <si>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</si>
  <si>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</si>
  <si>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</si>
  <si>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</si>
  <si>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</si>
  <si>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</si>
  <si>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</si>
  <si>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</si>
  <si>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</si>
  <si>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</si>
  <si>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</si>
  <si>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</si>
  <si>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</si>
  <si>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</si>
  <si>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</si>
  <si>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</si>
  <si>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</si>
  <si>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</si>
  <si>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c10.7</t>
  </si>
  <si>
    <t>c10.8</t>
  </si>
  <si>
    <t>c10.9</t>
  </si>
  <si>
    <t>income-Case3</t>
  </si>
  <si>
    <t>c6.25</t>
  </si>
  <si>
    <t>c6.26</t>
  </si>
  <si>
    <t>c6.27</t>
  </si>
  <si>
    <t>c6.28</t>
  </si>
  <si>
    <t>c11.25</t>
  </si>
  <si>
    <t>UK liability for FTCR purposes</t>
  </si>
  <si>
    <t>Settlor Interested</t>
  </si>
  <si>
    <t>tax-on-int-AHR</t>
  </si>
  <si>
    <t>L52</t>
  </si>
  <si>
    <t>taxable-divs-AHR</t>
  </si>
  <si>
    <t>SSE18</t>
  </si>
  <si>
    <t>Personal allowance</t>
  </si>
  <si>
    <t>Amount of Gain</t>
  </si>
  <si>
    <t>State Pension Lump Sum</t>
  </si>
  <si>
    <t>c10.10</t>
  </si>
  <si>
    <t>c10.11</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</si>
  <si>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</si>
  <si>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</si>
  <si>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</si>
  <si>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</si>
  <si>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</si>
  <si>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</si>
  <si>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</si>
  <si>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</si>
  <si>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</si>
  <si>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</si>
  <si>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</si>
  <si>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</si>
  <si>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</si>
  <si>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</si>
  <si>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</si>
  <si>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</si>
  <si>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</si>
  <si>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</si>
  <si>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</si>
  <si>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</si>
  <si>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</si>
  <si>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</si>
  <si>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</si>
  <si>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</si>
  <si>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</si>
  <si>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</si>
  <si>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</si>
  <si>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</si>
  <si>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</si>
  <si>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</si>
  <si>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</si>
  <si>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</si>
  <si>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</si>
  <si>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</si>
  <si>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</si>
  <si>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</si>
  <si>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</si>
  <si>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</si>
  <si>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</si>
  <si>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</si>
  <si>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</si>
  <si>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</si>
  <si>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</si>
  <si>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</si>
  <si>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</si>
  <si>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</si>
  <si>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</si>
  <si>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</si>
  <si>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</si>
  <si>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</si>
  <si>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</si>
  <si>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</si>
  <si>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</si>
  <si>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</si>
  <si>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</si>
  <si>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</si>
  <si>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Basic rate Savings, MCA in year marriage.</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</si>
  <si>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</si>
  <si>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</si>
  <si>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</si>
  <si>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</si>
  <si>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</si>
  <si>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</si>
  <si>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</si>
  <si>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</si>
  <si>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</si>
  <si>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</si>
  <si>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</si>
  <si>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</si>
  <si>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</si>
  <si>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</si>
  <si>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Restricted loan interest and BPR surplus</t>
  </si>
  <si>
    <t>BRP claim, FIN1 entry, PA reduced to Nil, AHR, Deficiency relief, EIS, relief for qual distn</t>
  </si>
  <si>
    <t>RBC and large Gift Aid donation</t>
  </si>
  <si>
    <t>Revised CGT charged</t>
  </si>
  <si>
    <t>Profit from partnerships</t>
  </si>
  <si>
    <t>Child Benefit payments</t>
  </si>
  <si>
    <t>c25.7</t>
  </si>
  <si>
    <t>c25.8</t>
  </si>
  <si>
    <t>c25.9</t>
  </si>
  <si>
    <t>Social Investment Tax Relief</t>
  </si>
  <si>
    <t>AOR11</t>
  </si>
  <si>
    <t>c9.39</t>
  </si>
  <si>
    <t>Community Investment Tax relief</t>
  </si>
  <si>
    <t xml:space="preserve">SITR_rate </t>
  </si>
  <si>
    <t>L62</t>
  </si>
  <si>
    <t>SITR</t>
  </si>
  <si>
    <t>FPS67</t>
  </si>
  <si>
    <t>FPS68</t>
  </si>
  <si>
    <t>FPS69</t>
  </si>
  <si>
    <t>Higher rate, Multiple employments, PPR</t>
  </si>
  <si>
    <t>Lifetime allowance charge (lump sum amount)</t>
  </si>
  <si>
    <t>D15</t>
  </si>
  <si>
    <t xml:space="preserve"> Higher rate,CEG top slicing relief due, State pension lump sum.</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</si>
  <si>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</si>
  <si>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</si>
  <si>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</si>
  <si>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</si>
  <si>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</si>
  <si>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</si>
  <si>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</si>
  <si>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</si>
  <si>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</si>
  <si>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</si>
  <si>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</si>
  <si>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</si>
  <si>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</si>
  <si>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</si>
  <si>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</si>
  <si>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</si>
  <si>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and gains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</si>
  <si>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</si>
  <si>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</si>
  <si>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</si>
  <si>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</si>
  <si>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</si>
  <si>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</si>
  <si>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</si>
  <si>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</si>
  <si>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</si>
  <si>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</si>
  <si>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</si>
  <si>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</si>
  <si>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</si>
  <si>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 Total from all employments</t>
  </si>
  <si>
    <t xml:space="preserve">Savings </t>
  </si>
  <si>
    <t>tick</t>
  </si>
  <si>
    <t>Taxpayer Ref</t>
  </si>
  <si>
    <t>or boxes below</t>
  </si>
  <si>
    <t>1) Not Claimed</t>
  </si>
  <si>
    <t xml:space="preserve">Lump sums with multiple employment and CAL7/8, PA reduced to Nil </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</si>
  <si>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</si>
  <si>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</si>
  <si>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</si>
  <si>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</si>
  <si>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</si>
  <si>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</si>
  <si>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</si>
  <si>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</si>
  <si>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</si>
  <si>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</si>
  <si>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</si>
  <si>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</si>
  <si>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</si>
  <si>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</si>
  <si>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</si>
  <si>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</si>
  <si>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</si>
  <si>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</si>
  <si>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</si>
  <si>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</si>
  <si>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</si>
  <si>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</si>
  <si>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</si>
  <si>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(taxed at 10%)</t>
  </si>
  <si>
    <t>USA</t>
  </si>
  <si>
    <t>c23.4</t>
  </si>
  <si>
    <t>c23.5</t>
  </si>
  <si>
    <t>c23.6</t>
  </si>
  <si>
    <t>c23.7</t>
  </si>
  <si>
    <t xml:space="preserve">Foreign Tax on Estates, income from Property, AHR and Ahdiv rates PA reduced to Nil </t>
  </si>
  <si>
    <t>Capital Gains Summary</t>
  </si>
  <si>
    <t>Share Schemes and SSE (SSE22 and SSE23)</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</si>
  <si>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</si>
  <si>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</si>
  <si>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</si>
  <si>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</si>
  <si>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</si>
  <si>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</si>
  <si>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</si>
  <si>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</si>
  <si>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</si>
  <si>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</si>
  <si>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</si>
  <si>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</si>
  <si>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</si>
  <si>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</si>
  <si>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</si>
  <si>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</si>
  <si>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</si>
  <si>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</si>
  <si>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</si>
  <si>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</si>
  <si>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</si>
  <si>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</si>
  <si>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</si>
  <si>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</si>
  <si>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</si>
  <si>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</si>
  <si>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</si>
  <si>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</si>
  <si>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</si>
  <si>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</si>
  <si>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</si>
  <si>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</si>
  <si>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</si>
  <si>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</si>
  <si>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</si>
  <si>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</si>
  <si>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</si>
  <si>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</si>
  <si>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Item 1 % max</t>
  </si>
  <si>
    <t>Item 2 % max</t>
  </si>
  <si>
    <r>
      <t xml:space="preserve">Dividends </t>
    </r>
    <r>
      <rPr>
        <i/>
        <sz val="9"/>
        <rFont val="Arial"/>
        <family val="2"/>
      </rPr>
      <t>Qual UK tc</t>
    </r>
  </si>
  <si>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</si>
  <si>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</si>
  <si>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</si>
  <si>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</si>
  <si>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</si>
  <si>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</si>
  <si>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</si>
  <si>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</si>
  <si>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</si>
  <si>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</si>
  <si>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</si>
  <si>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</si>
  <si>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</si>
  <si>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</si>
  <si>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</si>
  <si>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</si>
  <si>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</si>
  <si>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</si>
  <si>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</si>
  <si>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</si>
  <si>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</si>
  <si>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</si>
  <si>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</si>
  <si>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</si>
  <si>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</si>
  <si>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</si>
  <si>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</si>
  <si>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</si>
  <si>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</si>
  <si>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</si>
  <si>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</si>
  <si>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</si>
  <si>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</si>
  <si>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</si>
  <si>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</si>
  <si>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</si>
  <si>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</si>
  <si>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</si>
  <si>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</si>
  <si>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</si>
  <si>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</si>
  <si>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</si>
  <si>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</si>
  <si>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</si>
  <si>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Non-resident calculation with Gift Aid payments and Dividends  calc at 10%</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</si>
  <si>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</si>
  <si>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</si>
  <si>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</si>
  <si>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</si>
  <si>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</si>
  <si>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</si>
  <si>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</si>
  <si>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</si>
  <si>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</si>
  <si>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</si>
  <si>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</si>
  <si>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</si>
  <si>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</si>
  <si>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</si>
  <si>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</si>
  <si>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</si>
  <si>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</si>
  <si>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</si>
  <si>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</si>
  <si>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</si>
  <si>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</si>
  <si>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</si>
  <si>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</si>
  <si>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</si>
  <si>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</si>
  <si>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</si>
  <si>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</si>
  <si>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</si>
  <si>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</si>
  <si>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</si>
  <si>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</si>
  <si>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</si>
  <si>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</si>
  <si>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</si>
  <si>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</si>
  <si>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</si>
  <si>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</si>
  <si>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</si>
  <si>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</si>
  <si>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</si>
  <si>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</si>
  <si>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</si>
  <si>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</si>
  <si>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</si>
  <si>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</si>
  <si>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</si>
  <si>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</si>
  <si>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</si>
  <si>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</si>
  <si>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</si>
  <si>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</si>
  <si>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</si>
  <si>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</si>
  <si>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</si>
  <si>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</si>
  <si>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</si>
  <si>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</si>
  <si>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</si>
  <si>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</si>
  <si>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</si>
  <si>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</si>
  <si>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</si>
  <si>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</si>
  <si>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</si>
  <si>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</si>
  <si>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</si>
  <si>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</si>
  <si>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</si>
  <si>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</si>
  <si>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</si>
  <si>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</si>
  <si>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</si>
  <si>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</si>
  <si>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</si>
  <si>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</si>
  <si>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</si>
  <si>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</si>
  <si>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</si>
  <si>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</si>
  <si>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</si>
  <si>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</si>
  <si>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</si>
  <si>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</si>
  <si>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</si>
  <si>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</si>
  <si>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</si>
  <si>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</si>
  <si>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</si>
  <si>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</si>
  <si>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</si>
  <si>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</si>
  <si>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</si>
  <si>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</si>
  <si>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</si>
  <si>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</si>
  <si>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</si>
  <si>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</si>
  <si>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</si>
  <si>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</si>
  <si>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ENT Gains plus other gains. No balance BR band</t>
  </si>
  <si>
    <t>c11.5</t>
  </si>
  <si>
    <t>payments etc. and gift aid payments. This reduces the amount of income charged to higher rates of tax.</t>
  </si>
  <si>
    <t>SSE19</t>
  </si>
  <si>
    <t>SSE20</t>
  </si>
  <si>
    <t>c25.18</t>
  </si>
  <si>
    <t>c25.19</t>
  </si>
  <si>
    <t>c25.20</t>
  </si>
  <si>
    <t>c25.21</t>
  </si>
  <si>
    <t>Student Loan repayments</t>
  </si>
  <si>
    <t>Rate bands</t>
  </si>
  <si>
    <t>£down</t>
  </si>
  <si>
    <t>TRU13</t>
  </si>
  <si>
    <t>TRU14</t>
  </si>
  <si>
    <t>TRU15</t>
  </si>
  <si>
    <t>TRU16</t>
  </si>
  <si>
    <t>TRU17</t>
  </si>
  <si>
    <t xml:space="preserve">test for AIL 14 </t>
  </si>
  <si>
    <t>Adjusted Net Income for Child Benefit tax charge</t>
  </si>
  <si>
    <t xml:space="preserve"> Profit from partnerships</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</si>
  <si>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</si>
  <si>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</si>
  <si>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</si>
  <si>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</si>
  <si>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</si>
  <si>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</si>
  <si>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</si>
  <si>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</si>
  <si>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</si>
  <si>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</si>
  <si>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</si>
  <si>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</si>
  <si>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</si>
  <si>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</si>
  <si>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</si>
  <si>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</si>
  <si>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</si>
  <si>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Married couples surplus allowance</t>
  </si>
  <si>
    <t>Income boxes INC7 to INC14 (UK pensions etc. received)</t>
  </si>
  <si>
    <t>Some questions on the core Tax Return and Additional Information pages would require a large number</t>
  </si>
  <si>
    <t>Item 4 type</t>
  </si>
  <si>
    <t>Column A: Copy from boxes</t>
  </si>
  <si>
    <t>Column B: Copy from boxes</t>
  </si>
  <si>
    <t>Deductions</t>
  </si>
  <si>
    <t xml:space="preserve"> Trusts and Estates</t>
  </si>
  <si>
    <t>Non-savings income etc.</t>
  </si>
  <si>
    <t>Single</t>
  </si>
  <si>
    <t>57</t>
  </si>
  <si>
    <t>16</t>
  </si>
  <si>
    <t>58</t>
  </si>
  <si>
    <t>100</t>
  </si>
  <si>
    <t>17</t>
  </si>
  <si>
    <t>59</t>
  </si>
  <si>
    <t>101</t>
  </si>
  <si>
    <t>18</t>
  </si>
  <si>
    <t>Capital gains tax</t>
  </si>
  <si>
    <t>L64</t>
  </si>
  <si>
    <t>L65</t>
  </si>
  <si>
    <t>L68</t>
  </si>
  <si>
    <t>L69</t>
  </si>
  <si>
    <t>c14.8</t>
  </si>
  <si>
    <t>c14.9</t>
  </si>
  <si>
    <t>c14.10</t>
  </si>
  <si>
    <t>c14.11</t>
  </si>
  <si>
    <t>c15.1</t>
  </si>
  <si>
    <t>tax-paid-Trust</t>
  </si>
  <si>
    <t>ppr-extender</t>
  </si>
  <si>
    <t>L103</t>
  </si>
  <si>
    <t>Income in starting rate band</t>
  </si>
  <si>
    <t>Income in basic rate band</t>
  </si>
  <si>
    <t>Income in higher rate band</t>
  </si>
  <si>
    <t>Lump sum payments</t>
  </si>
  <si>
    <t>TCR max %</t>
  </si>
  <si>
    <t>code</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</si>
  <si>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</si>
  <si>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</si>
  <si>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</si>
  <si>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</si>
  <si>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</si>
  <si>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</si>
  <si>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</si>
  <si>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</si>
  <si>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</si>
  <si>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</si>
  <si>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</si>
  <si>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</si>
  <si>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</si>
  <si>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</si>
  <si>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</si>
  <si>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</si>
  <si>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</si>
  <si>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</si>
  <si>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</si>
  <si>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</si>
  <si>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</si>
  <si>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</si>
  <si>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</si>
  <si>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</si>
  <si>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</si>
  <si>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</si>
  <si>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</si>
  <si>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</si>
  <si>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</si>
  <si>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</si>
  <si>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</si>
  <si>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</si>
  <si>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</si>
  <si>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</si>
  <si>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</si>
  <si>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</si>
  <si>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</si>
  <si>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</si>
  <si>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</si>
  <si>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Starting rate band for savings</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</si>
  <si>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</si>
  <si>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</si>
  <si>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</si>
  <si>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</si>
  <si>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</si>
  <si>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</si>
  <si>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</si>
  <si>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</si>
  <si>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</si>
  <si>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</si>
  <si>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</si>
  <si>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</si>
  <si>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</si>
  <si>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</si>
  <si>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 xml:space="preserve"> Share Schemes</t>
  </si>
  <si>
    <t>If any box on this page is minus substitute zero</t>
  </si>
  <si>
    <t>DOB Ind</t>
  </si>
  <si>
    <t>Fin 1</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</si>
  <si>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</si>
  <si>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</si>
  <si>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</si>
  <si>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</si>
  <si>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</si>
  <si>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</si>
  <si>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</si>
  <si>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</si>
  <si>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</si>
  <si>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</si>
  <si>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</si>
  <si>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</si>
  <si>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</si>
  <si>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</si>
  <si>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</si>
  <si>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</si>
  <si>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</si>
  <si>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</si>
  <si>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</si>
  <si>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</si>
  <si>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</si>
  <si>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</si>
  <si>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</si>
  <si>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</si>
  <si>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</si>
  <si>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</si>
  <si>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</si>
  <si>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</si>
  <si>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</si>
  <si>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</si>
  <si>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</si>
  <si>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</si>
  <si>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</si>
  <si>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</si>
  <si>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</si>
  <si>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</si>
  <si>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</si>
  <si>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</si>
  <si>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</si>
  <si>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</si>
  <si>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</si>
  <si>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</si>
  <si>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</si>
  <si>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</si>
  <si>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</si>
  <si>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</si>
  <si>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</si>
  <si>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</si>
  <si>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</si>
  <si>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</si>
  <si>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</si>
  <si>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</si>
  <si>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</si>
  <si>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</si>
  <si>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</si>
  <si>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</si>
  <si>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</si>
  <si>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</si>
  <si>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</si>
  <si>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</si>
  <si>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</si>
  <si>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</si>
  <si>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</si>
  <si>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</si>
  <si>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</si>
  <si>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</si>
  <si>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</si>
  <si>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</si>
  <si>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</si>
  <si>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</si>
  <si>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</si>
  <si>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</si>
  <si>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</si>
  <si>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</si>
  <si>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</si>
  <si>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</si>
  <si>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</si>
  <si>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</si>
  <si>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</si>
  <si>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</si>
  <si>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</si>
  <si>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</si>
  <si>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</si>
  <si>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</si>
  <si>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</si>
  <si>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</si>
  <si>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</si>
  <si>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</si>
  <si>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</si>
  <si>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</si>
  <si>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</si>
  <si>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</si>
  <si>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</si>
  <si>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</si>
  <si>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</si>
  <si>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</si>
  <si>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</si>
  <si>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</si>
  <si>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</si>
  <si>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</si>
  <si>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</si>
  <si>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</si>
  <si>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</si>
  <si>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</si>
  <si>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</si>
  <si>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</si>
  <si>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</si>
  <si>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</si>
  <si>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</si>
  <si>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</si>
  <si>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</si>
  <si>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</si>
  <si>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</si>
  <si>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</si>
  <si>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</si>
  <si>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</si>
  <si>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</si>
  <si>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</si>
  <si>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</si>
  <si>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</si>
  <si>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</si>
  <si>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</si>
  <si>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</si>
  <si>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</si>
  <si>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</si>
  <si>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</si>
  <si>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</si>
  <si>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</si>
  <si>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</si>
  <si>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</si>
  <si>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</si>
  <si>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</si>
  <si>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</si>
  <si>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</si>
  <si>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</si>
  <si>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</si>
  <si>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</si>
  <si>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</si>
  <si>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</si>
  <si>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</si>
  <si>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</si>
  <si>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</si>
  <si>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</si>
  <si>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</si>
  <si>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</si>
  <si>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</si>
  <si>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</si>
  <si>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</si>
  <si>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</si>
  <si>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</si>
  <si>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</si>
  <si>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</si>
  <si>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</si>
  <si>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</si>
  <si>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</si>
  <si>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</si>
  <si>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</si>
  <si>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</si>
  <si>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</si>
  <si>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</si>
  <si>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</si>
  <si>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</si>
  <si>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</si>
  <si>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</si>
  <si>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</si>
  <si>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</si>
  <si>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</si>
  <si>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</si>
  <si>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</si>
  <si>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</si>
  <si>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</si>
  <si>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</si>
  <si>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</si>
  <si>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</si>
  <si>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</si>
  <si>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</si>
  <si>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</si>
  <si>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</si>
  <si>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</si>
  <si>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</si>
  <si>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</si>
  <si>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</si>
  <si>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</si>
  <si>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</si>
  <si>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</si>
  <si>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</si>
  <si>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</si>
  <si>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</si>
  <si>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</si>
  <si>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</si>
  <si>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</si>
  <si>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</si>
  <si>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</si>
  <si>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</si>
  <si>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</si>
  <si>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</si>
  <si>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</si>
  <si>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</si>
  <si>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</si>
  <si>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</si>
  <si>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</si>
  <si>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Pension simplification</t>
  </si>
  <si>
    <t>Date stuff</t>
  </si>
  <si>
    <t>January</t>
  </si>
  <si>
    <t>February</t>
  </si>
  <si>
    <t>c5.11</t>
  </si>
  <si>
    <t>c5.12</t>
  </si>
  <si>
    <t>c5.13</t>
  </si>
  <si>
    <t>c5.14</t>
  </si>
  <si>
    <t>c5.15</t>
  </si>
  <si>
    <t>c5.16</t>
  </si>
  <si>
    <t>c5.17</t>
  </si>
  <si>
    <t>SL, investments &lt;2000, 2 employments and CAL7 and CAL 8 entries.</t>
  </si>
  <si>
    <t>Basic rate and savings. (STR 2)</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</si>
  <si>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</si>
  <si>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</si>
  <si>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</si>
  <si>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</si>
  <si>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</si>
  <si>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</si>
  <si>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</si>
  <si>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</si>
  <si>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</si>
  <si>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</si>
  <si>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</si>
  <si>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</si>
  <si>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</si>
  <si>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</si>
  <si>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</si>
  <si>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</si>
  <si>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</si>
  <si>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</si>
  <si>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M7</t>
  </si>
  <si>
    <t>M8</t>
  </si>
  <si>
    <t>M9</t>
  </si>
  <si>
    <t>M10</t>
  </si>
  <si>
    <t>C5</t>
  </si>
  <si>
    <t xml:space="preserve">     </t>
  </si>
  <si>
    <t>Unearned Income Threshold</t>
  </si>
  <si>
    <t xml:space="preserve">Kitchen sink with MCA minimum amount, in year marriage </t>
  </si>
  <si>
    <t>Gifts of property to charity, income over £100,000 full PA due to PPR</t>
  </si>
  <si>
    <t>c14.13</t>
  </si>
  <si>
    <t>c14.14</t>
  </si>
  <si>
    <t>c14.15</t>
  </si>
  <si>
    <t xml:space="preserve">Taxable lump sum death benefit payment </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</si>
  <si>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</si>
  <si>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</si>
  <si>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</si>
  <si>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</si>
  <si>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</si>
  <si>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</si>
  <si>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</si>
  <si>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</si>
  <si>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</si>
  <si>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</si>
  <si>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</si>
  <si>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</si>
  <si>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</si>
  <si>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</si>
  <si>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</si>
  <si>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</si>
  <si>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</si>
  <si>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</si>
  <si>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</si>
  <si>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</si>
  <si>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</si>
  <si>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</si>
  <si>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</si>
  <si>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</si>
  <si>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</si>
  <si>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</si>
  <si>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</si>
  <si>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</si>
  <si>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</si>
  <si>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 xml:space="preserve">Remittance basis charge </t>
  </si>
  <si>
    <t>for non-domiciles</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</si>
  <si>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</si>
  <si>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</si>
  <si>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</si>
  <si>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</si>
  <si>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</si>
  <si>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</si>
  <si>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</si>
  <si>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</si>
  <si>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</si>
  <si>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</si>
  <si>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</si>
  <si>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</si>
  <si>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</si>
  <si>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</si>
  <si>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</si>
  <si>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</si>
  <si>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</si>
  <si>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</si>
  <si>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</si>
  <si>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</si>
  <si>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</si>
  <si>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</si>
  <si>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</si>
  <si>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</si>
  <si>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</si>
  <si>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</si>
  <si>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</si>
  <si>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</si>
  <si>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</si>
  <si>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</si>
  <si>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</si>
  <si>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</si>
  <si>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</si>
  <si>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</si>
  <si>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</si>
  <si>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</si>
  <si>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</si>
  <si>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</si>
  <si>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</si>
  <si>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</si>
  <si>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</si>
  <si>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Allocate DR to savings &amp; non-savings in the higher rate band</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</si>
  <si>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</si>
  <si>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</si>
  <si>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</si>
  <si>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</si>
  <si>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</si>
  <si>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</si>
  <si>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</si>
  <si>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</si>
  <si>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</si>
  <si>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</si>
  <si>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</si>
  <si>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</si>
  <si>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</si>
  <si>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</si>
  <si>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</si>
  <si>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TSR due, gift aid</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</si>
  <si>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</si>
  <si>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</si>
  <si>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</si>
  <si>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</si>
  <si>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</si>
  <si>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</si>
  <si>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</si>
  <si>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</si>
  <si>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</si>
  <si>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</si>
  <si>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</si>
  <si>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</si>
  <si>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</si>
  <si>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</si>
  <si>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</si>
  <si>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</si>
  <si>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</si>
  <si>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</si>
  <si>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</si>
  <si>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</si>
  <si>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</si>
  <si>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</si>
  <si>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</si>
  <si>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</si>
  <si>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</si>
  <si>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</si>
  <si>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</si>
  <si>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</si>
  <si>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Income from both EEA and UK lettings</t>
  </si>
  <si>
    <t>SL case  inv income under £2000 )</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</si>
  <si>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</si>
  <si>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</si>
  <si>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</si>
  <si>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</si>
  <si>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</si>
  <si>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</si>
  <si>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</si>
  <si>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</si>
  <si>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</si>
  <si>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</si>
  <si>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</si>
  <si>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</si>
  <si>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</si>
  <si>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</si>
  <si>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</si>
  <si>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</si>
  <si>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</si>
  <si>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</si>
  <si>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</si>
  <si>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</si>
  <si>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</si>
  <si>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</si>
  <si>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</si>
  <si>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</si>
  <si>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</si>
  <si>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</si>
  <si>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</si>
  <si>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</si>
  <si>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</si>
  <si>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</si>
  <si>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</si>
  <si>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</si>
  <si>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</si>
  <si>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</si>
  <si>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</si>
  <si>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</si>
  <si>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</si>
  <si>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</si>
  <si>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</si>
  <si>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</si>
  <si>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</si>
  <si>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</si>
  <si>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</si>
  <si>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</si>
  <si>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</si>
  <si>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</si>
  <si>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</si>
  <si>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</si>
  <si>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</si>
  <si>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</si>
  <si>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</si>
  <si>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</si>
  <si>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</si>
  <si>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</si>
  <si>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</si>
  <si>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</si>
  <si>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</si>
  <si>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</si>
  <si>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</si>
  <si>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</si>
  <si>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</si>
  <si>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</si>
  <si>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</si>
  <si>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</si>
  <si>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</si>
  <si>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</si>
  <si>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</si>
  <si>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</si>
  <si>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pay</t>
  </si>
  <si>
    <t>The total amount of Child Benefit received</t>
  </si>
  <si>
    <t>K15</t>
  </si>
  <si>
    <t>Res_12_years</t>
  </si>
  <si>
    <t>NRD36</t>
  </si>
  <si>
    <t>REL(1)</t>
  </si>
  <si>
    <t>REL(2)</t>
  </si>
  <si>
    <t>CAL9</t>
  </si>
  <si>
    <t>Child Benefit</t>
  </si>
  <si>
    <t>CBC1</t>
  </si>
  <si>
    <t>c20a.17</t>
  </si>
  <si>
    <t>56</t>
  </si>
  <si>
    <t>98</t>
  </si>
  <si>
    <t>15</t>
  </si>
  <si>
    <t>c14.16</t>
  </si>
  <si>
    <t>Income Limit for Personal Allowance</t>
  </si>
  <si>
    <t>c19.33</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</si>
  <si>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</si>
  <si>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</si>
  <si>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</si>
  <si>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</si>
  <si>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</si>
  <si>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</si>
  <si>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</si>
  <si>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</si>
  <si>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</si>
  <si>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</si>
  <si>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</si>
  <si>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</si>
  <si>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</si>
  <si>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</si>
  <si>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</si>
  <si>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</si>
  <si>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</si>
  <si>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</si>
  <si>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</si>
  <si>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</si>
  <si>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</si>
  <si>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</si>
  <si>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</si>
  <si>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</si>
  <si>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</si>
  <si>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</si>
  <si>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</si>
  <si>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</si>
  <si>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HR, AHR , S/E, RAR, Dob pre 1935, in year MCA</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</si>
  <si>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</si>
  <si>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</si>
  <si>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</si>
  <si>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</si>
  <si>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</si>
  <si>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</si>
  <si>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</si>
  <si>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CGT and CEG. With slice gain some BR band available, gain charged at 18 and 28%</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</si>
  <si>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</si>
  <si>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</si>
  <si>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</si>
  <si>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</si>
  <si>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</si>
  <si>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</si>
  <si>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</si>
  <si>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</si>
  <si>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Allocate DR to dividends in the higher rate band</t>
  </si>
  <si>
    <t>amount moved to lower rate band</t>
  </si>
  <si>
    <t>tax adjustment</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</si>
  <si>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</si>
  <si>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</si>
  <si>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</si>
  <si>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</si>
  <si>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</si>
  <si>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</si>
  <si>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</si>
  <si>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</si>
  <si>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</si>
  <si>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</si>
  <si>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</si>
  <si>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</si>
  <si>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</si>
  <si>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</si>
  <si>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</si>
  <si>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</si>
  <si>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</si>
  <si>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</si>
  <si>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</si>
  <si>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</si>
  <si>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</si>
  <si>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</si>
  <si>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</si>
  <si>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</si>
  <si>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</si>
  <si>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</si>
  <si>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</si>
  <si>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</si>
  <si>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</si>
  <si>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</si>
  <si>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</si>
  <si>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</si>
  <si>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</si>
  <si>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</si>
  <si>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</si>
  <si>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</si>
  <si>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</si>
  <si>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</si>
  <si>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</si>
  <si>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</si>
  <si>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</si>
  <si>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</si>
  <si>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c26.4</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</si>
  <si>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</si>
  <si>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</si>
  <si>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</si>
  <si>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</si>
  <si>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</si>
  <si>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</si>
  <si>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</si>
  <si>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</si>
  <si>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</si>
  <si>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</si>
  <si>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</si>
  <si>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</si>
  <si>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</si>
  <si>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</si>
  <si>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</si>
  <si>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</si>
  <si>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</si>
  <si>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</si>
  <si>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</si>
  <si>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</si>
  <si>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 xml:space="preserve">Unauthorised payments charge (@40%) Dividends charged at Hdiv_rate and AHdiv_rate , income over £100000 no PA, VCT relief maintenance payments </t>
  </si>
  <si>
    <t>Overseas special charges</t>
  </si>
  <si>
    <t>else</t>
  </si>
  <si>
    <t>Instances of different components can be selected together to produce complete test cases.</t>
  </si>
  <si>
    <t>All new cases will comply with the business validation rules, but may not 'realistic' examples of actual MTRs.</t>
  </si>
  <si>
    <t>Item 2 tax</t>
  </si>
  <si>
    <t>Item 3 type</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</si>
  <si>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</si>
  <si>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</si>
  <si>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</si>
  <si>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</si>
  <si>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</si>
  <si>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</si>
  <si>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</si>
  <si>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</si>
  <si>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</si>
  <si>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</si>
  <si>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</si>
  <si>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</si>
  <si>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</si>
  <si>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</si>
  <si>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</si>
  <si>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</si>
  <si>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Used on SA302 only</t>
  </si>
  <si>
    <t>Married couple's allowance</t>
  </si>
  <si>
    <t>plus</t>
  </si>
  <si>
    <t>Partnership 3</t>
  </si>
  <si>
    <t>c19.38</t>
  </si>
  <si>
    <t>c19.39</t>
  </si>
  <si>
    <t>c19.40</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</si>
  <si>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</si>
  <si>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</si>
  <si>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</si>
  <si>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</si>
  <si>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</si>
  <si>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</si>
  <si>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</si>
  <si>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</si>
  <si>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</si>
  <si>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</si>
  <si>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</si>
  <si>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</si>
  <si>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</si>
  <si>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remove lump sums and reverse premiums</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</si>
  <si>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</si>
  <si>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</si>
  <si>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</si>
  <si>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</si>
  <si>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</si>
  <si>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</si>
  <si>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</si>
  <si>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</si>
  <si>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</si>
  <si>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</si>
  <si>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</si>
  <si>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</si>
  <si>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</si>
  <si>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</si>
  <si>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</si>
  <si>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</si>
  <si>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</si>
  <si>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</si>
  <si>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</si>
  <si>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</si>
  <si>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</si>
  <si>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</si>
  <si>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</si>
  <si>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</si>
  <si>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</si>
  <si>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</si>
  <si>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</si>
  <si>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</si>
  <si>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</si>
  <si>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</si>
  <si>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</si>
  <si>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</si>
  <si>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</si>
  <si>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</si>
  <si>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</si>
  <si>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</si>
  <si>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</si>
  <si>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</si>
  <si>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</si>
  <si>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</si>
  <si>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</si>
  <si>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</si>
  <si>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</si>
  <si>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</si>
  <si>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</si>
  <si>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</si>
  <si>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</si>
  <si>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</si>
  <si>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</si>
  <si>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</si>
  <si>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</si>
  <si>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</si>
  <si>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</si>
  <si>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</si>
  <si>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c91.38</t>
  </si>
  <si>
    <t>c91.39</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</si>
  <si>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</si>
  <si>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</si>
  <si>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</si>
  <si>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</si>
  <si>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</si>
  <si>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</si>
  <si>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</si>
  <si>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</si>
  <si>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</si>
  <si>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</si>
  <si>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</si>
  <si>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</si>
  <si>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</si>
  <si>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</si>
  <si>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</si>
  <si>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</si>
  <si>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</si>
  <si>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</si>
  <si>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</si>
  <si>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</si>
  <si>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</si>
  <si>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</si>
  <si>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</si>
  <si>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</si>
  <si>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</si>
  <si>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</si>
  <si>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</si>
  <si>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</si>
  <si>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</si>
  <si>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</si>
  <si>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</si>
  <si>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</si>
  <si>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</si>
  <si>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</si>
  <si>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</si>
  <si>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</si>
  <si>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</si>
  <si>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</si>
  <si>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</si>
  <si>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</si>
  <si>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</si>
  <si>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</si>
  <si>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</si>
  <si>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</si>
  <si>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</si>
  <si>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</si>
  <si>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</si>
  <si>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Share of total taxed and untaxed income</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</si>
  <si>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</si>
  <si>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</si>
  <si>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</si>
  <si>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</si>
  <si>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</si>
  <si>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</si>
  <si>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</si>
  <si>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</si>
  <si>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</si>
  <si>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</si>
  <si>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</si>
  <si>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</si>
  <si>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</si>
  <si>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</si>
  <si>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</si>
  <si>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</si>
  <si>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</si>
  <si>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</si>
  <si>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</si>
  <si>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</si>
  <si>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</si>
  <si>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</si>
  <si>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</si>
  <si>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</si>
  <si>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 xml:space="preserve"> UK pensions &amp; state benefits</t>
  </si>
  <si>
    <t>L21</t>
  </si>
  <si>
    <t>L22</t>
  </si>
  <si>
    <t>L23</t>
  </si>
  <si>
    <t>L24</t>
  </si>
  <si>
    <t>L25</t>
  </si>
  <si>
    <t>L26</t>
  </si>
  <si>
    <t>c14.6</t>
  </si>
  <si>
    <t>c14.7</t>
  </si>
  <si>
    <t xml:space="preserve">Net Student Loan Repayment Due Through Self Assessment </t>
  </si>
  <si>
    <t>Income Type</t>
  </si>
  <si>
    <t>Gift Aid Payments</t>
  </si>
  <si>
    <t>on life policies etc.</t>
  </si>
  <si>
    <t xml:space="preserve">Income tax due </t>
  </si>
  <si>
    <t>Higher of A or B</t>
  </si>
  <si>
    <t>Repayment of student loans</t>
  </si>
  <si>
    <t>gift aid</t>
  </si>
  <si>
    <t>L97</t>
  </si>
  <si>
    <t>Total of column above</t>
  </si>
  <si>
    <t xml:space="preserve">Employment </t>
  </si>
  <si>
    <t>Ministers of Religion</t>
  </si>
  <si>
    <t>Cash basis adjustment FSE70 and Class 4 NIC adjustment FSE101</t>
  </si>
  <si>
    <t>MOR38</t>
  </si>
  <si>
    <t>c3.26</t>
  </si>
  <si>
    <t>c3.27</t>
  </si>
  <si>
    <t>c3.28</t>
  </si>
  <si>
    <t>c3.29</t>
  </si>
  <si>
    <t>c3.30</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</si>
  <si>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</si>
  <si>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</si>
  <si>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</si>
  <si>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</si>
  <si>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</si>
  <si>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</si>
  <si>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</si>
  <si>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</si>
  <si>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</si>
  <si>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</si>
  <si>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</si>
  <si>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</si>
  <si>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</si>
  <si>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</si>
  <si>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</si>
  <si>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</si>
  <si>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</si>
  <si>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</si>
  <si>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</si>
  <si>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</si>
  <si>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</si>
  <si>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</si>
  <si>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</si>
  <si>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</si>
  <si>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</si>
  <si>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</si>
  <si>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</si>
  <si>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</si>
  <si>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</si>
  <si>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</si>
  <si>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</si>
  <si>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</si>
  <si>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c19.2</t>
  </si>
  <si>
    <t>c19.3</t>
  </si>
  <si>
    <t>c19.4</t>
  </si>
  <si>
    <t>c19.5</t>
  </si>
  <si>
    <t>c19.6</t>
  </si>
  <si>
    <t>c19.7</t>
  </si>
  <si>
    <t>c19.8</t>
  </si>
  <si>
    <t>c19.9</t>
  </si>
  <si>
    <t>c19.10</t>
  </si>
  <si>
    <t>c19.11</t>
  </si>
  <si>
    <t>c19.12</t>
  </si>
  <si>
    <t>c19.13</t>
  </si>
  <si>
    <t>c19.14</t>
  </si>
  <si>
    <t>c19.15</t>
  </si>
  <si>
    <t>c19.16</t>
  </si>
  <si>
    <t>c19.17</t>
  </si>
  <si>
    <t>c19.18</t>
  </si>
  <si>
    <t>c19.19</t>
  </si>
  <si>
    <t>c19.20</t>
  </si>
  <si>
    <t>c19.21</t>
  </si>
  <si>
    <t>c19.22</t>
  </si>
  <si>
    <t>Income received (before tax taken off)</t>
  </si>
  <si>
    <t>Community Investment Tax Relief rate</t>
  </si>
  <si>
    <t>Profit from UK land and property</t>
  </si>
  <si>
    <t>Additional liability from Trusts</t>
  </si>
  <si>
    <t>Land &amp; Property</t>
  </si>
  <si>
    <t>Total income received</t>
  </si>
  <si>
    <t>Reduced MCA &gt;75</t>
  </si>
  <si>
    <t>D33</t>
  </si>
  <si>
    <t>P12</t>
  </si>
  <si>
    <t>H37</t>
  </si>
  <si>
    <t>H33</t>
  </si>
  <si>
    <t>P21</t>
  </si>
  <si>
    <t>L117b</t>
  </si>
  <si>
    <t>@ 50% =</t>
  </si>
  <si>
    <t>c1.25</t>
  </si>
  <si>
    <t>c1.26</t>
  </si>
  <si>
    <t>c1.27</t>
  </si>
  <si>
    <t>c1.28</t>
  </si>
  <si>
    <t>c1.29</t>
  </si>
  <si>
    <t>c1.30</t>
  </si>
  <si>
    <t>c1.32</t>
  </si>
  <si>
    <t>c1.33</t>
  </si>
  <si>
    <t>c1.1</t>
  </si>
  <si>
    <t>c1.2</t>
  </si>
  <si>
    <t>c1.4</t>
  </si>
  <si>
    <t>c2.2</t>
  </si>
  <si>
    <t>c2.3</t>
  </si>
  <si>
    <t>Higher rate, savings/dividends, CEG TSR not due</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</si>
  <si>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</si>
  <si>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</si>
  <si>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</si>
  <si>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</si>
  <si>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</si>
  <si>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</si>
  <si>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</si>
  <si>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</si>
  <si>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</si>
  <si>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</si>
  <si>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</si>
  <si>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</si>
  <si>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</si>
  <si>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</si>
  <si>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</si>
  <si>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Basis adjustment SPS9, tax deducted partnerships SPS27 and SPS29. CAL7 and FIN1</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</si>
  <si>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</si>
  <si>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</si>
  <si>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</si>
  <si>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</si>
  <si>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</si>
  <si>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</si>
  <si>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</si>
  <si>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</si>
  <si>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</si>
  <si>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</si>
  <si>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</si>
  <si>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</si>
  <si>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</si>
  <si>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</si>
  <si>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</si>
  <si>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</si>
  <si>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</si>
  <si>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</si>
  <si>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</si>
  <si>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</si>
  <si>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</si>
  <si>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</si>
  <si>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</si>
  <si>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</si>
  <si>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</si>
  <si>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</si>
  <si>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total earned income</t>
  </si>
  <si>
    <t>Single foreign gain</t>
  </si>
  <si>
    <t>Item 2 type</t>
  </si>
  <si>
    <t>Seafarers deduction ASE11</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</si>
  <si>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</si>
  <si>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</si>
  <si>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</si>
  <si>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</si>
  <si>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</si>
  <si>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</si>
  <si>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</si>
  <si>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</si>
  <si>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</si>
  <si>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</si>
  <si>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</si>
  <si>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</si>
  <si>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</si>
  <si>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</si>
  <si>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</si>
  <si>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</si>
  <si>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</si>
  <si>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</si>
  <si>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</si>
  <si>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</si>
  <si>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</si>
  <si>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</si>
  <si>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</si>
  <si>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</si>
  <si>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</si>
  <si>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</si>
  <si>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</si>
  <si>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</si>
  <si>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</si>
  <si>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</si>
  <si>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</si>
  <si>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</si>
  <si>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</si>
  <si>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</si>
  <si>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</si>
  <si>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</si>
  <si>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</si>
  <si>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</si>
  <si>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</si>
  <si>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</si>
  <si>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</si>
  <si>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</si>
  <si>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</si>
  <si>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</si>
  <si>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Imam</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</si>
  <si>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</si>
  <si>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</si>
  <si>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</si>
  <si>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</si>
  <si>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</si>
  <si>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</si>
  <si>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</si>
  <si>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</si>
  <si>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</si>
  <si>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</si>
  <si>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</si>
  <si>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</si>
  <si>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</si>
  <si>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</si>
  <si>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</si>
  <si>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</si>
  <si>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</si>
  <si>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</si>
  <si>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</si>
  <si>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</si>
  <si>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</si>
  <si>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</si>
  <si>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</si>
  <si>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</si>
  <si>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</si>
  <si>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Dividends from trusts etc.</t>
  </si>
  <si>
    <t>Other income from trusts etc.</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</si>
  <si>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</si>
  <si>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</si>
  <si>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</si>
  <si>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</si>
  <si>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</si>
  <si>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</si>
  <si>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</si>
  <si>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</si>
  <si>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</si>
  <si>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</si>
  <si>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</si>
  <si>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</si>
  <si>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</si>
  <si>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</si>
  <si>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 xml:space="preserve">Employment with Small Debt coded but not enough PAYE tax to cover </t>
  </si>
  <si>
    <t>CGT16</t>
  </si>
  <si>
    <t>CGT17</t>
  </si>
  <si>
    <t>CGT18</t>
  </si>
  <si>
    <t>Foreign tax on estates (tax credit relief not claimed)</t>
  </si>
  <si>
    <t>Payments into a retirement annuity contract etc.</t>
  </si>
  <si>
    <t>DNK</t>
  </si>
  <si>
    <t>Basic rate, Loan interest and CITR claimed.</t>
  </si>
  <si>
    <t>TRU12</t>
  </si>
  <si>
    <t xml:space="preserve"> Profit from self employment</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</si>
  <si>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</si>
  <si>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</si>
  <si>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</si>
  <si>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</si>
  <si>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</si>
  <si>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</si>
  <si>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</si>
  <si>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</si>
  <si>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</si>
  <si>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</si>
  <si>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</si>
  <si>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</si>
  <si>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</si>
  <si>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</si>
  <si>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</si>
  <si>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</si>
  <si>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</si>
  <si>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</si>
  <si>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</si>
  <si>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</si>
  <si>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</si>
  <si>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</si>
  <si>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</si>
  <si>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</si>
  <si>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</si>
  <si>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</si>
  <si>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</si>
  <si>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</si>
  <si>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</si>
  <si>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</si>
  <si>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</si>
  <si>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</si>
  <si>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</si>
  <si>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</si>
  <si>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</si>
  <si>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</si>
  <si>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</si>
  <si>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</si>
  <si>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</si>
  <si>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</si>
  <si>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</si>
  <si>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</si>
  <si>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</si>
  <si>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</si>
  <si>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</si>
  <si>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</si>
  <si>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</si>
  <si>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</si>
  <si>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</si>
  <si>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</si>
  <si>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</si>
  <si>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</si>
  <si>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</si>
  <si>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</si>
  <si>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</si>
  <si>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HR_threshold</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</si>
  <si>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</si>
  <si>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</si>
  <si>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</si>
  <si>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</si>
  <si>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</si>
  <si>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</si>
  <si>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</si>
  <si>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</si>
  <si>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</si>
  <si>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</si>
  <si>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</si>
  <si>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</si>
  <si>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</si>
  <si>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</si>
  <si>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</si>
  <si>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</si>
  <si>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</si>
  <si>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</si>
  <si>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</si>
  <si>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c91.36</t>
  </si>
  <si>
    <t>Total tax, Student Loan repayment &amp; class 4 NIC due</t>
  </si>
  <si>
    <t>Total tax, Student Loan repayment &amp; class 4 NIC overpaid</t>
  </si>
  <si>
    <t>Class 4 NICs due</t>
  </si>
  <si>
    <t>Student Loan repayment due</t>
  </si>
  <si>
    <t>Pension charges due</t>
  </si>
  <si>
    <t>M12</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</si>
  <si>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</si>
  <si>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</si>
  <si>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</si>
  <si>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</si>
  <si>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</si>
  <si>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</si>
  <si>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</si>
  <si>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</si>
  <si>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</si>
  <si>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</si>
  <si>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</si>
  <si>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</si>
  <si>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</si>
  <si>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</si>
  <si>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</si>
  <si>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</si>
  <si>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</si>
  <si>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</si>
  <si>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</si>
  <si>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</si>
  <si>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</si>
  <si>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</si>
  <si>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</si>
  <si>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</si>
  <si>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</si>
  <si>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Higher rate taxpayer Test for AIL8 charge higher rate taxpayer</t>
  </si>
  <si>
    <t>Basic Rate Taxpayer Test for AIL8 charge</t>
  </si>
  <si>
    <t xml:space="preserve">Lower Rate taxpayer with Lloyds Income </t>
  </si>
  <si>
    <t xml:space="preserve">Lloyds class 4 NIC , gains  with balance of BR band  </t>
  </si>
  <si>
    <t>Lloyds with Self Employment Income  max NIC charged, CGT</t>
  </si>
  <si>
    <t xml:space="preserve">Lloyds with Lump Sum , PPR and Partnership Income, PA reduced to Nil  </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</si>
  <si>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</si>
  <si>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</si>
  <si>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</si>
  <si>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</si>
  <si>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</si>
  <si>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</si>
  <si>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</si>
  <si>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</si>
  <si>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</si>
  <si>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</si>
  <si>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</si>
  <si>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</si>
  <si>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</si>
  <si>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</si>
  <si>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</si>
  <si>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</si>
  <si>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</si>
  <si>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</si>
  <si>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</si>
  <si>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Test for TRU18</t>
  </si>
  <si>
    <t>Non resident with FPS69</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</si>
  <si>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</si>
  <si>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</si>
  <si>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</si>
  <si>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</si>
  <si>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</si>
  <si>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</si>
  <si>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</si>
  <si>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</si>
  <si>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</si>
  <si>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</si>
  <si>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</si>
  <si>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</si>
  <si>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</si>
  <si>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</si>
  <si>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</si>
  <si>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</si>
  <si>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</si>
  <si>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</si>
  <si>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</si>
  <si>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BPA and MCA not due as taxpayer is Non resident</t>
  </si>
  <si>
    <t>item 1</t>
  </si>
  <si>
    <t>item 2</t>
  </si>
  <si>
    <t>item 3</t>
  </si>
  <si>
    <t>total</t>
  </si>
  <si>
    <t>Recoverable tax on charges</t>
  </si>
  <si>
    <t>C2</t>
  </si>
  <si>
    <t>C3</t>
  </si>
  <si>
    <t>C6</t>
  </si>
  <si>
    <t>C7</t>
  </si>
  <si>
    <t>Ministers</t>
  </si>
  <si>
    <t>of Religion</t>
  </si>
  <si>
    <t>Higher rate, non savings, Property class 4 nic</t>
  </si>
  <si>
    <t>CGT adjustments</t>
  </si>
  <si>
    <t>Additional Information:</t>
  </si>
  <si>
    <t>CGT2</t>
  </si>
  <si>
    <t>CGT3</t>
  </si>
  <si>
    <t>c25.10</t>
  </si>
  <si>
    <t>c25.11</t>
  </si>
  <si>
    <t>c25.12</t>
  </si>
  <si>
    <t>c25.13</t>
  </si>
  <si>
    <t>Basic rate, non savings BPA, AA not due</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</si>
  <si>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</si>
  <si>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</si>
  <si>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</si>
  <si>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</si>
  <si>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</si>
  <si>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</si>
  <si>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</si>
  <si>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</si>
  <si>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</si>
  <si>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</si>
  <si>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</si>
  <si>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</si>
  <si>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</si>
  <si>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</si>
  <si>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</si>
  <si>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</si>
  <si>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</si>
  <si>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</si>
  <si>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</si>
  <si>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</si>
  <si>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</si>
  <si>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</si>
  <si>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</si>
  <si>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c10.12</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</si>
  <si>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</si>
  <si>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</si>
  <si>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</si>
  <si>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</si>
  <si>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</si>
  <si>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</si>
  <si>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</si>
  <si>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</si>
  <si>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</si>
  <si>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</si>
  <si>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</si>
  <si>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</si>
  <si>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</si>
  <si>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</si>
  <si>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</si>
  <si>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</si>
  <si>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</si>
  <si>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</si>
  <si>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</si>
  <si>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</si>
  <si>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</si>
  <si>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</si>
  <si>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</si>
  <si>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</si>
  <si>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</si>
  <si>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</si>
  <si>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</si>
  <si>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</si>
  <si>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</si>
  <si>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</si>
  <si>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</si>
  <si>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</si>
  <si>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</si>
  <si>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</si>
  <si>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</si>
  <si>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</si>
  <si>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</si>
  <si>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</si>
  <si>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</si>
  <si>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</si>
  <si>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</si>
  <si>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</si>
  <si>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</si>
  <si>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</si>
  <si>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</si>
  <si>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</si>
  <si>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</si>
  <si>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</si>
  <si>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</si>
  <si>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</si>
  <si>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</si>
  <si>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</si>
  <si>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</si>
  <si>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</si>
  <si>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</si>
  <si>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</si>
  <si>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</si>
  <si>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</si>
  <si>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</si>
  <si>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</si>
  <si>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</si>
  <si>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</si>
  <si>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</si>
  <si>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c91.37</t>
  </si>
  <si>
    <t>Amount of income</t>
  </si>
  <si>
    <t>Foreign tax paid</t>
  </si>
  <si>
    <t>Total deductions</t>
  </si>
  <si>
    <t>ER_CGT_rate</t>
  </si>
  <si>
    <t>c14.4</t>
  </si>
  <si>
    <t>c14.5</t>
  </si>
  <si>
    <t>Income Tax overpaid</t>
  </si>
  <si>
    <t>L112</t>
  </si>
  <si>
    <t>L113</t>
  </si>
  <si>
    <t>Income chargeable on settlors</t>
  </si>
  <si>
    <t>CGT19</t>
  </si>
  <si>
    <t>CGT20</t>
  </si>
  <si>
    <r>
      <t xml:space="preserve">Dividends </t>
    </r>
    <r>
      <rPr>
        <i/>
        <sz val="9"/>
        <rFont val="Arial"/>
        <family val="2"/>
      </rPr>
      <t>non qual</t>
    </r>
  </si>
  <si>
    <t>Item 4 % max</t>
  </si>
  <si>
    <t>Item 3 % max</t>
  </si>
  <si>
    <t>component. The 'test case' sheet is generated from components and will not show the amended figures.</t>
  </si>
  <si>
    <t>SEED EIS</t>
  </si>
  <si>
    <t>SEED EIS and EIS</t>
  </si>
  <si>
    <t>CBC test. ANI &lt;50,000</t>
  </si>
  <si>
    <t>CBC test. ANI &gt;60,000</t>
  </si>
  <si>
    <t>CBC Test.  ANI between 50,000 and 60,000</t>
  </si>
  <si>
    <t>CBC test. ANI &gt;60,000 reduced by Gift Aid</t>
  </si>
  <si>
    <t>CBC test. ANI &gt;50,000 reduced by PPR</t>
  </si>
  <si>
    <t xml:space="preserve">Non savings, not HRS because of gift aid </t>
  </si>
  <si>
    <t>L48A</t>
  </si>
  <si>
    <t>taxable-int-AHR</t>
  </si>
  <si>
    <t xml:space="preserve">The Test Case Generator (Tester) supports the testing of the tax calculation, resulting from the successful capture of </t>
  </si>
  <si>
    <t xml:space="preserve">and gains on life policies </t>
  </si>
  <si>
    <t>L60A</t>
  </si>
  <si>
    <t>Child benefit</t>
  </si>
  <si>
    <t>CBC</t>
  </si>
  <si>
    <t>G46</t>
  </si>
  <si>
    <t>More Select</t>
  </si>
  <si>
    <t>Nic X</t>
  </si>
  <si>
    <t>A21</t>
  </si>
  <si>
    <t>A23</t>
  </si>
  <si>
    <t>caterer</t>
  </si>
  <si>
    <t>baker</t>
  </si>
  <si>
    <t>CAN</t>
  </si>
  <si>
    <t>NAM</t>
  </si>
  <si>
    <t>NS income (c1)</t>
  </si>
  <si>
    <t>Savings (c2)</t>
  </si>
  <si>
    <t>Divs (c3)</t>
  </si>
  <si>
    <t>Deductions (c4)</t>
  </si>
  <si>
    <t>Taxable (c5)</t>
  </si>
  <si>
    <t xml:space="preserve">MCA claimed husband, losses and pension lump sum </t>
  </si>
  <si>
    <t xml:space="preserve">MCA ( half basic to wife )  and SSE schedule  </t>
  </si>
  <si>
    <t xml:space="preserve">MCA husband in year marriage  with Dividend Income </t>
  </si>
  <si>
    <t>TRU7</t>
  </si>
  <si>
    <t>TRU8</t>
  </si>
  <si>
    <t>TRU9</t>
  </si>
  <si>
    <t>TRU10</t>
  </si>
  <si>
    <t>TRU11</t>
  </si>
  <si>
    <t>Item 2 Income</t>
  </si>
  <si>
    <t>REL15</t>
  </si>
  <si>
    <t>REL16</t>
  </si>
  <si>
    <t>c28.10</t>
  </si>
  <si>
    <t>c28.11</t>
  </si>
  <si>
    <t>c28.12</t>
  </si>
  <si>
    <t>c28.13</t>
  </si>
  <si>
    <t>c28.14</t>
  </si>
  <si>
    <t>Child Benefit income limit</t>
  </si>
  <si>
    <t>Adjusted Net Income in excess of Child Benefit income limit</t>
  </si>
  <si>
    <t xml:space="preserve">Child Benefit Taper </t>
  </si>
  <si>
    <t>CBC_taper</t>
  </si>
  <si>
    <t xml:space="preserve"> Income losses set against CGT (CGT14) </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</si>
  <si>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</si>
  <si>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</si>
  <si>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</si>
  <si>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</si>
  <si>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</si>
  <si>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</si>
  <si>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</si>
  <si>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</si>
  <si>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</si>
  <si>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</si>
  <si>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</si>
  <si>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</si>
  <si>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</si>
  <si>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</si>
  <si>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</si>
  <si>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</si>
  <si>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</si>
  <si>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</si>
  <si>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</si>
  <si>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</si>
  <si>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</si>
  <si>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</si>
  <si>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Lump sums etc.</t>
  </si>
  <si>
    <t>Dividends etc.</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</si>
  <si>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</si>
  <si>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</si>
  <si>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</si>
  <si>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</si>
  <si>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</si>
  <si>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</si>
  <si>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</si>
  <si>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</si>
  <si>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</si>
  <si>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</si>
  <si>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</si>
  <si>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</si>
  <si>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</si>
  <si>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</si>
  <si>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</si>
  <si>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</si>
  <si>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</si>
  <si>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S/E, state pension lump sum, SSE29</t>
  </si>
  <si>
    <t>PRO13</t>
  </si>
  <si>
    <t>PRO14</t>
  </si>
  <si>
    <t>tax it (c6)</t>
  </si>
  <si>
    <t>CDR (c7)</t>
  </si>
  <si>
    <t>tax it (c8)</t>
  </si>
  <si>
    <t>Tax adj (c9)</t>
  </si>
  <si>
    <t>Div Cr (c10)</t>
  </si>
  <si>
    <t>tax paid (c11)</t>
  </si>
  <si>
    <t>Tax due (c12)</t>
  </si>
  <si>
    <t>POAs (c13)</t>
  </si>
  <si>
    <t>AIL14 over £20,000</t>
  </si>
  <si>
    <t>MCA 1, all to higher income partner</t>
  </si>
  <si>
    <t>MCA, all basic to partner</t>
  </si>
  <si>
    <t xml:space="preserve">Chargeable event and lump sum </t>
  </si>
  <si>
    <t>c4.6</t>
  </si>
  <si>
    <t>c4.7</t>
  </si>
  <si>
    <t>c4.8</t>
  </si>
  <si>
    <t>c4.9</t>
  </si>
  <si>
    <t>42</t>
  </si>
  <si>
    <t>84</t>
  </si>
  <si>
    <t>NRCAL</t>
  </si>
  <si>
    <t>Higher dividend rate net to gross factor</t>
  </si>
  <si>
    <t>HDR_gross</t>
  </si>
  <si>
    <t>100/67.5</t>
  </si>
  <si>
    <t>Grossing up factors</t>
  </si>
  <si>
    <t>Julie</t>
  </si>
  <si>
    <t>Jean</t>
  </si>
  <si>
    <t>Steve</t>
  </si>
  <si>
    <t>Jenny</t>
  </si>
  <si>
    <t>Liz</t>
  </si>
  <si>
    <t>Jane</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</si>
  <si>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</si>
  <si>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</si>
  <si>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</si>
  <si>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</si>
  <si>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</si>
  <si>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</si>
  <si>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</si>
  <si>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</si>
  <si>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</si>
  <si>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</si>
  <si>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</si>
  <si>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</si>
  <si>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</si>
  <si>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</si>
  <si>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</si>
  <si>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</si>
  <si>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</si>
  <si>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</si>
  <si>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</si>
  <si>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</si>
  <si>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</si>
  <si>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</si>
  <si>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</si>
  <si>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 xml:space="preserve">MOR, Employments and Trusts,  HR </t>
  </si>
  <si>
    <t>gains  no basic rate available</t>
  </si>
  <si>
    <t>Class 4 NIC adjustments</t>
  </si>
  <si>
    <t>Tax already refunded</t>
  </si>
  <si>
    <t>Additional Pages:</t>
  </si>
  <si>
    <t>Gains on life</t>
  </si>
  <si>
    <t>policies etc.</t>
  </si>
  <si>
    <t>Tax due included in later PAYE code</t>
  </si>
  <si>
    <t>Underpayments for earlier years</t>
  </si>
  <si>
    <t>Personal Allowance</t>
  </si>
  <si>
    <t>Outputs from the Tester</t>
  </si>
  <si>
    <t>income</t>
  </si>
  <si>
    <t>c25.22</t>
  </si>
  <si>
    <t>c25.23</t>
  </si>
  <si>
    <t>c25.24</t>
  </si>
  <si>
    <t>c25.25</t>
  </si>
  <si>
    <t>c25.26</t>
  </si>
  <si>
    <t>c25.27</t>
  </si>
  <si>
    <t>c25.28</t>
  </si>
  <si>
    <t xml:space="preserve">Lloyds with Trust income and SL repayments </t>
  </si>
  <si>
    <t>Pension savings charge</t>
  </si>
  <si>
    <t>UK Pensions</t>
  </si>
  <si>
    <t>Chargeable Event Gains etc.</t>
  </si>
  <si>
    <t xml:space="preserve">Other Income </t>
  </si>
  <si>
    <t>c6.15</t>
  </si>
  <si>
    <t xml:space="preserve">‘Payments you have made towards </t>
  </si>
  <si>
    <t xml:space="preserve">MOR and various other schedules and boxes, AHR, TSR and CGT  </t>
  </si>
  <si>
    <t>EMP14</t>
  </si>
  <si>
    <t>Employment (2)</t>
  </si>
  <si>
    <t>Cars and vans</t>
  </si>
  <si>
    <t>window cleaner</t>
  </si>
  <si>
    <t>hair dresser</t>
  </si>
  <si>
    <t>Not Used</t>
  </si>
  <si>
    <t>FPS80</t>
  </si>
  <si>
    <t>marked ‘Select test case number to be replayed’ on the 'Test Case index' sheet.</t>
  </si>
  <si>
    <t>L97A</t>
  </si>
  <si>
    <t>Nic Ex</t>
  </si>
  <si>
    <t>LUN1</t>
  </si>
  <si>
    <t>Allocate Non-savings</t>
  </si>
  <si>
    <t xml:space="preserve"> Income etc.</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</si>
  <si>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</si>
  <si>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</si>
  <si>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</si>
  <si>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</si>
  <si>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</si>
  <si>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</si>
  <si>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</si>
  <si>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</si>
  <si>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</si>
  <si>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</si>
  <si>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</si>
  <si>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 xml:space="preserve">CRC - Shows the tax calculation data required by other processes/systems: </t>
  </si>
  <si>
    <t>Create Return Charge - the interface to TLI</t>
  </si>
  <si>
    <t>Student loan income - data required by the Student Loan system.</t>
  </si>
  <si>
    <t>Lloyds income with pension savings and capital gains, balance BR to gains</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</si>
  <si>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</si>
  <si>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</si>
  <si>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</si>
  <si>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</si>
  <si>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</si>
  <si>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</si>
  <si>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</si>
  <si>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</si>
  <si>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</si>
  <si>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</si>
  <si>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</si>
  <si>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</si>
  <si>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</si>
  <si>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</si>
  <si>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</si>
  <si>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</si>
  <si>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</si>
  <si>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</si>
  <si>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</si>
  <si>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</si>
  <si>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</si>
  <si>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</si>
  <si>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</si>
  <si>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</si>
  <si>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</si>
  <si>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</si>
  <si>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</si>
  <si>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</si>
  <si>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(not dividends)</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</si>
  <si>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</si>
  <si>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</si>
  <si>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</si>
  <si>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</si>
  <si>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</si>
  <si>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</si>
  <si>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</si>
  <si>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</si>
  <si>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</si>
  <si>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</si>
  <si>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</si>
  <si>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</si>
  <si>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</si>
  <si>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</si>
  <si>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</si>
  <si>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</si>
  <si>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</si>
  <si>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</si>
  <si>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</si>
  <si>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</si>
  <si>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</si>
  <si>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</si>
  <si>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</si>
  <si>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</si>
  <si>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</si>
  <si>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c19.30</t>
  </si>
  <si>
    <t>c19.31</t>
  </si>
  <si>
    <t>Nominated income</t>
  </si>
  <si>
    <t>c21.1</t>
  </si>
  <si>
    <t>c21.2</t>
  </si>
  <si>
    <t>c21.3</t>
  </si>
  <si>
    <t>c21.4</t>
  </si>
  <si>
    <t>c21.5</t>
  </si>
  <si>
    <t>c21.6</t>
  </si>
  <si>
    <t>c21.7</t>
  </si>
  <si>
    <t>c21.8</t>
  </si>
  <si>
    <t>c21.9</t>
  </si>
  <si>
    <t>c21.10</t>
  </si>
  <si>
    <t>c21.11</t>
  </si>
  <si>
    <t>c21.12</t>
  </si>
  <si>
    <t>RBC (c19)</t>
  </si>
  <si>
    <t>c19.32</t>
  </si>
  <si>
    <t>Q6</t>
  </si>
  <si>
    <t>Allocate income to tax bands</t>
  </si>
  <si>
    <t>TCA</t>
  </si>
  <si>
    <t>c25.48</t>
  </si>
  <si>
    <t>Unused Basic Rate Band</t>
  </si>
  <si>
    <t>Unused Higher Rate Band</t>
  </si>
  <si>
    <t>L98</t>
  </si>
  <si>
    <t>Tax paid by the pension scheme</t>
  </si>
  <si>
    <t>Allocate Dividends etc.</t>
  </si>
  <si>
    <t xml:space="preserve">Allocate Lump sum </t>
  </si>
  <si>
    <t>Allocate gains on</t>
  </si>
  <si>
    <t>Taxable short service refund (overseas schemes)</t>
  </si>
  <si>
    <t>Calculate pension savings tax charges</t>
  </si>
  <si>
    <t>c18.17</t>
  </si>
  <si>
    <t>c18.18</t>
  </si>
  <si>
    <t>c18.19</t>
  </si>
  <si>
    <t>End if</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</si>
  <si>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</si>
  <si>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</si>
  <si>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</si>
  <si>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</si>
  <si>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</si>
  <si>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</si>
  <si>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</si>
  <si>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</si>
  <si>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</si>
  <si>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</si>
  <si>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</si>
  <si>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</si>
  <si>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</si>
  <si>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</si>
  <si>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</si>
  <si>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</si>
  <si>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</si>
  <si>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</si>
  <si>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</si>
  <si>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</si>
  <si>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</si>
  <si>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</si>
  <si>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</si>
  <si>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</si>
  <si>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</si>
  <si>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</si>
  <si>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</si>
  <si>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</si>
  <si>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</si>
  <si>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</si>
  <si>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</si>
  <si>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</si>
  <si>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c19.34</t>
  </si>
  <si>
    <t>c19.35</t>
  </si>
  <si>
    <t>c19.36</t>
  </si>
  <si>
    <t>c19.37</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</si>
  <si>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</si>
  <si>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</si>
  <si>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</si>
  <si>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</si>
  <si>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</si>
  <si>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</si>
  <si>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</si>
  <si>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</si>
  <si>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</si>
  <si>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</si>
  <si>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</si>
  <si>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</si>
  <si>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</si>
  <si>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</si>
  <si>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</si>
  <si>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Multiple Emp with SL, one RTL eligible income , CAL7 max</t>
  </si>
  <si>
    <t xml:space="preserve">Lloyds aged over 65 Nic exempt </t>
  </si>
  <si>
    <t xml:space="preserve">Lloyds higher rate taxpayer with TSR </t>
  </si>
  <si>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</si>
  <si>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</si>
  <si>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</si>
  <si>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</si>
  <si>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</si>
  <si>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</si>
  <si>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</si>
  <si>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</si>
  <si>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</si>
  <si>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</si>
  <si>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</si>
  <si>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</si>
  <si>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</si>
  <si>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</si>
  <si>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</si>
  <si>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</si>
  <si>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</si>
  <si>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</si>
  <si>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</si>
  <si>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</si>
  <si>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</si>
  <si>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</si>
  <si>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</si>
  <si>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</si>
  <si>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D28</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</si>
  <si>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</si>
  <si>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</si>
  <si>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</si>
  <si>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</si>
  <si>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</si>
  <si>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</si>
  <si>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</si>
  <si>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</si>
  <si>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</si>
  <si>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</si>
  <si>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</si>
  <si>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</si>
  <si>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</si>
  <si>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</si>
  <si>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</si>
  <si>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</si>
  <si>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</si>
  <si>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</si>
  <si>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</si>
  <si>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</si>
  <si>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</si>
  <si>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</si>
  <si>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</si>
  <si>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</si>
  <si>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</si>
  <si>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</si>
  <si>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</si>
  <si>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</si>
  <si>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</si>
  <si>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</si>
  <si>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</si>
  <si>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</si>
  <si>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</si>
  <si>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</si>
  <si>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</si>
  <si>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</si>
  <si>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</si>
  <si>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</si>
  <si>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</si>
  <si>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</si>
  <si>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</si>
  <si>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</si>
  <si>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</si>
  <si>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</si>
  <si>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</si>
  <si>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</si>
  <si>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</si>
  <si>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</si>
  <si>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</si>
  <si>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</si>
  <si>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</si>
  <si>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</si>
  <si>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</si>
  <si>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</si>
  <si>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</si>
  <si>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</si>
  <si>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</si>
  <si>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</si>
  <si>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</si>
  <si>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 xml:space="preserve"> Gains on life insurance policies etc.</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</si>
  <si>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</si>
  <si>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</si>
  <si>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</si>
  <si>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</si>
  <si>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</si>
  <si>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</si>
  <si>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</si>
  <si>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</si>
  <si>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</si>
  <si>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</si>
  <si>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</si>
  <si>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</si>
  <si>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</si>
  <si>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</si>
  <si>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</si>
  <si>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</si>
  <si>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</si>
  <si>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</si>
  <si>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</si>
  <si>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</si>
  <si>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</si>
  <si>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</si>
  <si>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</si>
  <si>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</si>
  <si>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</si>
  <si>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</si>
  <si>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</si>
  <si>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</si>
  <si>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</si>
  <si>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</si>
  <si>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</si>
  <si>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</si>
  <si>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</si>
  <si>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</si>
  <si>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</si>
  <si>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</si>
  <si>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</si>
  <si>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</si>
  <si>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</si>
  <si>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</si>
  <si>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</si>
  <si>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</si>
  <si>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</si>
  <si>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</si>
  <si>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</si>
  <si>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</si>
  <si>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</si>
  <si>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</si>
  <si>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</si>
  <si>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</si>
  <si>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</si>
  <si>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</si>
  <si>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</si>
  <si>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</si>
  <si>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</si>
  <si>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</si>
  <si>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</si>
  <si>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</si>
  <si>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</si>
  <si>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</si>
  <si>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Class 4 National Insurance contributions</t>
  </si>
  <si>
    <t>PRO15</t>
  </si>
  <si>
    <t>PRO16</t>
  </si>
  <si>
    <t>PRO17</t>
  </si>
  <si>
    <t>PRO18</t>
  </si>
  <si>
    <t>PRO19</t>
  </si>
  <si>
    <t>PRO20</t>
  </si>
  <si>
    <t>PRO21</t>
  </si>
  <si>
    <t>PRO22</t>
  </si>
  <si>
    <t>PRO23</t>
  </si>
  <si>
    <t>PRO24</t>
  </si>
  <si>
    <t>PRO25</t>
  </si>
  <si>
    <t>PRO26</t>
  </si>
  <si>
    <t>PRO27</t>
  </si>
  <si>
    <t>from column C</t>
  </si>
  <si>
    <t>type</t>
  </si>
  <si>
    <t>Test for AIL5,6 and 7</t>
  </si>
  <si>
    <t xml:space="preserve">SL, Property and Trust income, CEG. Income over £100,000 reduced PA  </t>
  </si>
  <si>
    <t>FSE71</t>
  </si>
  <si>
    <t>Additional Information boxes AOI12 to AOI15 (Stock dividends etc.)</t>
  </si>
  <si>
    <t xml:space="preserve">Pension taxable short service refund, stock dividends </t>
  </si>
  <si>
    <t xml:space="preserve">PRO42 Loss against other income, HR, AHR and AHdiv </t>
  </si>
  <si>
    <t>Trade9</t>
  </si>
  <si>
    <t>Capped loan &amp; losses with payroll giving</t>
  </si>
  <si>
    <t>Partnership7</t>
  </si>
  <si>
    <t>Additional Information boxes ASE11 to ASE15 (Other deductions)</t>
  </si>
  <si>
    <t>Capped PTR losses with pension savings charges and royalty payments</t>
  </si>
  <si>
    <t>NRD3.1</t>
  </si>
  <si>
    <t>Divs from foreign companies, Remittance basis charge for Non Dom &amp; TSR = 0 (previously incorrectly £0.02)</t>
  </si>
  <si>
    <t>payments etc.</t>
  </si>
  <si>
    <t>Best displayed in 1024 x 768 mode</t>
  </si>
  <si>
    <t>test case that uses this component.</t>
  </si>
  <si>
    <t>3. Coded underpayment will be ignored if the is no PAYE source (EMP or MOR) selected.</t>
  </si>
  <si>
    <t xml:space="preserve">Test for FPS39 zero entry,  AHR </t>
  </si>
  <si>
    <t>Gains that qualify for Entrepreneurs' Relief</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</si>
  <si>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</si>
  <si>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</si>
  <si>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</si>
  <si>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</si>
  <si>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</si>
  <si>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</si>
  <si>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</si>
  <si>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</si>
  <si>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</si>
  <si>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</si>
  <si>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</si>
  <si>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</si>
  <si>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</si>
  <si>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</si>
  <si>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</si>
  <si>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</si>
  <si>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</si>
  <si>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</si>
  <si>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</si>
  <si>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</si>
  <si>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</si>
  <si>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</si>
  <si>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</si>
  <si>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</si>
  <si>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</si>
  <si>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</si>
  <si>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</si>
  <si>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</si>
  <si>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</si>
  <si>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</si>
  <si>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</si>
  <si>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</si>
  <si>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</si>
  <si>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</si>
  <si>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</si>
  <si>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</si>
  <si>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</si>
  <si>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</si>
  <si>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</si>
  <si>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</si>
  <si>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</si>
  <si>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</si>
  <si>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</si>
  <si>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</si>
  <si>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</si>
  <si>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</si>
  <si>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Total taxable income where not resident in the UK, ‘Annual Allowance Charge’ &amp; income potentially excluded from  tax calc under s128 FA 1995 for Annual Allowance Charge &amp; for Capital Gains</t>
  </si>
  <si>
    <t>Digest_of_Double_Taxation_Treaties.pdf</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</si>
  <si>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</si>
  <si>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</si>
  <si>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</si>
  <si>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</si>
  <si>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</si>
  <si>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</si>
  <si>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</si>
  <si>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</si>
  <si>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</si>
  <si>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</si>
  <si>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</si>
  <si>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</si>
  <si>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</si>
  <si>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</si>
  <si>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</si>
  <si>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</si>
  <si>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</si>
  <si>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</si>
  <si>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</si>
  <si>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</si>
  <si>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</si>
  <si>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</si>
  <si>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Taxable lump sum death benefit payment (overseas schemes)</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</si>
  <si>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</si>
  <si>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</si>
  <si>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</si>
  <si>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</si>
  <si>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</si>
  <si>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</si>
  <si>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</si>
  <si>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</si>
  <si>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</si>
  <si>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</si>
  <si>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</si>
  <si>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</si>
  <si>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</si>
  <si>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</si>
  <si>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</si>
  <si>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</si>
  <si>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</si>
  <si>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</si>
  <si>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</si>
  <si>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</si>
  <si>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</si>
  <si>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</si>
  <si>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</si>
  <si>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</si>
  <si>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</si>
  <si>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</si>
  <si>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</si>
  <si>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</si>
  <si>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</si>
  <si>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</si>
  <si>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</si>
  <si>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</si>
  <si>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</si>
  <si>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</si>
  <si>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</si>
  <si>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</si>
  <si>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</si>
  <si>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</si>
  <si>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</si>
  <si>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</si>
  <si>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</si>
  <si>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</si>
  <si>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</si>
  <si>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</si>
  <si>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</si>
  <si>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</si>
  <si>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</si>
  <si>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</si>
  <si>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TCR</t>
  </si>
  <si>
    <t xml:space="preserve"> Interest received from UK banks and building societies</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</si>
  <si>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</si>
  <si>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</si>
  <si>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</si>
  <si>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</si>
  <si>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</si>
  <si>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</si>
  <si>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</si>
  <si>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</si>
  <si>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</si>
  <si>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</si>
  <si>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</si>
  <si>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</si>
  <si>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</si>
  <si>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</si>
  <si>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</si>
  <si>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</si>
  <si>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</si>
  <si>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</si>
  <si>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</si>
  <si>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</si>
  <si>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</si>
  <si>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</si>
  <si>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</si>
  <si>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</si>
  <si>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</si>
  <si>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</si>
  <si>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</si>
  <si>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</si>
  <si>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</si>
  <si>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</si>
  <si>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</si>
  <si>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</si>
  <si>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</si>
  <si>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</si>
  <si>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</si>
  <si>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</si>
  <si>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</si>
  <si>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</si>
  <si>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</si>
  <si>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</si>
  <si>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</si>
  <si>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</si>
  <si>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</si>
  <si>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</si>
  <si>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</si>
  <si>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</si>
  <si>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</si>
  <si>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</si>
  <si>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</si>
  <si>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</si>
  <si>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</si>
  <si>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</si>
  <si>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</si>
  <si>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</si>
  <si>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</si>
  <si>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</si>
  <si>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</si>
  <si>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</si>
  <si>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</si>
  <si>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</si>
  <si>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</si>
  <si>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</si>
  <si>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</si>
  <si>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</si>
  <si>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</si>
  <si>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</si>
  <si>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</si>
  <si>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</si>
  <si>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</si>
  <si>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</si>
  <si>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</si>
  <si>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</si>
  <si>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</si>
  <si>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</si>
  <si>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</si>
  <si>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</si>
  <si>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</si>
  <si>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</si>
  <si>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</si>
  <si>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</si>
  <si>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Overseas short service refund charge (@20% and 40%) and overseas Lump sum death benefit , state pension lump sum</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</si>
  <si>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</si>
  <si>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</si>
  <si>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</si>
  <si>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</si>
  <si>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</si>
  <si>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</si>
  <si>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</si>
  <si>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</si>
  <si>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</si>
  <si>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</si>
  <si>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</si>
  <si>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</si>
  <si>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Overpaid, amount in FIN 1 results in underpaid amount on SA302</t>
  </si>
  <si>
    <t>c6.12</t>
  </si>
  <si>
    <t>c6.13</t>
  </si>
  <si>
    <t>c6.14</t>
  </si>
  <si>
    <t>Maintenance &amp; Alimony</t>
  </si>
  <si>
    <t xml:space="preserve">Note: Where components are being used, amending the input sheets will not change the figures on the </t>
  </si>
  <si>
    <t>not used</t>
  </si>
  <si>
    <t>L44A</t>
  </si>
  <si>
    <t>Business Premises Renovation Allowance</t>
  </si>
  <si>
    <t>£up</t>
  </si>
  <si>
    <t xml:space="preserve">MCA with shares income, all basic MCA to wife   </t>
  </si>
  <si>
    <t>Test for PRO38</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</si>
  <si>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</si>
  <si>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</si>
  <si>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</si>
  <si>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</si>
  <si>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</si>
  <si>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</si>
  <si>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</si>
  <si>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</si>
  <si>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</si>
  <si>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</si>
  <si>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</si>
  <si>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</si>
  <si>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</si>
  <si>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</si>
  <si>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</si>
  <si>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</si>
  <si>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</si>
  <si>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</si>
  <si>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</si>
  <si>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</si>
  <si>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</si>
  <si>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</si>
  <si>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</si>
  <si>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</si>
  <si>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</si>
  <si>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</si>
  <si>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</si>
  <si>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</si>
  <si>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</si>
  <si>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</si>
  <si>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</si>
  <si>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</si>
  <si>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State pension Lump sum (not liable)</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</si>
  <si>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</si>
  <si>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</si>
  <si>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</si>
  <si>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</si>
  <si>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</si>
  <si>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</si>
  <si>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</si>
  <si>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</si>
  <si>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</si>
  <si>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</si>
  <si>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</si>
  <si>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</si>
  <si>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</si>
  <si>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</si>
  <si>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</si>
  <si>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 xml:space="preserve">Student Loans with shares income </t>
  </si>
  <si>
    <t xml:space="preserve">Test for MOR20 </t>
  </si>
  <si>
    <t xml:space="preserve">Test for MOR35 - positive result </t>
  </si>
  <si>
    <t>Test for MOR35 , Ahdiv_rate</t>
  </si>
  <si>
    <t xml:space="preserve">Test for SSE21, losses and reduced PA  </t>
  </si>
  <si>
    <t xml:space="preserve">Test for FSE56, FSE60 &amp; FSE62 </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</si>
  <si>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</si>
  <si>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</si>
  <si>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</si>
  <si>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</si>
  <si>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</si>
  <si>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</si>
  <si>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</si>
  <si>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</si>
  <si>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</si>
  <si>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</si>
  <si>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</si>
  <si>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</si>
  <si>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</si>
  <si>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</si>
  <si>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</si>
  <si>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</si>
  <si>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on Lloyds dividends</t>
  </si>
  <si>
    <t>Foreign Tax Credit Relief</t>
  </si>
  <si>
    <t>Married Couples Allowance</t>
  </si>
  <si>
    <t>Tax refunded</t>
  </si>
  <si>
    <t>EMP</t>
  </si>
  <si>
    <t>Trade6</t>
  </si>
  <si>
    <t>SA151</t>
  </si>
  <si>
    <t xml:space="preserve">Student Loan Repayment </t>
  </si>
  <si>
    <t>(CSL-SA-REPAYMENT)</t>
  </si>
  <si>
    <t>tax-on-divs-BR</t>
  </si>
  <si>
    <t>Pension lump sum  and gift aid relief backdated (REL8)</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</si>
  <si>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</si>
  <si>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</si>
  <si>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</si>
  <si>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</si>
  <si>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</si>
  <si>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</si>
  <si>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</si>
  <si>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</si>
  <si>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</si>
  <si>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</si>
  <si>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</si>
  <si>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</si>
  <si>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</si>
  <si>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</si>
  <si>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</si>
  <si>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</si>
  <si>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non-residents tax</t>
  </si>
  <si>
    <t xml:space="preserve">Non-discretionary income from a trust </t>
  </si>
  <si>
    <t>Income from foreign estates</t>
  </si>
  <si>
    <t>Foreign tax paid on estate income</t>
  </si>
  <si>
    <t>Foreign tax for which FTCR not claimed</t>
  </si>
  <si>
    <t>Foreign dividends</t>
  </si>
  <si>
    <t>c5.24</t>
  </si>
  <si>
    <t>c5.25</t>
  </si>
  <si>
    <t>c5.26</t>
  </si>
  <si>
    <t xml:space="preserve">State pension Lump sum (basic rate), Minister of Religion, CGT. Balance of Basic rate to CGT </t>
  </si>
  <si>
    <t>FSE101</t>
  </si>
  <si>
    <t>c14.3</t>
  </si>
  <si>
    <t xml:space="preserve">Non Resident with AOI12 </t>
  </si>
  <si>
    <t>Non resident with AOI13</t>
  </si>
  <si>
    <t>LUN57</t>
  </si>
  <si>
    <t>LUN58</t>
  </si>
  <si>
    <t>LUN59</t>
  </si>
  <si>
    <t>LUN60</t>
  </si>
  <si>
    <t>LUN61</t>
  </si>
  <si>
    <t>LUN62</t>
  </si>
  <si>
    <t>LUN63</t>
  </si>
  <si>
    <t>LUN64</t>
  </si>
  <si>
    <t>LUN65</t>
  </si>
  <si>
    <t>LUN66</t>
  </si>
  <si>
    <t>SPS1</t>
  </si>
  <si>
    <t>Non-savings</t>
  </si>
  <si>
    <t>exempt</t>
  </si>
  <si>
    <t>c10.1</t>
  </si>
  <si>
    <t>c10.2</t>
  </si>
  <si>
    <t>c10.3</t>
  </si>
  <si>
    <t>c22.8</t>
  </si>
  <si>
    <t>c10.4</t>
  </si>
  <si>
    <t>c10.5</t>
  </si>
  <si>
    <t>c10.6</t>
  </si>
  <si>
    <t>c11.1</t>
  </si>
  <si>
    <t>c11.2</t>
  </si>
  <si>
    <t>c11.3</t>
  </si>
  <si>
    <t>c11.4</t>
  </si>
  <si>
    <t>Gift-aid-amount</t>
  </si>
  <si>
    <t>income-Foreign</t>
  </si>
  <si>
    <t>max_NIC</t>
  </si>
  <si>
    <t xml:space="preserve"> This reduces the amount of income charged to higher rates of tax.</t>
  </si>
  <si>
    <t>Tax paid</t>
  </si>
  <si>
    <t>Lifetime Allowance charge due</t>
  </si>
  <si>
    <t>'Not subject to Surcharge' amount</t>
  </si>
  <si>
    <t>To create a new test case:</t>
  </si>
  <si>
    <t>AOR</t>
  </si>
  <si>
    <t>Other tax reliefs</t>
  </si>
  <si>
    <t>AIL</t>
  </si>
  <si>
    <t>bee keeper</t>
  </si>
  <si>
    <t xml:space="preserve">Multiple sources with CBC charge </t>
  </si>
  <si>
    <t>SSE9</t>
  </si>
  <si>
    <t>SSE10</t>
  </si>
  <si>
    <t>SSE11</t>
  </si>
  <si>
    <t>SSE12</t>
  </si>
  <si>
    <t>SSE6</t>
  </si>
  <si>
    <t>Rel</t>
  </si>
  <si>
    <t>I7</t>
  </si>
  <si>
    <t>I10</t>
  </si>
  <si>
    <t>I17</t>
  </si>
  <si>
    <t>I20</t>
  </si>
  <si>
    <t>N5</t>
  </si>
  <si>
    <t>N12</t>
  </si>
  <si>
    <t>Tax due on Gift Aid payments</t>
  </si>
  <si>
    <t>(B)</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</si>
  <si>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</si>
  <si>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</si>
  <si>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</si>
  <si>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</si>
  <si>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</si>
  <si>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</si>
  <si>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</si>
  <si>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</si>
  <si>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</si>
  <si>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</si>
  <si>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</si>
  <si>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</si>
  <si>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</si>
  <si>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</si>
  <si>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</si>
  <si>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</si>
  <si>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</si>
  <si>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</si>
  <si>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</si>
  <si>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</si>
  <si>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</si>
  <si>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</si>
  <si>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</si>
  <si>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</si>
  <si>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</si>
  <si>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</si>
  <si>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</si>
  <si>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</si>
  <si>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</si>
  <si>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</si>
  <si>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</si>
  <si>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</si>
  <si>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</si>
  <si>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</si>
  <si>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</si>
  <si>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</si>
  <si>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</si>
  <si>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</si>
  <si>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</si>
  <si>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</si>
  <si>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</si>
  <si>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</si>
  <si>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</si>
  <si>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</si>
  <si>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</si>
  <si>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</si>
  <si>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</si>
  <si>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 xml:space="preserve">Overseas short refund charge @20% , CG adjustment CGT8  </t>
  </si>
  <si>
    <t>94</t>
  </si>
  <si>
    <t>c2.8</t>
  </si>
  <si>
    <t>c2.9</t>
  </si>
  <si>
    <t>Foreign dividends (up to £300)</t>
  </si>
  <si>
    <t>REL-C</t>
  </si>
  <si>
    <t>Basic rate, non savings/savings income</t>
  </si>
  <si>
    <t>Savings &amp; dividends</t>
  </si>
  <si>
    <t>Partnerships</t>
  </si>
  <si>
    <t>UK Land &amp; Property</t>
  </si>
  <si>
    <t>Foreign Income</t>
  </si>
  <si>
    <t>Total Income</t>
  </si>
  <si>
    <t>Lump Sums etc.</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</si>
  <si>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</si>
  <si>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</si>
  <si>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</si>
  <si>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</si>
  <si>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</si>
  <si>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</si>
  <si>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</si>
  <si>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</si>
  <si>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</si>
  <si>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</si>
  <si>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</si>
  <si>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</si>
  <si>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</si>
  <si>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</si>
  <si>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</si>
  <si>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</si>
  <si>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Item 3 Income</t>
  </si>
  <si>
    <t>Item 3 tax</t>
  </si>
  <si>
    <t>FTCR claim</t>
  </si>
  <si>
    <t>selected</t>
  </si>
  <si>
    <t>AOI3</t>
  </si>
  <si>
    <t>Life Insurance Gains</t>
  </si>
  <si>
    <t>AOI4</t>
  </si>
  <si>
    <t>AOI5</t>
  </si>
  <si>
    <t>AOI6</t>
  </si>
  <si>
    <t>AOI7</t>
  </si>
  <si>
    <t>AOI8</t>
  </si>
  <si>
    <t>AOI9</t>
  </si>
  <si>
    <t>AOI10</t>
  </si>
  <si>
    <t>90</t>
  </si>
  <si>
    <t>7</t>
  </si>
  <si>
    <t>49</t>
  </si>
  <si>
    <t>91</t>
  </si>
  <si>
    <t>8</t>
  </si>
  <si>
    <t>Part-time teacher's excluded income</t>
  </si>
  <si>
    <t>c11.9</t>
  </si>
  <si>
    <t>c11.10</t>
  </si>
  <si>
    <t>c11.11</t>
  </si>
  <si>
    <t>c11.12</t>
  </si>
  <si>
    <t>c11.13</t>
  </si>
  <si>
    <t>c11.14</t>
  </si>
  <si>
    <t>c11.15</t>
  </si>
  <si>
    <t>c11.16</t>
  </si>
  <si>
    <t>c11.17</t>
  </si>
  <si>
    <t>SCH E case</t>
  </si>
  <si>
    <t>CGT21</t>
  </si>
  <si>
    <t>CGT22</t>
  </si>
  <si>
    <t>CGT23</t>
  </si>
  <si>
    <t>CGT24</t>
  </si>
  <si>
    <t>CGT25</t>
  </si>
  <si>
    <t>CGT26</t>
  </si>
  <si>
    <t>CGT27</t>
  </si>
  <si>
    <t>CGT28</t>
  </si>
  <si>
    <t>CGT29</t>
  </si>
  <si>
    <t>Full MCA over 75 , BR band to CGT</t>
  </si>
  <si>
    <t>MCA1, half basic  to partner</t>
  </si>
  <si>
    <t>MCA claim lower income partner</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</si>
  <si>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</si>
  <si>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</si>
  <si>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</si>
  <si>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</si>
  <si>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</si>
  <si>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</si>
  <si>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</si>
  <si>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</si>
  <si>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</si>
  <si>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</si>
  <si>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</si>
  <si>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</si>
  <si>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</si>
  <si>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</si>
  <si>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</si>
  <si>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</si>
  <si>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</si>
  <si>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</si>
  <si>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</si>
  <si>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</si>
  <si>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</si>
  <si>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</si>
  <si>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</si>
  <si>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</si>
  <si>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</si>
  <si>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</si>
  <si>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</si>
  <si>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</si>
  <si>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</si>
  <si>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</si>
  <si>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</si>
  <si>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</si>
  <si>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</si>
  <si>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</si>
  <si>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</si>
  <si>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</si>
  <si>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</si>
  <si>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</si>
  <si>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</si>
  <si>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</si>
  <si>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</si>
  <si>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</si>
  <si>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</si>
  <si>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</si>
  <si>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</si>
  <si>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</si>
  <si>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</si>
  <si>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</si>
  <si>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</si>
  <si>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</si>
  <si>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</si>
  <si>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</si>
  <si>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RBC charge with pension charge and capped PTR losses</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</si>
  <si>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</si>
  <si>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</si>
  <si>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</si>
  <si>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</si>
  <si>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</si>
  <si>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</si>
  <si>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</si>
  <si>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</si>
  <si>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</si>
  <si>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</si>
  <si>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</si>
  <si>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</si>
  <si>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</si>
  <si>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</si>
  <si>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</si>
  <si>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</si>
  <si>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</si>
  <si>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</si>
  <si>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</si>
  <si>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</si>
  <si>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</si>
  <si>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</si>
  <si>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</si>
  <si>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</si>
  <si>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</si>
  <si>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Resident Non-domicile Additional charge</t>
  </si>
  <si>
    <t>RBC_Additional_ch</t>
  </si>
  <si>
    <t>Changes v0.1</t>
  </si>
  <si>
    <t>'data' worksheet (hidden)</t>
  </si>
  <si>
    <t>Q15</t>
  </si>
  <si>
    <t>else c2.7 = 0</t>
  </si>
  <si>
    <t>Band between Higher rate band</t>
  </si>
  <si>
    <t>&amp; Basic rate band</t>
  </si>
  <si>
    <t>If calculation type = non-resident</t>
  </si>
  <si>
    <t>End If</t>
  </si>
  <si>
    <t>Total Student Loan Deductions</t>
  </si>
  <si>
    <t>c19.41</t>
  </si>
  <si>
    <t>c19.42</t>
  </si>
  <si>
    <t>c19.43</t>
  </si>
  <si>
    <t>c19.44</t>
  </si>
  <si>
    <t>c19.45</t>
  </si>
  <si>
    <t>c19.46</t>
  </si>
  <si>
    <t>c19.47</t>
  </si>
  <si>
    <t>c19.48</t>
  </si>
  <si>
    <t>c19.49</t>
  </si>
  <si>
    <t>c19.50</t>
  </si>
  <si>
    <t>c19.51</t>
  </si>
  <si>
    <t>c19.52</t>
  </si>
  <si>
    <t>c19.53</t>
  </si>
  <si>
    <t>c19.54</t>
  </si>
  <si>
    <t>c19.55</t>
  </si>
  <si>
    <t>c19.56</t>
  </si>
  <si>
    <t>c19.57</t>
  </si>
  <si>
    <t>c19.58</t>
  </si>
  <si>
    <t>c19.59</t>
  </si>
  <si>
    <t>c19.60</t>
  </si>
  <si>
    <t>c19.61</t>
  </si>
  <si>
    <t>c19.62</t>
  </si>
  <si>
    <t>c19.63</t>
  </si>
  <si>
    <t>c19.64</t>
  </si>
  <si>
    <t>c19.65</t>
  </si>
  <si>
    <t>c19.66</t>
  </si>
  <si>
    <t>c19.67</t>
  </si>
  <si>
    <t>c19.68</t>
  </si>
  <si>
    <t>c19.69</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</si>
  <si>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</si>
  <si>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</si>
  <si>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</si>
  <si>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</si>
  <si>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</si>
  <si>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</si>
  <si>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</si>
  <si>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</si>
  <si>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</si>
  <si>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</si>
  <si>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</si>
  <si>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</si>
  <si>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</si>
  <si>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</si>
  <si>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</si>
  <si>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</si>
  <si>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</si>
  <si>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</si>
  <si>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</si>
  <si>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</si>
  <si>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</si>
  <si>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</si>
  <si>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</si>
  <si>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</si>
  <si>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</si>
  <si>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</si>
  <si>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</si>
  <si>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</si>
  <si>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</si>
  <si>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</si>
  <si>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</si>
  <si>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</si>
  <si>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</si>
  <si>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</si>
  <si>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</si>
  <si>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</si>
  <si>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</si>
  <si>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</si>
  <si>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</si>
  <si>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</si>
  <si>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</si>
  <si>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</si>
  <si>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</si>
  <si>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</si>
  <si>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</si>
  <si>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</si>
  <si>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</si>
  <si>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</si>
  <si>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</si>
  <si>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</si>
  <si>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</si>
  <si>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</si>
  <si>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</si>
  <si>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</si>
  <si>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</si>
  <si>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</si>
  <si>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</si>
  <si>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</si>
  <si>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</si>
  <si>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</si>
  <si>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</si>
  <si>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</si>
  <si>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</si>
  <si>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</si>
  <si>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</si>
  <si>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</si>
  <si>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</si>
  <si>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</si>
  <si>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</si>
  <si>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</si>
  <si>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</si>
  <si>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</si>
  <si>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</si>
  <si>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</si>
  <si>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</si>
  <si>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</si>
  <si>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</si>
  <si>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</si>
  <si>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</si>
  <si>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</si>
  <si>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Resident with multiple FTCR items claimed</t>
  </si>
  <si>
    <t>Premiums for the</t>
  </si>
  <si>
    <t>grant of a lease</t>
  </si>
  <si>
    <t>Savings Starting rate band</t>
  </si>
  <si>
    <t>Student Loan Unearned Income Threshold</t>
  </si>
  <si>
    <t>Resident Non-domicile Lower charge</t>
  </si>
  <si>
    <t>Non-domicile remittance basis allowance limit</t>
  </si>
  <si>
    <t>ND_limit</t>
  </si>
  <si>
    <t>Multiple sources. (STR 25)</t>
  </si>
  <si>
    <t>Investments</t>
  </si>
  <si>
    <t>Personal Age Allowance</t>
  </si>
  <si>
    <t>PAA_year</t>
  </si>
  <si>
    <t>Personal Allowance Elderly</t>
  </si>
  <si>
    <t>PAE_year</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</si>
  <si>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</si>
  <si>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</si>
  <si>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</si>
  <si>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</si>
  <si>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</si>
  <si>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</si>
  <si>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</si>
  <si>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c91.40</t>
  </si>
  <si>
    <t>c91.41</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</si>
  <si>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</si>
  <si>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</si>
  <si>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</si>
  <si>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</si>
  <si>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</si>
  <si>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</si>
  <si>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</si>
  <si>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</si>
  <si>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</si>
  <si>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</si>
  <si>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</si>
  <si>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</si>
  <si>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</si>
  <si>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</si>
  <si>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</si>
  <si>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</si>
  <si>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</si>
  <si>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</si>
  <si>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</si>
  <si>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</si>
  <si>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</si>
  <si>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</si>
  <si>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</si>
  <si>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</si>
  <si>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</si>
  <si>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</si>
  <si>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</si>
  <si>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</si>
  <si>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</si>
  <si>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</si>
  <si>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</si>
  <si>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</si>
  <si>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</si>
  <si>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</si>
  <si>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Lloyd’s losses brought forward from earlier years</t>
  </si>
  <si>
    <t>used against this year’s profits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</si>
  <si>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</si>
  <si>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</si>
  <si>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</si>
  <si>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</si>
  <si>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</si>
  <si>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</si>
  <si>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</si>
  <si>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</si>
  <si>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</si>
  <si>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</si>
  <si>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</si>
  <si>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</si>
  <si>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</si>
  <si>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</si>
  <si>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</si>
  <si>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</si>
  <si>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</si>
  <si>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</si>
  <si>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</si>
  <si>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</si>
  <si>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</si>
  <si>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</si>
  <si>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</si>
  <si>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</si>
  <si>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</si>
  <si>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</si>
  <si>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</si>
  <si>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</si>
  <si>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t>Lower of</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</si>
  <si>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</si>
  <si>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</si>
  <si>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</si>
  <si>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</si>
  <si>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</si>
  <si>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</si>
  <si>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</si>
  <si>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</si>
  <si>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</si>
  <si>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</si>
  <si>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</si>
  <si>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</si>
  <si>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</si>
  <si>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</si>
  <si>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</si>
  <si>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</si>
  <si>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</si>
  <si>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</si>
  <si>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</si>
  <si>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Trading loss relief for sole traders and partnerhips</t>
  </si>
  <si>
    <t>Relief not subject to Limit</t>
  </si>
  <si>
    <t>Relief subject to Limit</t>
  </si>
  <si>
    <t>Less exclusions</t>
  </si>
  <si>
    <t>Payments to trade unions or police organisations</t>
  </si>
  <si>
    <t>Sole Traders</t>
  </si>
  <si>
    <t>Relief Limited to £50,000, or if more,</t>
  </si>
  <si>
    <t>25% of adjusted total income</t>
  </si>
  <si>
    <t>SL_case</t>
  </si>
  <si>
    <t>MA_transfer</t>
  </si>
  <si>
    <t>MAT</t>
  </si>
  <si>
    <t>Marriage Allowance Transfer</t>
  </si>
  <si>
    <t>Transfer of Married Allowance</t>
  </si>
  <si>
    <t>MAT1</t>
  </si>
  <si>
    <t>MAT2</t>
  </si>
  <si>
    <t>MAT3</t>
  </si>
  <si>
    <t>MAT4</t>
  </si>
  <si>
    <t>MAT5</t>
  </si>
  <si>
    <t>AA999999A</t>
  </si>
  <si>
    <t>Matt</t>
  </si>
  <si>
    <t>Barbarena</t>
  </si>
  <si>
    <t>Totals for trading loss relief for sole traders and partnerhips</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</si>
  <si>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</si>
  <si>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</si>
  <si>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</si>
  <si>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</si>
  <si>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</si>
  <si>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</si>
  <si>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</si>
  <si>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</si>
  <si>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</si>
  <si>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</si>
  <si>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</si>
  <si>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</si>
  <si>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</si>
  <si>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</si>
  <si>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</si>
  <si>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</si>
  <si>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</si>
  <si>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</si>
  <si>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Partnership Losses. Uncapped BPRA of £170,000 and capped £20,000 allowed</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</si>
  <si>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</si>
  <si>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</si>
  <si>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</si>
  <si>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</si>
  <si>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</si>
  <si>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</si>
  <si>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</si>
  <si>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</si>
  <si>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</si>
  <si>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</si>
  <si>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</si>
  <si>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</si>
  <si>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</si>
  <si>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</si>
  <si>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</si>
  <si>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</si>
  <si>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c16.33</t>
  </si>
  <si>
    <t>c16.34</t>
  </si>
  <si>
    <t>c16.35</t>
  </si>
  <si>
    <t>c16.36</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</si>
  <si>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</si>
  <si>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</si>
  <si>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</si>
  <si>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</si>
  <si>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</si>
  <si>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</si>
  <si>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</si>
  <si>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</si>
  <si>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</si>
  <si>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</si>
  <si>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</si>
  <si>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</si>
  <si>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</si>
  <si>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</si>
  <si>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</si>
  <si>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</si>
  <si>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</si>
  <si>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</si>
  <si>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</si>
  <si>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</si>
  <si>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</si>
  <si>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</si>
  <si>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</si>
  <si>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</si>
  <si>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</si>
  <si>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</si>
  <si>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</si>
  <si>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</si>
  <si>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</si>
  <si>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</si>
  <si>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</si>
  <si>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</si>
  <si>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</si>
  <si>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</si>
  <si>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</si>
  <si>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</si>
  <si>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c2.20</t>
  </si>
  <si>
    <t>Untaxed foreign interest</t>
  </si>
  <si>
    <t>c2.18 + c3.17</t>
  </si>
  <si>
    <t>Election to transfer personal allowance (box MAT_1 to MAT_5 all completed)</t>
  </si>
  <si>
    <t>Annual Exempt Amount</t>
  </si>
  <si>
    <t>Reducing Allowances rate for MCA, Alimony etc</t>
  </si>
  <si>
    <t>Relief amount limited to £50,000, or if more,</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</si>
  <si>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</si>
  <si>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</si>
  <si>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</si>
  <si>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</si>
  <si>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</si>
  <si>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</si>
  <si>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</si>
  <si>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</si>
  <si>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</si>
  <si>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</si>
  <si>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</si>
  <si>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</si>
  <si>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</si>
  <si>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</si>
  <si>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</si>
  <si>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</si>
  <si>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</si>
  <si>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</si>
  <si>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</si>
  <si>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</si>
  <si>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</si>
  <si>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K41</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</si>
  <si>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</si>
  <si>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</si>
  <si>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</si>
  <si>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</si>
  <si>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</si>
  <si>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</si>
  <si>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</si>
  <si>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</si>
  <si>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</si>
  <si>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</si>
  <si>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</si>
  <si>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</si>
  <si>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</si>
  <si>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</si>
  <si>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</si>
  <si>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</si>
  <si>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</si>
  <si>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</si>
  <si>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</si>
  <si>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</si>
  <si>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</si>
  <si>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</si>
  <si>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</si>
  <si>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</si>
  <si>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</si>
  <si>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</si>
  <si>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</si>
  <si>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</si>
  <si>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</si>
  <si>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</si>
  <si>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</si>
  <si>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</si>
  <si>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</si>
  <si>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</si>
  <si>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</si>
  <si>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</si>
  <si>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</si>
  <si>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</si>
  <si>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</si>
  <si>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</si>
  <si>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</si>
  <si>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</si>
  <si>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</si>
  <si>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</si>
  <si>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</si>
  <si>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</si>
  <si>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Total taxable profits net of losses</t>
  </si>
  <si>
    <t>Share of total taxable profits net of losses</t>
  </si>
  <si>
    <t>Taxable profit for the year net of losses</t>
  </si>
  <si>
    <t>Foreign Income net of losses</t>
  </si>
  <si>
    <t>c1.27 + c2.3 + c3.1</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</si>
  <si>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</si>
  <si>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</si>
  <si>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</si>
  <si>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</si>
  <si>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</si>
  <si>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</si>
  <si>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</si>
  <si>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</si>
  <si>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</si>
  <si>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</si>
  <si>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</si>
  <si>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c12.24</t>
  </si>
  <si>
    <t>Tax reductions - Reliefs</t>
  </si>
  <si>
    <t>c1.17 + c1.20</t>
  </si>
  <si>
    <t>Marriage Allowance transfer</t>
  </si>
  <si>
    <t>Calculate adjustment to total SL income from all employments</t>
  </si>
  <si>
    <t xml:space="preserve"> c17.31 minus c17.47  </t>
  </si>
  <si>
    <t>less</t>
  </si>
  <si>
    <t>Total tax and National Insurance contributions due</t>
  </si>
  <si>
    <t>(A)</t>
  </si>
  <si>
    <t>Pen_MPAA_limit</t>
  </si>
  <si>
    <t>Money Purchase Annual Allowance charge threshold (lower allowance)</t>
  </si>
  <si>
    <t>Calculate remittance basis charge</t>
  </si>
  <si>
    <t>c12.16 (Absolute value)</t>
  </si>
  <si>
    <t>c12.18 (Absolute value)</t>
  </si>
  <si>
    <t>Comments</t>
  </si>
  <si>
    <t>Tax allowances for vehicles and equipment (capital allowances)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</si>
  <si>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</si>
  <si>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</si>
  <si>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</si>
  <si>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</si>
  <si>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</si>
  <si>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</si>
  <si>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</si>
  <si>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</si>
  <si>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</si>
  <si>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</si>
  <si>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</si>
  <si>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</si>
  <si>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</si>
  <si>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</si>
  <si>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</si>
  <si>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</si>
  <si>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</si>
  <si>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</si>
  <si>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</si>
  <si>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</si>
  <si>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</si>
  <si>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</si>
  <si>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</si>
  <si>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</si>
  <si>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</si>
  <si>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c12.25</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</si>
  <si>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</si>
  <si>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</si>
  <si>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</si>
  <si>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</si>
  <si>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</si>
  <si>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</si>
  <si>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</si>
  <si>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</si>
  <si>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</si>
  <si>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</si>
  <si>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If resident-result &lt; non-resident-result</t>
  </si>
  <si>
    <t>Swiss Tax Credit</t>
  </si>
  <si>
    <t>Accumulate tax paid from Tax Return</t>
  </si>
  <si>
    <t>For each MOR</t>
  </si>
  <si>
    <t>For each EMP</t>
  </si>
  <si>
    <t>c12.26</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</si>
  <si>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</si>
  <si>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</si>
  <si>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</si>
  <si>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</si>
  <si>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</si>
  <si>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</si>
  <si>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</si>
  <si>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</si>
  <si>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</si>
  <si>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</si>
  <si>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</si>
  <si>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</si>
  <si>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</si>
  <si>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</si>
  <si>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</si>
  <si>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</si>
  <si>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</si>
  <si>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</si>
  <si>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</si>
  <si>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</si>
  <si>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</si>
  <si>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</si>
  <si>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</si>
  <si>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</si>
  <si>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</si>
  <si>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N30</t>
  </si>
  <si>
    <t>N31</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</si>
  <si>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</si>
  <si>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</si>
  <si>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</si>
  <si>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</si>
  <si>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</si>
  <si>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 xml:space="preserve">files their SA Return the credit will be given.  But where the Recipient's Return cannot be captured or it's an in-year </t>
  </si>
  <si>
    <t>Return to date of death and the operator needs to do a SEEs calc before adding figures onto SA using CRC then</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</si>
  <si>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</si>
  <si>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</si>
  <si>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</si>
  <si>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</si>
  <si>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</si>
  <si>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</si>
  <si>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</si>
  <si>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</si>
  <si>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</si>
  <si>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 xml:space="preserve">   else</t>
  </si>
  <si>
    <t xml:space="preserve">   End if </t>
  </si>
  <si>
    <t>Prev Year</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</si>
  <si>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</si>
  <si>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</si>
  <si>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</si>
  <si>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</si>
  <si>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</si>
  <si>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</si>
  <si>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</si>
  <si>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</si>
  <si>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</si>
  <si>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</si>
  <si>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</si>
  <si>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</si>
  <si>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</si>
  <si>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</si>
  <si>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</si>
  <si>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</si>
  <si>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</si>
  <si>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</si>
  <si>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</si>
  <si>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</si>
  <si>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</si>
  <si>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</si>
  <si>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</si>
  <si>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</si>
  <si>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</si>
  <si>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</si>
  <si>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</si>
  <si>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</si>
  <si>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</si>
  <si>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</si>
  <si>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</si>
  <si>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</si>
  <si>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</si>
  <si>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Enter the amount deducted</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</si>
  <si>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</si>
  <si>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</si>
  <si>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</si>
  <si>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</si>
  <si>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</si>
  <si>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</si>
  <si>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</si>
  <si>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</si>
  <si>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</si>
  <si>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</si>
  <si>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</si>
  <si>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</si>
  <si>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</si>
  <si>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</si>
  <si>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</si>
  <si>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</si>
  <si>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</si>
  <si>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</si>
  <si>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</si>
  <si>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</si>
  <si>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</si>
  <si>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</si>
  <si>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</si>
  <si>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</si>
  <si>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</si>
  <si>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</si>
  <si>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</si>
  <si>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</si>
  <si>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</si>
  <si>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</si>
  <si>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</si>
  <si>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</si>
  <si>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</si>
  <si>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</si>
  <si>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Test for NRD36 POA Adjustment (changed from NRD35 for 2015-16)</t>
  </si>
  <si>
    <t>Remitted Basis - income less than £2000 tick box</t>
  </si>
  <si>
    <t>Class2 Voluntary</t>
  </si>
  <si>
    <t>NIC2 Vol</t>
  </si>
  <si>
    <t>Components Box</t>
  </si>
  <si>
    <t>full basic rate to Capital Gain  &amp; Voluntary Class 2</t>
  </si>
  <si>
    <t>Other tax taken off trading income</t>
  </si>
  <si>
    <t>Capped PTR losses with BPRA + Voluntary Class 2</t>
  </si>
  <si>
    <t>Lloyds losses set off against income from property + Voluntary Class 2</t>
  </si>
  <si>
    <t>Test for FSE47, FSE64 and FSE76 - losses , gains from 23/6 no surplus basic rate all charged 28% + Voluntary Class 2</t>
  </si>
  <si>
    <t>Notification repayment of Student Loan began</t>
  </si>
  <si>
    <t>'E' document only</t>
  </si>
  <si>
    <t>HR Case</t>
  </si>
  <si>
    <t>Losses set off against other income + no digital claim to Marriage Allowance Transfer (MAT) but MAT claimed on Return</t>
  </si>
  <si>
    <t>Income over £100,000 reduced PA</t>
  </si>
  <si>
    <t>Income under £100,000 full PA</t>
  </si>
  <si>
    <t>4.1</t>
  </si>
  <si>
    <t>CAL4.1</t>
  </si>
  <si>
    <t>Test for FPS39 zero entry + Class 1 NIC contributions reducing Class 4 NIC due</t>
  </si>
  <si>
    <t>Loss short partnership SPS20 CIS tax deducted SPS28, state pension lump sum + Voluntary Class 2</t>
  </si>
  <si>
    <t xml:space="preserve">SL investment income &gt;2000, SL repayments via empt </t>
  </si>
  <si>
    <t>Box not used</t>
  </si>
  <si>
    <t>Test case 157 with extension to BR band less Capital Gains Tax (CGT) due + Class 4 and Class 2 Exempt (age 79)</t>
  </si>
  <si>
    <t>Student loan (SL) EMP8 entry, PT Teacher earnings &amp; other earnings &gt; SL limit but PT teacher earnings on own &lt; SL limit</t>
  </si>
  <si>
    <t>Class 4 calc more beneficial than Reg 100 Class 4 calc. More beneficial calculation given.</t>
  </si>
  <si>
    <t>PAYE_case</t>
  </si>
  <si>
    <t>before_30_Sep</t>
  </si>
  <si>
    <t>c13.17</t>
  </si>
  <si>
    <t>Class 2 cannot be coded out</t>
  </si>
  <si>
    <t>Amount that can be coded out</t>
  </si>
  <si>
    <t>Share Fisherman</t>
  </si>
  <si>
    <t>NI</t>
  </si>
  <si>
    <t>Show/Hide calculations worksheets</t>
  </si>
  <si>
    <t>O7</t>
  </si>
  <si>
    <t>O8</t>
  </si>
  <si>
    <t>Q7</t>
  </si>
  <si>
    <t>O9</t>
  </si>
  <si>
    <t>O10</t>
  </si>
  <si>
    <t>O11</t>
  </si>
  <si>
    <t>O12</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</si>
  <si>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</si>
  <si>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</si>
  <si>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</si>
  <si>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</si>
  <si>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</si>
  <si>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</si>
  <si>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</si>
  <si>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</si>
  <si>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</si>
  <si>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</si>
  <si>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</si>
  <si>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</si>
  <si>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</si>
  <si>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</si>
  <si>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</si>
  <si>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</si>
  <si>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</si>
  <si>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</si>
  <si>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</si>
  <si>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</si>
  <si>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</si>
  <si>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</si>
  <si>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</si>
  <si>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</si>
  <si>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P14</t>
  </si>
  <si>
    <t>Total loss to carry forward</t>
  </si>
  <si>
    <t>c1.58</t>
  </si>
  <si>
    <t>c1.59</t>
  </si>
  <si>
    <t>c1.60</t>
  </si>
  <si>
    <t>c1.61</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</si>
  <si>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</si>
  <si>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</si>
  <si>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</si>
  <si>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</si>
  <si>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</si>
  <si>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</si>
  <si>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</si>
  <si>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</si>
  <si>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</si>
  <si>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</si>
  <si>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</si>
  <si>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</si>
  <si>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</si>
  <si>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the MAT_OUT and MAT_IN buttons can be used to replicate the digital claim</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</si>
  <si>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</si>
  <si>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</si>
  <si>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</si>
  <si>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</si>
  <si>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</si>
  <si>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</si>
  <si>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</si>
  <si>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</si>
  <si>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</si>
  <si>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</si>
  <si>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</si>
  <si>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</si>
  <si>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</si>
  <si>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</si>
  <si>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</si>
  <si>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</si>
  <si>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</si>
  <si>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</si>
  <si>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</si>
  <si>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</si>
  <si>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</si>
  <si>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</si>
  <si>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</si>
  <si>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</si>
  <si>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</si>
  <si>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</si>
  <si>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</si>
  <si>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</si>
  <si>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</si>
  <si>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</si>
  <si>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</si>
  <si>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</si>
  <si>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</si>
  <si>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</si>
  <si>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</si>
  <si>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</si>
  <si>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</si>
  <si>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</si>
  <si>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</si>
  <si>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</si>
  <si>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</si>
  <si>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</si>
  <si>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</si>
  <si>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</si>
  <si>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</si>
  <si>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</si>
  <si>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</si>
  <si>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</si>
  <si>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</si>
  <si>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</si>
  <si>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</si>
  <si>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</si>
  <si>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</si>
  <si>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</si>
  <si>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</si>
  <si>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</si>
  <si>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</si>
  <si>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</si>
  <si>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</si>
  <si>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</si>
  <si>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</si>
  <si>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</si>
  <si>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</si>
  <si>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</si>
  <si>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</si>
  <si>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</si>
  <si>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</si>
  <si>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</si>
  <si>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</si>
  <si>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</si>
  <si>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</si>
  <si>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</si>
  <si>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</si>
  <si>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</si>
  <si>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</si>
  <si>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</si>
  <si>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</si>
  <si>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</si>
  <si>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</si>
  <si>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</si>
  <si>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</si>
  <si>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</si>
  <si>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</si>
  <si>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</si>
  <si>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</si>
  <si>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</si>
  <si>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</si>
  <si>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</si>
  <si>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</si>
  <si>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</si>
  <si>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</si>
  <si>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</si>
  <si>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</si>
  <si>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</si>
  <si>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</si>
  <si>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</si>
  <si>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</si>
  <si>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</si>
  <si>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</si>
  <si>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</si>
  <si>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</si>
  <si>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</si>
  <si>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</si>
  <si>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</si>
  <si>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</si>
  <si>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</si>
  <si>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</si>
  <si>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</si>
  <si>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</si>
  <si>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</si>
  <si>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</si>
  <si>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</si>
  <si>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</si>
  <si>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</si>
  <si>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</si>
  <si>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</si>
  <si>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</si>
  <si>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</si>
  <si>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</si>
  <si>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</si>
  <si>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</si>
  <si>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</si>
  <si>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</si>
  <si>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</si>
  <si>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</si>
  <si>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</si>
  <si>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</si>
  <si>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</si>
  <si>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</si>
  <si>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</si>
  <si>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</si>
  <si>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</si>
  <si>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</si>
  <si>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</si>
  <si>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</si>
  <si>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</si>
  <si>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</si>
  <si>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</si>
  <si>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</si>
  <si>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</si>
  <si>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</si>
  <si>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</si>
  <si>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</si>
  <si>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</si>
  <si>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</si>
  <si>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</si>
  <si>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</si>
  <si>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</si>
  <si>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</si>
  <si>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</si>
  <si>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</si>
  <si>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</si>
  <si>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</si>
  <si>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</si>
  <si>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</si>
  <si>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</si>
  <si>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</si>
  <si>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</si>
  <si>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</si>
  <si>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</si>
  <si>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</si>
  <si>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</si>
  <si>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</si>
  <si>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</si>
  <si>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</si>
  <si>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</si>
  <si>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</si>
  <si>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</si>
  <si>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</si>
  <si>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</si>
  <si>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</si>
  <si>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</si>
  <si>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</si>
  <si>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</si>
  <si>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</si>
  <si>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</si>
  <si>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</si>
  <si>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</si>
  <si>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</si>
  <si>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</si>
  <si>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</si>
  <si>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</si>
  <si>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</si>
  <si>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</si>
  <si>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</si>
  <si>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</si>
  <si>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</si>
  <si>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</si>
  <si>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</si>
  <si>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</si>
  <si>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</si>
  <si>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</si>
  <si>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</si>
  <si>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</si>
  <si>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</si>
  <si>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</si>
  <si>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</si>
  <si>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</si>
  <si>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</si>
  <si>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</si>
  <si>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</si>
  <si>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</si>
  <si>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</si>
  <si>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</si>
  <si>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</si>
  <si>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</si>
  <si>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</si>
  <si>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</si>
  <si>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</si>
  <si>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</si>
  <si>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</si>
  <si>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</si>
  <si>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</si>
  <si>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</si>
  <si>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</si>
  <si>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</si>
  <si>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</si>
  <si>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</si>
  <si>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</si>
  <si>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</si>
  <si>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</si>
  <si>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</si>
  <si>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</si>
  <si>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</si>
  <si>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</si>
  <si>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</si>
  <si>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</si>
  <si>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</si>
  <si>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</si>
  <si>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</si>
  <si>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</si>
  <si>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</si>
  <si>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Box 53 is not in use</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</si>
  <si>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</si>
  <si>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</si>
  <si>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</si>
  <si>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</si>
  <si>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</si>
  <si>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</si>
  <si>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</si>
  <si>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</si>
  <si>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</si>
  <si>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</si>
  <si>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</si>
  <si>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</si>
  <si>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</si>
  <si>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</si>
  <si>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</si>
  <si>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</si>
  <si>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</si>
  <si>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</si>
  <si>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</si>
  <si>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</si>
  <si>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</si>
  <si>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</si>
  <si>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</si>
  <si>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</si>
  <si>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</si>
  <si>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</si>
  <si>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</si>
  <si>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</si>
  <si>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</si>
  <si>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</si>
  <si>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</si>
  <si>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</si>
  <si>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</si>
  <si>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</si>
  <si>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</si>
  <si>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</si>
  <si>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</si>
  <si>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</si>
  <si>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</si>
  <si>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</si>
  <si>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</si>
  <si>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</si>
  <si>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</si>
  <si>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</si>
  <si>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</si>
  <si>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Non-qualifying distributions and close company loans written off or released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</si>
  <si>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</si>
  <si>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</si>
  <si>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</si>
  <si>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</si>
  <si>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</si>
  <si>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</si>
  <si>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</si>
  <si>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</si>
  <si>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</si>
  <si>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</si>
  <si>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</si>
  <si>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</si>
  <si>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</si>
  <si>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</si>
  <si>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</si>
  <si>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</si>
  <si>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</si>
  <si>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</si>
  <si>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</si>
  <si>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</si>
  <si>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</si>
  <si>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</si>
  <si>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</si>
  <si>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</si>
  <si>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</si>
  <si>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</si>
  <si>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</si>
  <si>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</si>
  <si>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</si>
  <si>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</si>
  <si>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</si>
  <si>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</si>
  <si>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</si>
  <si>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</si>
  <si>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</si>
  <si>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</si>
  <si>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</si>
  <si>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</si>
  <si>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</si>
  <si>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</si>
  <si>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</si>
  <si>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</si>
  <si>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</si>
  <si>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</si>
  <si>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</si>
  <si>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</si>
  <si>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</si>
  <si>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</si>
  <si>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</si>
  <si>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</si>
  <si>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</si>
  <si>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</si>
  <si>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</si>
  <si>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</si>
  <si>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</si>
  <si>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</si>
  <si>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</si>
  <si>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</si>
  <si>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</si>
  <si>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</si>
  <si>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Please give any additional information in this space</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</si>
  <si>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</si>
  <si>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</si>
  <si>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</si>
  <si>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</si>
  <si>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</si>
  <si>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</si>
  <si>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</si>
  <si>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</si>
  <si>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BR to HR Band</t>
  </si>
  <si>
    <t>CIS and trading income</t>
  </si>
  <si>
    <t>employment benefits</t>
  </si>
  <si>
    <t>£down (for each EMP)</t>
  </si>
  <si>
    <t>£down (for each MOR)</t>
  </si>
  <si>
    <t>£down (for each emp)</t>
  </si>
  <si>
    <t>employment expenses</t>
  </si>
  <si>
    <t>Total Savings income and gains from life policies etc. (not dividends)</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</si>
  <si>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</si>
  <si>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</si>
  <si>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</si>
  <si>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</si>
  <si>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</si>
  <si>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</si>
  <si>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</si>
  <si>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</si>
  <si>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</si>
  <si>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</si>
  <si>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</si>
  <si>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</si>
  <si>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</si>
  <si>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</si>
  <si>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</si>
  <si>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Withholding Tax.pdf</t>
  </si>
  <si>
    <t>From August 2013</t>
  </si>
  <si>
    <t>FTCR - see the guidance at</t>
  </si>
  <si>
    <t>http://bg.inrev.gov.uk/tax/actionguides/40100/tax40072_main.htm</t>
  </si>
  <si>
    <t>http://bg.inrev.gov.uk/tax/helpcards/tax50104.pdf</t>
  </si>
  <si>
    <t>This is from April 2014 for year end 5 April 2013</t>
  </si>
  <si>
    <t>Total class 1 NICable earnings between the PT and UEL</t>
  </si>
  <si>
    <t>If MAT_OUT = FALSE (No Digital Claim AND MAT1 to MAT5 = null)</t>
  </si>
  <si>
    <t>if MAT_OUT = TRUE (Digital Claim OR MAT1 to MAT5 &lt;&gt; null)</t>
  </si>
  <si>
    <t>If MAT_IN</t>
  </si>
  <si>
    <t>OR Calculation type = non-resident</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</si>
  <si>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</si>
  <si>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</si>
  <si>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</si>
  <si>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</si>
  <si>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</si>
  <si>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</si>
  <si>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</si>
  <si>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Income tax due after tax adjustments</t>
  </si>
  <si>
    <t xml:space="preserve">Income from personal funds at Lloyd’s – </t>
  </si>
  <si>
    <t>Foreign sources income from assets in</t>
  </si>
  <si>
    <t>Total taxable profits from Lloyd’s</t>
  </si>
  <si>
    <t>personal funds at Lloyd’s</t>
  </si>
  <si>
    <t>Amount received and tax taken off it that does</t>
  </si>
  <si>
    <t>not qualify for dividend tax credit</t>
  </si>
  <si>
    <t>Amount that qualifies for dividend tax credit</t>
  </si>
  <si>
    <t>Details</t>
  </si>
  <si>
    <t>non-UK resident claiming PA under Double Taxation Agreement (NRD1 = Y and NRD15 = Y)</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</si>
  <si>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</si>
  <si>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</si>
  <si>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</si>
  <si>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</si>
  <si>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</si>
  <si>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</si>
  <si>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</si>
  <si>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</si>
  <si>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</si>
  <si>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</si>
  <si>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</si>
  <si>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</si>
  <si>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</si>
  <si>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</si>
  <si>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</si>
  <si>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</si>
  <si>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</si>
  <si>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Higher Rate (HR) Divs + Marriage Allowance Transfer (MAT) Digital Claim (out) but no claim on Return (not allowed as HR) (STR 23)</t>
  </si>
  <si>
    <t>HMRC Portal</t>
  </si>
  <si>
    <t>YES</t>
  </si>
  <si>
    <t>NO</t>
  </si>
  <si>
    <t>Used for</t>
  </si>
  <si>
    <t>Personal Savings Allowance Basic Rate</t>
  </si>
  <si>
    <t>PSA_BR</t>
  </si>
  <si>
    <t>Personal Savings Allowance Higher Rate</t>
  </si>
  <si>
    <t>PSA_HR</t>
  </si>
  <si>
    <t>Personal Savings Allowance Additional Higher Rate</t>
  </si>
  <si>
    <t>PSA_AHR</t>
  </si>
  <si>
    <t>lower_CGT_rate</t>
  </si>
  <si>
    <t>upper_CGT_rate</t>
  </si>
  <si>
    <t>Res_non_dom_Lower_ ch</t>
  </si>
  <si>
    <t>Res_non_dom_Higher_ch</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</si>
  <si>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</si>
  <si>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</si>
  <si>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</si>
  <si>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</si>
  <si>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</si>
  <si>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</si>
  <si>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</si>
  <si>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</si>
  <si>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</si>
  <si>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Basic rate UK rate for England, Wales and Northern Ireland</t>
  </si>
  <si>
    <t>Higher rate UK rate for England, Wales and Northern Ireland</t>
  </si>
  <si>
    <t>Additional Rate UK rate for England, Wales and Northern Ireland</t>
  </si>
  <si>
    <t>=MCA</t>
  </si>
  <si>
    <t>SBR_rate</t>
  </si>
  <si>
    <t>SHR_rate</t>
  </si>
  <si>
    <t>SAHR_rate</t>
  </si>
  <si>
    <t>=NIC2_weekamt*53</t>
  </si>
  <si>
    <t>=NIC2SF_weekamt*53</t>
  </si>
  <si>
    <t>=BR_band-SR_band</t>
  </si>
  <si>
    <t>=NIC_Band*NIC_rate</t>
  </si>
  <si>
    <t>=NIC_UEL-NIC_LEL</t>
  </si>
  <si>
    <t>MCA Age</t>
  </si>
  <si>
    <t>MCA Claim Type</t>
  </si>
  <si>
    <r>
      <t>Higher rate, part year basic MCA claimed  as spouse &gt;75.</t>
    </r>
    <r>
      <rPr>
        <strike/>
        <sz val="9"/>
        <rFont val="Arial"/>
        <family val="2"/>
      </rPr>
      <t xml:space="preserve"> NIC deferred</t>
    </r>
  </si>
  <si>
    <t xml:space="preserve">Ministor of Religion. In yr marriage </t>
  </si>
  <si>
    <r>
      <t> </t>
    </r>
    <r>
      <rPr>
        <b/>
        <sz val="10"/>
        <rFont val="Arial"/>
        <family val="2"/>
      </rPr>
      <t>Validation</t>
    </r>
  </si>
  <si>
    <t>Max 10 characters</t>
  </si>
  <si>
    <t>If present, must be less than or equal to £100,000</t>
  </si>
  <si>
    <t>Can be negative</t>
  </si>
  <si>
    <t>If present, must be less than or equal to £2,000,000</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</si>
  <si>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</si>
  <si>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</si>
  <si>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</si>
  <si>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</si>
  <si>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</si>
  <si>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</si>
  <si>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</si>
  <si>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</si>
  <si>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</si>
  <si>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</si>
  <si>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</si>
  <si>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</si>
  <si>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</si>
  <si>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</si>
  <si>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</si>
  <si>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income-Savings-taxfree</t>
  </si>
  <si>
    <t>Dividend Allowance</t>
  </si>
  <si>
    <t>Income above starting rate band</t>
  </si>
  <si>
    <t>Income above basic rate band</t>
  </si>
  <si>
    <t>on trusts (TRU2 and TRU23)</t>
  </si>
  <si>
    <t>and estates (TRU19)</t>
  </si>
  <si>
    <t>Notional tax on Gains, charges, state pension,</t>
  </si>
  <si>
    <t>Used for Class 4 and Class 2</t>
  </si>
  <si>
    <t>Savings Interest received</t>
  </si>
  <si>
    <t>Interest from gilt-edged and other UK securities</t>
  </si>
  <si>
    <t>c9.40</t>
  </si>
  <si>
    <t>.</t>
  </si>
  <si>
    <t>00</t>
  </si>
  <si>
    <t>J14</t>
  </si>
  <si>
    <t>J17</t>
  </si>
  <si>
    <t>J20</t>
  </si>
  <si>
    <t>I5</t>
  </si>
  <si>
    <t>MAT transfer out where income greater than PA but still beneficial to transfer</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</si>
  <si>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</si>
  <si>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</si>
  <si>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</si>
  <si>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</si>
  <si>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</si>
  <si>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</si>
  <si>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</si>
  <si>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</si>
  <si>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</si>
  <si>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</si>
  <si>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</si>
  <si>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</si>
  <si>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</si>
  <si>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</si>
  <si>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</si>
  <si>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</si>
  <si>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</si>
  <si>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</si>
  <si>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</si>
  <si>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</si>
  <si>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</si>
  <si>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</si>
  <si>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</si>
  <si>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</si>
  <si>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</si>
  <si>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</si>
  <si>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</si>
  <si>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</si>
  <si>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</si>
  <si>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</si>
  <si>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</si>
  <si>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</si>
  <si>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</si>
  <si>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</si>
  <si>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</si>
  <si>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</si>
  <si>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</si>
  <si>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</si>
  <si>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</si>
  <si>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</si>
  <si>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</si>
  <si>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</si>
  <si>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</si>
  <si>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</si>
  <si>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</si>
  <si>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If you think your loan may be fully repaid within the next 2 years, put ‘X’ in the box</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</si>
  <si>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</si>
  <si>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</si>
  <si>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</si>
  <si>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</si>
  <si>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</si>
  <si>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</si>
  <si>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</si>
  <si>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</si>
  <si>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</si>
  <si>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</si>
  <si>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</si>
  <si>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</si>
  <si>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Gilt-edged &amp; other UK securities</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</si>
  <si>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</si>
  <si>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</si>
  <si>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</si>
  <si>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</si>
  <si>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</si>
  <si>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</si>
  <si>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</si>
  <si>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</si>
  <si>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</si>
  <si>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</si>
  <si>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</si>
  <si>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</si>
  <si>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</si>
  <si>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</si>
  <si>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</si>
  <si>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</si>
  <si>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</si>
  <si>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=PA + BR_band (HR_threshold)</t>
  </si>
  <si>
    <t>5 gains</t>
  </si>
  <si>
    <t xml:space="preserve">6 Non-savings </t>
  </si>
  <si>
    <t>CGT39</t>
  </si>
  <si>
    <t>CGT40</t>
  </si>
  <si>
    <t>CGT41</t>
  </si>
  <si>
    <t>CGT42</t>
  </si>
  <si>
    <t>CGT43</t>
  </si>
  <si>
    <t>CGT44</t>
  </si>
  <si>
    <t>CGT45</t>
  </si>
  <si>
    <t>CGT46</t>
  </si>
  <si>
    <t>CGT47</t>
  </si>
  <si>
    <t>CGT48</t>
  </si>
  <si>
    <t>Class 1 Earnings from P60 (earnings from PT to UEL)</t>
  </si>
  <si>
    <t>(overseas pension schemes only)</t>
  </si>
  <si>
    <t>c1.51 + c2.13 + c3.9 + c3.19 + c3.20</t>
  </si>
  <si>
    <t>Personal Savings/</t>
  </si>
  <si>
    <t>c6.47</t>
  </si>
  <si>
    <t>Band between Savings/Basic rate</t>
  </si>
  <si>
    <t>c6.48</t>
  </si>
  <si>
    <t>L46</t>
  </si>
  <si>
    <t>Nil rate</t>
  </si>
  <si>
    <t>Basic rate</t>
  </si>
  <si>
    <t>Higher rate</t>
  </si>
  <si>
    <t>Additional rate</t>
  </si>
  <si>
    <t>L42</t>
  </si>
  <si>
    <t>L50</t>
  </si>
  <si>
    <t>Dividend Nil rate</t>
  </si>
  <si>
    <t>DivNil_rate</t>
  </si>
  <si>
    <t>Starting rate for savings</t>
  </si>
  <si>
    <t>Savings Nil rate</t>
  </si>
  <si>
    <t>SNil_rate</t>
  </si>
  <si>
    <t>Remittance Basis Claim</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</si>
  <si>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</si>
  <si>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</si>
  <si>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</si>
  <si>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</si>
  <si>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</si>
  <si>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</si>
  <si>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</si>
  <si>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</si>
  <si>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</si>
  <si>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</si>
  <si>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</si>
  <si>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</si>
  <si>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</si>
  <si>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</si>
  <si>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</si>
  <si>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</si>
  <si>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</si>
  <si>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</si>
  <si>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</si>
  <si>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</si>
  <si>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</si>
  <si>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</si>
  <si>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</si>
  <si>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</si>
  <si>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</si>
  <si>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</si>
  <si>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</si>
  <si>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</si>
  <si>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</si>
  <si>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</si>
  <si>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lower_CGT_rate_RP_CI</t>
  </si>
  <si>
    <t>upper_CGT_rate_RP_CI</t>
  </si>
  <si>
    <t>100/61.9</t>
  </si>
  <si>
    <t>&amp; Trusts and estates Income</t>
  </si>
  <si>
    <t>Notional tax and tax credits</t>
  </si>
  <si>
    <t>Other dividends and qualifying distributions from UK companies</t>
  </si>
  <si>
    <t>Residential property (and carried interest)</t>
  </si>
  <si>
    <t>Other property, assets and gains</t>
  </si>
  <si>
    <t>Total gain chargeable to NRCGT after loss(es)</t>
  </si>
  <si>
    <t>can be negative</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</si>
  <si>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</si>
  <si>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</si>
  <si>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</si>
  <si>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</si>
  <si>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</si>
  <si>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</si>
  <si>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</si>
  <si>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</si>
  <si>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</si>
  <si>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</si>
  <si>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</si>
  <si>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</si>
  <si>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</si>
  <si>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</si>
  <si>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</si>
  <si>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</si>
  <si>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</si>
  <si>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</si>
  <si>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</si>
  <si>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</si>
  <si>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</si>
  <si>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</si>
  <si>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</si>
  <si>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</si>
  <si>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</si>
  <si>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</si>
  <si>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</si>
  <si>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Budget Rates and Allowances Updates.</t>
  </si>
  <si>
    <t>What was changed</t>
  </si>
  <si>
    <t>Adjusted profit for the year</t>
  </si>
  <si>
    <t>Losses brought forward used against this year's profits</t>
  </si>
  <si>
    <t>Scottish taxpayer signal (BOX NOT ON RETURN)</t>
  </si>
  <si>
    <t>STp_signal = TRUE = Scottish taxpayer</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</si>
  <si>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</si>
  <si>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</si>
  <si>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</si>
  <si>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</si>
  <si>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</si>
  <si>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</si>
  <si>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</si>
  <si>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</si>
  <si>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</si>
  <si>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</si>
  <si>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</si>
  <si>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</si>
  <si>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</si>
  <si>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</si>
  <si>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</si>
  <si>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</si>
  <si>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</si>
  <si>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</si>
  <si>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</si>
  <si>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Trade10</t>
  </si>
  <si>
    <t>Trade11</t>
  </si>
  <si>
    <t>Trade12</t>
  </si>
  <si>
    <t>Trade13</t>
  </si>
  <si>
    <t>Trade14</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</si>
  <si>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</si>
  <si>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</si>
  <si>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</si>
  <si>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</si>
  <si>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</si>
  <si>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</si>
  <si>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</si>
  <si>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</si>
  <si>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</si>
  <si>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</si>
  <si>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</si>
  <si>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</si>
  <si>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</si>
  <si>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</si>
  <si>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</si>
  <si>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</si>
  <si>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</si>
  <si>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</si>
  <si>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</si>
  <si>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</si>
  <si>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</si>
  <si>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</si>
  <si>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</si>
  <si>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</si>
  <si>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</si>
  <si>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</si>
  <si>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</si>
  <si>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</si>
  <si>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</si>
  <si>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</si>
  <si>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</si>
  <si>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</si>
  <si>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</si>
  <si>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</si>
  <si>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</si>
  <si>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</si>
  <si>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</si>
  <si>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</si>
  <si>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</si>
  <si>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</si>
  <si>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</si>
  <si>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</si>
  <si>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</si>
  <si>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</si>
  <si>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</si>
  <si>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</si>
  <si>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</si>
  <si>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</si>
  <si>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</si>
  <si>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</si>
  <si>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</si>
  <si>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9 already charged</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</si>
  <si>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</si>
  <si>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</si>
  <si>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</si>
  <si>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</si>
  <si>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</si>
  <si>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</si>
  <si>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</si>
  <si>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 xml:space="preserve">Gains qualifying for Entrepreneurs’ Relief - Gains before 23 June 2010 </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</si>
  <si>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</si>
  <si>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</si>
  <si>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</si>
  <si>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</si>
  <si>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</si>
  <si>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</si>
  <si>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</si>
  <si>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</si>
  <si>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</si>
  <si>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</si>
  <si>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</si>
  <si>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</si>
  <si>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</si>
  <si>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</si>
  <si>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</si>
  <si>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</si>
  <si>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</si>
  <si>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</si>
  <si>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</si>
  <si>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</si>
  <si>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</si>
  <si>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</si>
  <si>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</si>
  <si>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</si>
  <si>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</si>
  <si>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</si>
  <si>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</si>
  <si>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</si>
  <si>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</si>
  <si>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</si>
  <si>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</si>
  <si>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</si>
  <si>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</si>
  <si>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</si>
  <si>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</si>
  <si>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</si>
  <si>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</si>
  <si>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</si>
  <si>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</si>
  <si>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</si>
  <si>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</si>
  <si>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</si>
  <si>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</si>
  <si>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</si>
  <si>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</si>
  <si>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</si>
  <si>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Tax on gains in box 11 already charged (RTT)</t>
  </si>
  <si>
    <t>Tax on gains in box 21 already charged (RTT)</t>
  </si>
  <si>
    <t>Tax on gains in box 29 already charged (RTT)</t>
  </si>
  <si>
    <t>Tax on gains in box 37 already charged (RTT)</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</si>
  <si>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</si>
  <si>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</si>
  <si>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</si>
  <si>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</si>
  <si>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</si>
  <si>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</si>
  <si>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</si>
  <si>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</si>
  <si>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</si>
  <si>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</si>
  <si>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</si>
  <si>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</si>
  <si>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</si>
  <si>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</si>
  <si>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</si>
  <si>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 on gains already charged</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</si>
  <si>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</si>
  <si>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</si>
  <si>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</si>
  <si>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</si>
  <si>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</si>
  <si>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</si>
  <si>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</si>
  <si>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</si>
  <si>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</si>
  <si>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</si>
  <si>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</si>
  <si>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</si>
  <si>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</si>
  <si>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</si>
  <si>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</si>
  <si>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</si>
  <si>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</si>
  <si>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</si>
  <si>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</si>
  <si>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</si>
  <si>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</si>
  <si>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</si>
  <si>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Student loan repayment due</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</si>
  <si>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</si>
  <si>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</si>
  <si>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</si>
  <si>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</si>
  <si>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</si>
  <si>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</si>
  <si>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</si>
  <si>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</si>
  <si>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</si>
  <si>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</si>
  <si>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</si>
  <si>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</si>
  <si>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</si>
  <si>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</si>
  <si>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</si>
  <si>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</si>
  <si>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</si>
  <si>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</si>
  <si>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</si>
  <si>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£3,220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</si>
  <si>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</si>
  <si>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</si>
  <si>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</si>
  <si>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</si>
  <si>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</si>
  <si>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</si>
  <si>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</si>
  <si>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</si>
  <si>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</si>
  <si>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</si>
  <si>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</si>
  <si>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</si>
  <si>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</si>
  <si>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</si>
  <si>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</si>
  <si>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</si>
  <si>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</si>
  <si>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</si>
  <si>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</si>
  <si>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1) If no entry in SSE5 or SSE6, amount must be below £82,000
2) If SSE5 present but SSE6 is absent, amount must be below (no of days/(365 or 366) x £82,000) where no of days = no of days from SSE5 to 5 April 2015;
3) If SSE6 present but SSE5 is absent, amount must be below (no of days/(365 or 366) x £82,000) where no of days = no of days from 6 April 2015 to SSE6
4) If SSE5 and SSE6 present, amount must be below (no of days/(365 or 366) x £82,000) where no of days = no of days from SSE5 to SSE6</t>
  </si>
  <si>
    <t>If SSE9 + SSE10 minus SSE20 is positive or zero, SSE21 must equal that sum
Cannot be negative.</t>
  </si>
  <si>
    <t>If SSE20 minus (SSE9 + SSE10) is positive or zero, SSE22 must equal that sum
Cannot be negative.</t>
  </si>
  <si>
    <t>If present, must be less than or equal to £750,000</t>
  </si>
  <si>
    <t>If SSE21 + SSE26 + SSE27 minus (SSE22 + SSE23 + SSE24 + SSE25) is positive or zero SSE28 must equal that sum.
Cannot be negative.</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</si>
  <si>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</si>
  <si>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</si>
  <si>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</si>
  <si>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</si>
  <si>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</si>
  <si>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</si>
  <si>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</si>
  <si>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</si>
  <si>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</si>
  <si>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</si>
  <si>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</si>
  <si>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</si>
  <si>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</si>
  <si>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</si>
  <si>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</si>
  <si>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</si>
  <si>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</si>
  <si>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</si>
  <si>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</si>
  <si>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</si>
  <si>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</si>
  <si>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</si>
  <si>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</si>
  <si>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</si>
  <si>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</si>
  <si>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</si>
  <si>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</si>
  <si>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</si>
  <si>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</si>
  <si>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</si>
  <si>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</si>
  <si>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</si>
  <si>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</si>
  <si>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</si>
  <si>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</si>
  <si>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</si>
  <si>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</si>
  <si>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</si>
  <si>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</si>
  <si>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</si>
  <si>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</si>
  <si>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</si>
  <si>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</si>
  <si>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</si>
  <si>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</si>
  <si>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If entry in any of FSE17, FSE18, FSE19, FSE20, FSE21, FSE22, FSE23, FSE24, FSE25, FSE26, FSE27, FSE28, FSE29 or FSE30 total of all boxes must = FSE31</t>
  </si>
  <si>
    <t>If FSE15 + FSE16 minus FSE31 is positive or zero, FSE47 must equal that sum
Cannot be negative.</t>
  </si>
  <si>
    <t>If FSE31 minus (FSE15 + FSE16) is positive or zero, FSE48 must equal that sum
Cannot be negative.</t>
  </si>
  <si>
    <t>Equal to FSE57 + FSE62</t>
  </si>
  <si>
    <t>If FSE47 + FSE61 minus (FSE48 + FSE63) is positive or zero FSE64 must equal that sum.
Cannot be negative.</t>
  </si>
  <si>
    <t>If FSE48 + FSE63 minus (FSE47 + FSE61) is positive or zero FSE65 must equal that sum.
Cannot be negative.
At least one of FSE64 or FSE65 must be present</t>
  </si>
  <si>
    <t>If FSE67 present, FSE66 must be present
If FSE66 present, FSE67 must be the same as or later than FSE66</t>
  </si>
  <si>
    <t>a. If (FSE64 minus FSE65 + FSE68 minus FSE69) is positive, then FSE73 equals (FSE64 minus FSE65 + FSE68 minus FSE69 + FSE71 + FSE72) 
b. if (FSE64 minus FSE65 + FSE68 minus FSE69) is negative or zero, then if FSE71 + FSE72&gt; 0, FSE73 equals FSE71 + FSE72else FSE73 must be zero or absent.</t>
  </si>
  <si>
    <t>Less than or equal to (the larger of FSE64 and FSE73)</t>
  </si>
  <si>
    <t>Equal to FSE73 minus FSE74 + FSE75</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</si>
  <si>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</si>
  <si>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</si>
  <si>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</si>
  <si>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</si>
  <si>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</si>
  <si>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</si>
  <si>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</si>
  <si>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</si>
  <si>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</si>
  <si>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</si>
  <si>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</si>
  <si>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</si>
  <si>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</si>
  <si>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</si>
  <si>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</si>
  <si>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</si>
  <si>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</si>
  <si>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</si>
  <si>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</si>
  <si>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</si>
  <si>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</si>
  <si>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</si>
  <si>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</si>
  <si>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</si>
  <si>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</si>
  <si>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</si>
  <si>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</si>
  <si>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</si>
  <si>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</si>
  <si>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</si>
  <si>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</si>
  <si>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</si>
  <si>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</si>
  <si>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</si>
  <si>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</si>
  <si>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</si>
  <si>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</si>
  <si>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</si>
  <si>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</si>
  <si>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</si>
  <si>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</si>
  <si>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</si>
  <si>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</si>
  <si>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</si>
  <si>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</si>
  <si>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</si>
  <si>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</si>
  <si>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</si>
  <si>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</si>
  <si>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</si>
  <si>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</si>
  <si>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</si>
  <si>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</si>
  <si>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</si>
  <si>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</si>
  <si>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</si>
  <si>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</si>
  <si>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</si>
  <si>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</si>
  <si>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</si>
  <si>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</si>
  <si>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</si>
  <si>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</si>
  <si>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</si>
  <si>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</si>
  <si>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</si>
  <si>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</si>
  <si>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</si>
  <si>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</si>
  <si>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</si>
  <si>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</si>
  <si>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</si>
  <si>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</si>
  <si>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</si>
  <si>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</si>
  <si>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</si>
  <si>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</si>
  <si>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If present, must be less than or equal to LUN6</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</si>
  <si>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</si>
  <si>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</si>
  <si>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</si>
  <si>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</si>
  <si>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</si>
  <si>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</si>
  <si>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</si>
  <si>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</si>
  <si>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</si>
  <si>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</si>
  <si>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</si>
  <si>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</si>
  <si>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</si>
  <si>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</si>
  <si>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</si>
  <si>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</si>
  <si>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</si>
  <si>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</si>
  <si>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</si>
  <si>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</si>
  <si>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</si>
  <si>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present must be less than or equal to NIC2SF_annual_limit</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</si>
  <si>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</si>
  <si>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</si>
  <si>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</si>
  <si>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</si>
  <si>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</si>
  <si>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</si>
  <si>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</si>
  <si>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</si>
  <si>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</si>
  <si>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</si>
  <si>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</si>
  <si>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</si>
  <si>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</si>
  <si>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</si>
  <si>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</si>
  <si>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</si>
  <si>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</si>
  <si>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</si>
  <si>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</si>
  <si>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</si>
  <si>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</si>
  <si>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</si>
  <si>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</si>
  <si>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</si>
  <si>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</si>
  <si>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</si>
  <si>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Partner's share of BPRA</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</si>
  <si>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</si>
  <si>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</si>
  <si>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</si>
  <si>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</si>
  <si>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</si>
  <si>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</si>
  <si>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</si>
  <si>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</si>
  <si>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</si>
  <si>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</si>
  <si>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</si>
  <si>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</si>
  <si>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</si>
  <si>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</si>
  <si>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</si>
  <si>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</si>
  <si>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</si>
  <si>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</si>
  <si>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</si>
  <si>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</si>
  <si>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</si>
  <si>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</si>
  <si>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</si>
  <si>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</si>
  <si>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</si>
  <si>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</si>
  <si>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</si>
  <si>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</si>
  <si>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</si>
  <si>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</si>
  <si>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</si>
  <si>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</si>
  <si>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</si>
  <si>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</si>
  <si>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</si>
  <si>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</si>
  <si>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</si>
  <si>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</si>
  <si>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</si>
  <si>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</si>
  <si>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</si>
  <si>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</si>
  <si>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</si>
  <si>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</si>
  <si>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</si>
  <si>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</si>
  <si>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</si>
  <si>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</si>
  <si>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</si>
  <si>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</si>
  <si>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</si>
  <si>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</si>
  <si>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</si>
  <si>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</si>
  <si>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</si>
  <si>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</si>
  <si>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</si>
  <si>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</si>
  <si>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</si>
  <si>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</si>
  <si>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</si>
  <si>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</si>
  <si>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</si>
  <si>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</si>
  <si>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</si>
  <si>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</si>
  <si>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</si>
  <si>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</si>
  <si>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</si>
  <si>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</si>
  <si>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</si>
  <si>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</si>
  <si>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</si>
  <si>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</si>
  <si>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</si>
  <si>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</si>
  <si>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</si>
  <si>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</si>
  <si>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</si>
  <si>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</si>
  <si>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</si>
  <si>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</si>
  <si>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</si>
  <si>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</si>
  <si>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</si>
  <si>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</si>
  <si>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</si>
  <si>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</si>
  <si>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</si>
  <si>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</si>
  <si>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</si>
  <si>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</si>
  <si>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</si>
  <si>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</si>
  <si>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</si>
  <si>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</si>
  <si>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</si>
  <si>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</si>
  <si>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</si>
  <si>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</si>
  <si>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</si>
  <si>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</si>
  <si>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</si>
  <si>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</si>
  <si>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</si>
  <si>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</si>
  <si>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</si>
  <si>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</si>
  <si>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</si>
  <si>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</si>
  <si>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</si>
  <si>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</si>
  <si>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</si>
  <si>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</si>
  <si>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</si>
  <si>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</si>
  <si>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</si>
  <si>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</si>
  <si>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</si>
  <si>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</si>
  <si>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</si>
  <si>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</si>
  <si>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</si>
  <si>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</si>
  <si>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</si>
  <si>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</si>
  <si>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</si>
  <si>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</si>
  <si>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</si>
  <si>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</si>
  <si>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</si>
  <si>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</si>
  <si>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</si>
  <si>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</si>
  <si>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</si>
  <si>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</si>
  <si>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</si>
  <si>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</si>
  <si>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</si>
  <si>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</si>
  <si>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</si>
  <si>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</si>
  <si>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</si>
  <si>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</si>
  <si>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</si>
  <si>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</si>
  <si>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</si>
  <si>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</si>
  <si>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</si>
  <si>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</si>
  <si>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</si>
  <si>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</si>
  <si>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</si>
  <si>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</si>
  <si>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</si>
  <si>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</si>
  <si>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M16</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</si>
  <si>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</si>
  <si>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</si>
  <si>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</si>
  <si>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</si>
  <si>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</si>
  <si>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</si>
  <si>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</si>
  <si>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</si>
  <si>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and close company loans written off or released</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</si>
  <si>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</si>
  <si>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</si>
  <si>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</si>
  <si>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</si>
  <si>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</si>
  <si>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</si>
  <si>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</si>
  <si>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</si>
  <si>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</si>
  <si>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</si>
  <si>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</si>
  <si>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</si>
  <si>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</si>
  <si>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</si>
  <si>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</si>
  <si>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</si>
  <si>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</si>
  <si>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</si>
  <si>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</si>
  <si>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</si>
  <si>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</si>
  <si>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</si>
  <si>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</si>
  <si>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</si>
  <si>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</si>
  <si>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</si>
  <si>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</si>
  <si>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</si>
  <si>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</si>
  <si>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</si>
  <si>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</si>
  <si>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</si>
  <si>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</si>
  <si>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</si>
  <si>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</si>
  <si>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</si>
  <si>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</si>
  <si>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</si>
  <si>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</si>
  <si>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</si>
  <si>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</si>
  <si>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</si>
  <si>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</si>
  <si>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</si>
  <si>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</si>
  <si>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</si>
  <si>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c1.35 + c1.40 + c1.44 + c2.9 + c3.16</t>
  </si>
  <si>
    <t>Class 4 NIC exempt</t>
  </si>
  <si>
    <r>
      <t xml:space="preserve">Total Income Tax and NIC due </t>
    </r>
    <r>
      <rPr>
        <i/>
        <sz val="9"/>
        <rFont val="Arial"/>
        <family val="2"/>
      </rPr>
      <t>minus</t>
    </r>
  </si>
  <si>
    <t>Total Losses</t>
  </si>
  <si>
    <t>c18.58</t>
  </si>
  <si>
    <t>RS Dropdown</t>
  </si>
  <si>
    <t>Scottish taxpayer status</t>
  </si>
  <si>
    <t>Higher rate UK rate  for Scotland</t>
  </si>
  <si>
    <t>Additional Rate UK rate for Scotland</t>
  </si>
  <si>
    <t>under 79</t>
  </si>
  <si>
    <t>over 79</t>
  </si>
  <si>
    <t>I8</t>
  </si>
  <si>
    <t>c18.27 + c18.28 + c18.29</t>
  </si>
  <si>
    <t>Residential property and carried interest basic rate</t>
  </si>
  <si>
    <t>Residential property and carried interest</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</si>
  <si>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</si>
  <si>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</si>
  <si>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</si>
  <si>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</si>
  <si>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</si>
  <si>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</si>
  <si>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</si>
  <si>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</si>
  <si>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</si>
  <si>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</si>
  <si>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</si>
  <si>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</si>
  <si>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</si>
  <si>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</si>
  <si>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</si>
  <si>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</si>
  <si>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</si>
  <si>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</si>
  <si>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</si>
  <si>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(calculation type = non-resident)</t>
  </si>
  <si>
    <t>Endif</t>
  </si>
  <si>
    <t>Basic rate UK rate for Scotland</t>
  </si>
  <si>
    <t>Used in SA110 Notes</t>
  </si>
  <si>
    <t xml:space="preserve">Calculate age related Married Couple’s Allowance due claimed by husband, </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</si>
  <si>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</si>
  <si>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</si>
  <si>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</si>
  <si>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</si>
  <si>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</si>
  <si>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</si>
  <si>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Where customer has multiple sources of income subject to Class 2 the Class 2 amount due should not be duplicated across the sources</t>
  </si>
  <si>
    <t>Gains after losses brought forward</t>
  </si>
  <si>
    <t>For requirements</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</si>
  <si>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</si>
  <si>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</si>
  <si>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</si>
  <si>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</si>
  <si>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</si>
  <si>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</si>
  <si>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</si>
  <si>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</si>
  <si>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</si>
  <si>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</si>
  <si>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</si>
  <si>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</si>
  <si>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</si>
  <si>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without notional tax</t>
  </si>
  <si>
    <t xml:space="preserve"> life policies (with </t>
  </si>
  <si>
    <t>notional tax) etc.</t>
  </si>
  <si>
    <t>c9.42</t>
  </si>
  <si>
    <t xml:space="preserve">or allocated to wife or lower income spouse / civil partner by husband or higher income spouse / civil partner </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</si>
  <si>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</si>
  <si>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</si>
  <si>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</si>
  <si>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</si>
  <si>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</si>
  <si>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</si>
  <si>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</si>
  <si>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</si>
  <si>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</si>
  <si>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</si>
  <si>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</si>
  <si>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</si>
  <si>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</si>
  <si>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</si>
  <si>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</si>
  <si>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</si>
  <si>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</si>
  <si>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</si>
  <si>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</si>
  <si>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c26.5</t>
  </si>
  <si>
    <t>c26.6</t>
  </si>
  <si>
    <t>c26.7</t>
  </si>
  <si>
    <t>c26.8</t>
  </si>
  <si>
    <t>c26.9</t>
  </si>
  <si>
    <t>c26.10</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</si>
  <si>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</si>
  <si>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</si>
  <si>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</si>
  <si>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</si>
  <si>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</si>
  <si>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</si>
  <si>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</si>
  <si>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</si>
  <si>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</si>
  <si>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</si>
  <si>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</si>
  <si>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</si>
  <si>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</si>
  <si>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</si>
  <si>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</si>
  <si>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</si>
  <si>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</si>
  <si>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</si>
  <si>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</si>
  <si>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</si>
  <si>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</si>
  <si>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</si>
  <si>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</si>
  <si>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</si>
  <si>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</si>
  <si>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</si>
  <si>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</si>
  <si>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</si>
  <si>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</si>
  <si>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</si>
  <si>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</si>
  <si>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</si>
  <si>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</si>
  <si>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</si>
  <si>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</si>
  <si>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</si>
  <si>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</si>
  <si>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</si>
  <si>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</si>
  <si>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</si>
  <si>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</si>
  <si>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</si>
  <si>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</si>
  <si>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</si>
  <si>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</si>
  <si>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</si>
  <si>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</si>
  <si>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</si>
  <si>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</si>
  <si>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</si>
  <si>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</si>
  <si>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</si>
  <si>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</si>
  <si>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</si>
  <si>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</si>
  <si>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</si>
  <si>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</si>
  <si>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</si>
  <si>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</si>
  <si>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</si>
  <si>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</si>
  <si>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</si>
  <si>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</si>
  <si>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</si>
  <si>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</si>
  <si>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</si>
  <si>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</si>
  <si>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</si>
  <si>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</si>
  <si>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</si>
  <si>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</si>
  <si>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</si>
  <si>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</si>
  <si>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</si>
  <si>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</si>
  <si>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</si>
  <si>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</si>
  <si>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</si>
  <si>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</si>
  <si>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</si>
  <si>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Treth Incwm ar ôl Lwfansau a Rhyddhad</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</si>
  <si>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</si>
  <si>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</si>
  <si>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</si>
  <si>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</si>
  <si>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</si>
  <si>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</si>
  <si>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</si>
  <si>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</si>
  <si>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</si>
  <si>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</si>
  <si>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</si>
  <si>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</si>
  <si>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</si>
  <si>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</si>
  <si>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</si>
  <si>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</si>
  <si>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</si>
  <si>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</si>
  <si>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</si>
  <si>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</si>
  <si>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</si>
  <si>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</si>
  <si>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</si>
  <si>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</si>
  <si>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</si>
  <si>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</si>
  <si>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</si>
  <si>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</si>
  <si>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pensiwn ayb a thaliadau rhodd cymorth. Mae hyn yn lleihau'r incwm sy'n daladwy ar y graddfeydd uwch o dreth.</t>
  </si>
  <si>
    <t>Mae hyn yn lleihau'r incwm sy'n daladwy ar y graddfeydd uwch o dreth.</t>
  </si>
  <si>
    <t>Difidendau o gwmnïau ac ati</t>
  </si>
  <si>
    <t xml:space="preserve">Cyfanswm yr incwm y codwyd treth arno </t>
  </si>
  <si>
    <t>Treth ar incwm a eithriwyd o'r cyfrifiad hwn</t>
  </si>
  <si>
    <t>Treth Incwm sy'n ddyledus</t>
  </si>
  <si>
    <t>Treth incwm a godwyd</t>
  </si>
  <si>
    <t>Treth sy'n ddyledus ar Daliadau Rhodd Cymorth</t>
  </si>
  <si>
    <t>Treth Enillion Cyfalaf sy'n ddyledus</t>
  </si>
  <si>
    <t>Tâl sail trosglwyddo ar gyfer y rhai nad yw eu domisil yn y DU</t>
  </si>
  <si>
    <t>Tâl Incwm Uchel Budd-dal Plant</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</si>
  <si>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</si>
  <si>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</si>
  <si>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</si>
  <si>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</si>
  <si>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</si>
  <si>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</si>
  <si>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</si>
  <si>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</si>
  <si>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</si>
  <si>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</si>
  <si>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</si>
  <si>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</si>
  <si>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</si>
  <si>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</si>
  <si>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</si>
  <si>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</si>
  <si>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</si>
  <si>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</si>
  <si>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</si>
  <si>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</si>
  <si>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</si>
  <si>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</si>
  <si>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</si>
  <si>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</si>
  <si>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</si>
  <si>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</si>
  <si>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Enillion sy'n gymwys ar gyfer Rhyddhad Mentrwr</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</si>
  <si>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</si>
  <si>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</si>
  <si>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</si>
  <si>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</si>
  <si>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</si>
  <si>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</si>
  <si>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</si>
  <si>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</si>
  <si>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</si>
  <si>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</si>
  <si>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PA</t>
  </si>
  <si>
    <t>In-Year calculation</t>
  </si>
  <si>
    <t>In-Year</t>
  </si>
  <si>
    <t>c4.80</t>
  </si>
  <si>
    <t>c4.81</t>
  </si>
  <si>
    <t>c4.82</t>
  </si>
  <si>
    <t>c4.83</t>
  </si>
  <si>
    <t>c4.84</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</si>
  <si>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</si>
  <si>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</si>
  <si>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</si>
  <si>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</si>
  <si>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</si>
  <si>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</si>
  <si>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</si>
  <si>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</si>
  <si>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</si>
  <si>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</si>
  <si>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</si>
  <si>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</si>
  <si>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</si>
  <si>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</si>
  <si>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</si>
  <si>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</si>
  <si>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</si>
  <si>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</si>
  <si>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</si>
  <si>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</si>
  <si>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</si>
  <si>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</si>
  <si>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</si>
  <si>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</si>
  <si>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</si>
  <si>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</si>
  <si>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Cyfradd sero</t>
  </si>
  <si>
    <t>plws ad-daliadau Benthyciadau Myfyrwyr (cynllun 01)</t>
  </si>
  <si>
    <t>plws treth ychwanegol sy'n ddyledus ar daliadau pensiwn</t>
  </si>
  <si>
    <t>yn llai rhyddhad treth ychwanegol sy'n ddyledus ar daliadau pensiwn</t>
  </si>
  <si>
    <t>yn llai treth ar enillion a godwyd yn barod</t>
  </si>
  <si>
    <t>Eiddo preswyl a 'carried interest'</t>
  </si>
  <si>
    <t>Eiddo preswyl a 'carried interest' Cyfradd sylfaenol</t>
  </si>
  <si>
    <t>plws ad-daliadau Benthyciadau Myfyrwyr (cynllun 02)</t>
  </si>
  <si>
    <t>L79C</t>
  </si>
  <si>
    <t>Additional tax due on pension payments</t>
  </si>
  <si>
    <t>used in calc?</t>
  </si>
  <si>
    <t>Test Case 158 without deficiency increase in CGT</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</si>
  <si>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</si>
  <si>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</si>
  <si>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</si>
  <si>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</si>
  <si>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</si>
  <si>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</si>
  <si>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</si>
  <si>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</si>
  <si>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</si>
  <si>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</si>
  <si>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</si>
  <si>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</si>
  <si>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Partnership10</t>
  </si>
  <si>
    <t>SL with Trust, CGT, FSE and FPS schedules, Income over £100000 with losses. VCT and EIS</t>
  </si>
  <si>
    <t>Trust income with notional tax and property income under £100,000. LAA due.</t>
  </si>
  <si>
    <t>Various schedules, PA reduced to Nil, gifts to charity, savings and interest, CGT, &amp; TRU</t>
  </si>
  <si>
    <t>Savings and Dividends where more beneficial to have PA against Dividends before Savings (STR 4)</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</si>
  <si>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</si>
  <si>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</si>
  <si>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</si>
  <si>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</si>
  <si>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CGT29 is positive then CGT26 must be present
If CGT29 is positive it must be less than or equal to CGT26
If CGT29 is negative then CGT27 must be present
If CGT29 is negative then its absolute value must be less than or equal to CGT27</t>
  </si>
  <si>
    <t>If CGT31 is present then at least one of CGT34 and CGT35 must be present</t>
  </si>
  <si>
    <t xml:space="preserve">
If CGT37 is positive then CGT34 must be present
If CGT37 is positive it must be less than or equal to CGT34
If CGT37 is negative then CGT35 must be present
If CGT37 is negative then its absolute value must be less than or equal to CGT35</t>
  </si>
  <si>
    <t>If CGT41 or CGT43 are present, CGT41 + CGT43 must be less than or equal to CGT35</t>
  </si>
  <si>
    <t>CGT48 must be less than or equal to the sum of CGT7, CGT19, CGT27, CGT35 and CGT46 plus (the absolute value of CGT9 if CGT9 is negative) minus the sum of CGT41 and CGT43</t>
  </si>
  <si>
    <t>If Present</t>
  </si>
  <si>
    <t>{{419}}CGT23</t>
  </si>
  <si>
    <t>{{674}} &lt;= [TRAB-SEED-EIS-RELIEF-LIMIT]</t>
  </si>
  <si>
    <t>Value validation</t>
  </si>
  <si>
    <t>{{697}} &lt;= CGT41</t>
  </si>
  <si>
    <t>{{698}} &lt;= CGT43</t>
  </si>
  <si>
    <t>{{418}} &lt;= [TRAL-CG-ENTREPRENEURS-RELIEF]</t>
  </si>
  <si>
    <t>{{416}} &lt;= [TRAL-NEW-CG-ENTREPRENEURS-REL]</t>
  </si>
  <si>
    <t>If present, must be less than or equal to £10,000,000</t>
  </si>
  <si>
    <t>Type</t>
  </si>
  <si>
    <t>SA string</t>
  </si>
  <si>
    <t>UTR</t>
  </si>
  <si>
    <t>Integer value greater &gt; 0</t>
  </si>
  <si>
    <t>SA Monetary value (2dp) &gt; 0.00</t>
  </si>
  <si>
    <t>SA CGT Relief Code (3 upper case letters)</t>
  </si>
  <si>
    <t>SA Monetary value (2dp)</t>
  </si>
  <si>
    <t>"yes"</t>
  </si>
  <si>
    <t>SA non-empty string</t>
  </si>
  <si>
    <t>Remittance Basis - Age under 18 tick box. Test for NRD33 working</t>
  </si>
  <si>
    <t>If CGT3 present then at least one of CGT6, CGT7, or CGT9 must be present</t>
  </si>
  <si>
    <t>TEST CASE 206 but with Remittance Basis Charge for 7 of 9 years</t>
  </si>
  <si>
    <t>TEST CASE 206 but with Remittance Basis Charge for 12 of 14 years</t>
  </si>
  <si>
    <t>Available unused Basic Rate Band</t>
  </si>
  <si>
    <t>calculation type = Resident</t>
  </si>
  <si>
    <t>PRR</t>
  </si>
  <si>
    <t>c18.56 + c18.57</t>
  </si>
  <si>
    <t>Lower Savings rate, basic rate savings, basic rate divs</t>
  </si>
  <si>
    <t>Lloyds with PAYE income</t>
  </si>
  <si>
    <t xml:space="preserve">Basic rate, and CGT including entreprenueral gains </t>
  </si>
  <si>
    <t>Savings and Dividends</t>
  </si>
  <si>
    <t>Savings, Dividends &amp; CGT</t>
  </si>
  <si>
    <t xml:space="preserve">MCA &amp; Savings rate </t>
  </si>
  <si>
    <t>Liable at 10% , balance BR band to capital Gains</t>
  </si>
  <si>
    <t>Savings and Dividends, and Gift Aid</t>
  </si>
  <si>
    <t>Lower savings rate</t>
  </si>
  <si>
    <t>Gift aid, CGT chargeable at more than one CGT rate</t>
  </si>
  <si>
    <t>Basic rate, H_MCA and gift aid</t>
  </si>
  <si>
    <t>Savings, full MCA &gt;75</t>
  </si>
  <si>
    <r>
      <t xml:space="preserve">FSE with </t>
    </r>
    <r>
      <rPr>
        <strike/>
        <sz val="9"/>
        <rFont val="Arial"/>
        <family val="2"/>
      </rPr>
      <t xml:space="preserve">NIC deferred and </t>
    </r>
    <r>
      <rPr>
        <sz val="9"/>
        <rFont val="Arial"/>
        <family val="2"/>
      </rPr>
      <t>NIC adjustment. Income over £150,000 no AHR due to gift aid.CGT at both 10 and 28%. VCT, EIS &amp; SEIS</t>
    </r>
  </si>
  <si>
    <t>VCT/Alimony claim</t>
  </si>
  <si>
    <t>YPDTR</t>
  </si>
  <si>
    <t>3.1</t>
  </si>
  <si>
    <t>c9.44</t>
  </si>
  <si>
    <t>c9.45</t>
  </si>
  <si>
    <t>(Class 2, Repayment of student loans + amount coded + POA adjustment</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</si>
  <si>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</si>
  <si>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</si>
  <si>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</si>
  <si>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</si>
  <si>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</si>
  <si>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</si>
  <si>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</si>
  <si>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</si>
  <si>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</si>
  <si>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</si>
  <si>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</si>
  <si>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</si>
  <si>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</si>
  <si>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</si>
  <si>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</si>
  <si>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Basic Rate, Class 4 NIC + Class 2 + Digital claim to Marriage Allowance Transfer (MAT) in place where customer is recipient + Scottish taxpayer status (STR 5)</t>
  </si>
  <si>
    <t>Higher rate non-savings,higher rate savings,higher rate dividends RAR + Digital claim to Marriage Allowance Transfer (MAT) in place where customer is recipient but disallowed as not BR (STR 3)</t>
  </si>
  <si>
    <t>Basic rate, carry back gift aid, CGT.Basic rate band excess to CG , MCA</t>
  </si>
  <si>
    <t>Incapacity Benefit, Gift aid due but no tax, BPA allowance.</t>
  </si>
  <si>
    <t>LUN7 value</t>
  </si>
  <si>
    <t>Total income on which tax is due</t>
  </si>
  <si>
    <t>100/92.5</t>
  </si>
  <si>
    <t>D</t>
  </si>
  <si>
    <t>Various income types with losses, Community investment relief, and foreign divs</t>
  </si>
  <si>
    <t>N/A</t>
  </si>
  <si>
    <t>Lloyds with Foreign Income. LUN with dividend tax credit for period in 2015-16.</t>
  </si>
  <si>
    <t>LUN with dividend tax credit for period in 2015-16. MAT transfer in where FTCR claim</t>
  </si>
  <si>
    <t>*100/</t>
  </si>
  <si>
    <t>used as</t>
  </si>
  <si>
    <t>P</t>
  </si>
  <si>
    <t>Non-discretionary income entitlement from a trust</t>
  </si>
  <si>
    <t>Non-discretionary income entitlement from a trust at trust rate</t>
  </si>
  <si>
    <t>c11.30</t>
  </si>
  <si>
    <t>c11.31</t>
  </si>
  <si>
    <t>c11.27 + c11.28</t>
  </si>
  <si>
    <t>Total Trust and estates dividends</t>
  </si>
  <si>
    <t>Components: YPD=1, INC-B=1, FIN=1, MCA=2, FSE=5, NI2=10, DoB =03/06/1934, NIC exempt</t>
  </si>
  <si>
    <t>Components: YPD=1, INC-A=10, INC-B=1, INC-C=1, REL-A=1, REL-B=1, FIN=1, MCA=7, Emp-A=7, FSE=5, NI2=10, PRO=1, CAL=4, DoB =03/06/1934, FIN1 =£617, NIC exempt</t>
  </si>
  <si>
    <t>Components: YPD=1, INC-A=11, SLR=7, FIN=1, Emp-A=7, CAL=4, DoB =not present</t>
  </si>
  <si>
    <t>Components: YPD=1, INC-A=1, REL-A=1, SLR=12, FIN=1, FSE=5, NI2=10, DoB =not present</t>
  </si>
  <si>
    <t>Components: YPD=1, INC-A=1, REL-A=2, SLR=13, FIN=1, Emp-A=7, PRO=1, CAL=4, DoB =not present</t>
  </si>
  <si>
    <t>Components: YPD=1, FIN=1, Emp-A=10, CAL=6, DoB =not present</t>
  </si>
  <si>
    <t>Components: YPD=1, INC-A=1, MAT=3, FIN=1, Emp-A=7, PRO=1, CAL=4, DoB =not present</t>
  </si>
  <si>
    <t>Components: YPD=1, INC-A=1, INC-B=1, INC-C=1, FIN=1, Emp-A=8, SSE=5, FSE=5, NI2=10, NI1=8, PRO=1, DoB =not present</t>
  </si>
  <si>
    <t>Components: YPD=1, INC-B=5, FIN=1, MOR=3, CGT=4, DoB =not present</t>
  </si>
  <si>
    <t>Components: YPD=1, INC-A=5, INC-B=4, FIN=1, AOI-B=3, PRO=4, DoB =not present</t>
  </si>
  <si>
    <t>Components: YPD=1, INC-A=3, INC-C=2, REL-A=4, SLR=4, FIN=1, AOI-B=8, Emp-A=5, Emp-B=4, DoB =not present</t>
  </si>
  <si>
    <t>Components: YPD=1, SLR=12, FIN=1, SSE=1, FSE=4, NI2=4, TRU=2, DoB =not present</t>
  </si>
  <si>
    <t>Components: YPD=1, FIN=1, AOI-B=5, MCA=6, PRO=3, FOR=3, DoB =03/06/1934, NIC exempt</t>
  </si>
  <si>
    <t>Components: YPD=1, FIN=1, ASE-A=3, AOR=2, Emp-A=2, Emp-B=6, CAL=2, DoB =not present, FIN1 =£671</t>
  </si>
  <si>
    <t>Components: YPD=1, FIN=1, Emp-A=3, Emp-B=8, FPS=2, NI2=4, FOR=2, CGT=2, DoB =not present, NIC2 voluntary</t>
  </si>
  <si>
    <t>Components: YPD=1, REL-A=7, FIN=1, AOR=5, SPS=2, FPS=1, NI2=8, FOR=1, TRU=6, DoB =not present</t>
  </si>
  <si>
    <t>Components: YPD=1, INC-B=1, REL-C=1, FIN=1, Emp-A=5, FSE=5, NI2=10, DoB =22/02/1936, NIC exempt</t>
  </si>
  <si>
    <t>Components: YPD=1, INC-A=10, INC-B=1, FIN=1, MCA=2, FSE=7, NI2=4, PRO=1, DoB =22/02/1936, NIC exempt</t>
  </si>
  <si>
    <t>Components: YPD=1, INC-A=3, INC-B=5, FIN=1, AOI-B=1, Emp-A=2, DoB =22/02/1936, NIC exempt</t>
  </si>
  <si>
    <t>Components: YPD=1, INC-A=10, INC-B=1, INC-C=1, FIN=1, DoB =03/06/1934, NIC exempt</t>
  </si>
  <si>
    <t>Components: YPD=1, INC-A=7, INC-B=1, INC-C=1, FIN=1, AOI-C=2, Emp-A=3, DoB =03/06/1934, NIC exempt</t>
  </si>
  <si>
    <t>Components: YPD=1, INC-A=11, FIN=1, PRO=1, CGT=5, DoB =22/02/1936, NIC exempt</t>
  </si>
  <si>
    <t>Components: YPD=1, INC-A=10, INC-B=1, FIN=1, MCA=1, SSE=2, NI2=5, PRO=1, DoB =03/06/1934, NIC exempt</t>
  </si>
  <si>
    <t>Components: YPD=1, INC-A=4, FIN=1, MCA=1, CGT=3, DoB =03/06/1934, NIC exempt</t>
  </si>
  <si>
    <t>Components: YPD=1, INC-A=1, INC-B=1, INC-C=1, FIN=1, MCA=1, PRO=5, DoB =03/06/1934, NIC exempt</t>
  </si>
  <si>
    <t>Components: YPD=1, INC-A=1, INC-B=9, REL-B=1, FIN=1, MCA=1, DoB =03/06/1934, NIC exempt</t>
  </si>
  <si>
    <t>Components: YPD=1, INC-B=2, REL-B=3, FIN=1, MCA=1, Emp-A=3, PRO=1, CGT=1, DoB =03/06/1934, NIC exempt</t>
  </si>
  <si>
    <t>Components: YPD=1, INC-A=8, INC-B=1, REL-A=1, FIN=1, MCA=2, Emp-A=1, FSE=1, NI2=4, DoB =03/06/1934, NIC exempt</t>
  </si>
  <si>
    <t>Components: YPD=1, INC-A=11, INC-B=1, INC-C=1, REL-A=1, REL-B=1, FIN=1, MCA=1, Emp-A=1, FSE=5, NI2=10, PRO=1, DoB =03/06/1934, FIN1 =£617, NIC exempt</t>
  </si>
  <si>
    <t>Components: YPD=1, INC-A=4, FIN=1, AOI-B=3, FOR=4, NRD=3, DoB =not present</t>
  </si>
  <si>
    <t>Components: YPD=1, INC-A=5, REL-A=4, REL-B=5, FIN=1, FSE=2, NI2=4, DoB =not present</t>
  </si>
  <si>
    <t>Components: YPD=1, INC-B=8, INC-C=6, REL-A=3, REL-B=6, FIN=1, DoB =not present</t>
  </si>
  <si>
    <t>Components: YPD=1, REL-A=5, FIN=1, AOI-C=5, AIL=5, Emp-A=5, Emp-B=3, DoB =not present</t>
  </si>
  <si>
    <t>Components: YPD=1, REL-B=7, FIN=1, AOI-B=4, AOR=3, FSE=6, NI2=4, PRO=5, CGT=2, DoB =not present</t>
  </si>
  <si>
    <t>Components: YPD=1, INC-A=3, FIN=1, ASE-B=2, Emp-A=6, Emp-B=5, PRO=6, CAL=5, DoB =not present</t>
  </si>
  <si>
    <t>Components: YPD=1, INC-A=2, FIN=1, ASE-B=2, Emp-A=4, LUN=1, NI2=4, DoB =not present, NIC2 voluntary</t>
  </si>
  <si>
    <t>Components: YPD=1, INC-A=2, REL-C=1, FIN=1, MCA=1, NRD=3, DoB =03/06/1934, NIC exempt</t>
  </si>
  <si>
    <t>Components: YPD=1, INC-A=11, FIN=1, Emp-A=6, FOR=6, NRD=5, DoB =not present</t>
  </si>
  <si>
    <t>Components: YPD=1, INC-B=7, SLR=2, FIN=1, ASE-A=2, Emp-A=2, DoB =not present</t>
  </si>
  <si>
    <t>Components: YPD=1, INC-A=7, FIN=1, MCA=4, SSE=2, NI2=5, DoB =03/06/1934, NIC exempt</t>
  </si>
  <si>
    <t>Components: YPD=1, INC-B=1, INC-C=2, FIN=1, ASE-A=2, MCA=5, DoB =03/06/1934</t>
  </si>
  <si>
    <t>Components: YPD=1, INC-B=2, FIN=1, MOR=4, DoB =not present</t>
  </si>
  <si>
    <t>Components: YPD=1, INC-A=8, INC-C=3, FIN=1, MOR=2, DoB =not present</t>
  </si>
  <si>
    <t>Components: YPD=1, INC-C=4, FIN=1, Emp-A=1, Emp-B=4, SSE=7, NI2=4, CGT=10, DoB =not present, NIC2 voluntary</t>
  </si>
  <si>
    <t>Components: YPD=1, INC-A=7, FIN=1, FSE=7, NI2=4, DoB =not present</t>
  </si>
  <si>
    <t>Components: YPD=1, INC-A=4, FIN=1, Emp-A=4, FPS=5, NI2=4, CGT=7, DoB =not present</t>
  </si>
  <si>
    <t>Components: YPD=1, INC-B=10, INC-C=6, SLR=2, FIN=1, Emp-A=2, DoB =not present</t>
  </si>
  <si>
    <t>Components: YPD=1, FIN=1, AIL=8, FSE=2, NI2=4, DoB =not present</t>
  </si>
  <si>
    <t>Components: YPD=1, FIN=1, AIL=8, SSE=6, NI2=4, PRO=3, DoB =not present, NIC2 voluntary</t>
  </si>
  <si>
    <t>Components: YPD=1, FIN=1, AIL=1, Emp-A=6, DoB =not present</t>
  </si>
  <si>
    <t>Components: YPD=1, INC-A=3, FIN=1, LUN=3, NI2=5, DoB =not present</t>
  </si>
  <si>
    <t>Components: YPD=1, FIN=1, LUN=6, NI2=4, CGT=5, DoB =not present</t>
  </si>
  <si>
    <t>Components: YPD=1, SLR=12, FIN=1, LUN=3, NI2=5, TRU=2, DoB =not present</t>
  </si>
  <si>
    <t>Components: YPD=1, FIN=1, LUN=6, NI2=4, FOR=5, DoB =not present</t>
  </si>
  <si>
    <t>Components: YPD=1, FIN=1, FSE=2, LUN=4, NI2=4, CGT=4, DoB =not present</t>
  </si>
  <si>
    <t>Components: YPD=1, INC-A=9, INC-C=1, FIN=1, Emp-A=9, DoB =not present</t>
  </si>
  <si>
    <t>Components: YPD=1, INC-A=9, INC-C=1, FIN=1, Emp-A=9, SPS=2, NI2=8, DoB =not present, NIC2 voluntary</t>
  </si>
  <si>
    <t>Components: YPD=1, INC-A=2, FIN=1, SSE=2, NI2=5, CGT=5, DoB =not present, NIC2 voluntary</t>
  </si>
  <si>
    <t>Components: YPD=1, INC-A=2, INC-C=3, FIN=1, FSE=1, SPS=2, NI2=8, PRO=1, CGT=5, DoB =not present</t>
  </si>
  <si>
    <t>Components: YPD=1, INC-A=2, FIN=1, SSE=2, NI2=5, CGT=3, DoB =not present, NIC2 voluntary</t>
  </si>
  <si>
    <t>Components: YPD=1, INC-A=2, FIN=1, SSE=2, FSE=6, NI2=5, CGT=3, DoB =not present</t>
  </si>
  <si>
    <t>Components: YPD=1, FIN=1, SPS=2, NI2=8, CGT=2, DoB =not present, NIC2 voluntary</t>
  </si>
  <si>
    <t>Components: YPD=1, REL-B=3, FIN=1, SPS=2, NI2=8, CGT=2, DoB =22/02/1936, NIC exempt</t>
  </si>
  <si>
    <t>Components: YPD=1, FIN=1, FPS=4, NI2=6, CGT=2, DoB =not present</t>
  </si>
  <si>
    <t>Components: YPD=1, INC-C=4, FIN=1, AOI-B=9, CGT=4, DoB =not present</t>
  </si>
  <si>
    <t>Components: YPD=1, FIN=1, AOI-B=9, Emp-A=3, CGT=4, DoB =not present</t>
  </si>
  <si>
    <t>Components: YPD=1, FIN=1, AOI-B=7, Emp-A=4, CGT=5, DoB =not present</t>
  </si>
  <si>
    <t>Components: YPD=1, FIN=1, Emp-A=4, CGT=5, DoB =not present</t>
  </si>
  <si>
    <t>Components: YPD=1, INC-A=2, FIN=1, AIL=5, Emp-A=1, DoB =not present</t>
  </si>
  <si>
    <t>Components: YPD=1, FIN=1, AOI-B=8, ASE-B=3, DoB =not present</t>
  </si>
  <si>
    <t>Components: YPD=1, INC-A=2, INC-B=1, FIN=1, AOI-C=2, PRO=3, NRD=1, DoB =not present, NIC exempt</t>
  </si>
  <si>
    <t>Components: YPD=1, INC-A=2, INC-B=1, FIN=1, AOI-C=1, PRO=3, NRD=1, DoB =not present, NIC exempt</t>
  </si>
  <si>
    <t>Components: YPD=1, INC-A=2, FIN=1, Emp-A=5, TRU=1, DoB =not present</t>
  </si>
  <si>
    <t>Components: YPD=1, INC-A=10, INC-B=9, INC-C=2, FIN=1, MCA=1, DoB =03/06/1934</t>
  </si>
  <si>
    <t>Components: YPD=1, INC-A=10, INC-B=9, INC-C=2, FIN=1, MCA=4, DoB =03/06/1934</t>
  </si>
  <si>
    <t>Components: YPD=1, INC-A=10, INC-B=9, INC-C=2, FIN=1, MCA=5, DoB =03/06/1934</t>
  </si>
  <si>
    <t>Components: YPD=1, INC-A=10, INC-B=9, INC-C=2, FIN=1, MCA=7, DoB =03/06/1934</t>
  </si>
  <si>
    <t>Components: YPD=1, FIN=1, Emp-A=6, PRO=8, FOR=1, DoB =not present</t>
  </si>
  <si>
    <t>Components: YPD=1, INC-A=1, INC-C=2, CBC=1, FIN=1, AOI-B=1, AOI-C=2, Emp-A=1, Emp-B=3, SSE=4, FPS=1, NI2=4, NI1=1, PRO=7, TRU=2, DoB =not present</t>
  </si>
  <si>
    <t>Components: YPD=1, FIN=1, AOR=4, AIL=10, Emp-A=6, Emp-B=9, FSE=9, NI2=6, PRO=5, DoB =not present, NIC2 voluntary</t>
  </si>
  <si>
    <t>Components: YPD=1, INC-A=12, REL-A=2, REL-B=1, FIN=1, FPS=7, NI2=4, DoB =not present, NIC2 voluntary</t>
  </si>
  <si>
    <t>Components: YPD=1, INC-A=4, FIN=1, ASE-C=3, AIL=8, Emp-A=6, SPS=6, NI2=4, DoB =not present, NIC2 voluntary</t>
  </si>
  <si>
    <t>Components: YPD=1, FIN=1, AIL=8, Emp-A=4, SPS=6, NI2=4, NRD=3, DoB =not present, NIC2 voluntary</t>
  </si>
  <si>
    <t>Components: YPD=1, FIN=1, Emp-A=9, SSE=3, FSE=4, SPS=5, NI2=1, PRO=6, CGT=6, DoB =not present</t>
  </si>
  <si>
    <t>Components: YPD=1, FIN=1, AOR=10, FSE=6, NI2=4, CAL=7, DoB =not present</t>
  </si>
  <si>
    <t>Components: YPD=1, INC-A=2, INC-B=11, REL-B=2, FIN=1, PRO=9, NRD=6, DoB =not present, NIC exempt</t>
  </si>
  <si>
    <t>Components: YPD=1, FIN=1, FPS=8, NI2=4, DoB =not present</t>
  </si>
  <si>
    <t>Components: YPD=1, INC-A=12, FIN=1, ASE-C=4, AIL=11, Emp-A=11, PRO=1, NRD=6, DoB =not present, NIC exempt</t>
  </si>
  <si>
    <t>Components: YPD=1, INC-A=12, FIN=1, ASE-C=4, AIL=11, Emp-A=11, PRO=1, CGT=5, NRD=6, DoB =not present, NIC exempt</t>
  </si>
  <si>
    <t>Components: YPD=1, INC-A=2, REL-B=4, FIN=1, Emp-A=11, FOR=7, DoB =not present</t>
  </si>
  <si>
    <t>Components: YPD=1, REL-B=8, CBC=1, FIN=1, Emp-A=1, CGT=8, NRD=3, DoB =not present</t>
  </si>
  <si>
    <t>Components: YPD=1, INC-A=9, FIN=1, Emp-A=8, FSE=5, NI2=10, DoB =not present</t>
  </si>
  <si>
    <t>Components: YPD=1, INC-A=7, INC-B=2, FIN=1, FOR=5, CGT=8, NRD=2, DoB =03/06/1934, NIC exempt</t>
  </si>
  <si>
    <t>Components: YPD=1, INC-A=7, INC-B=9, MAT=1, FIN=1, DoB =not present</t>
  </si>
  <si>
    <t>Components: YPD=1, MAT=4, FIN=1, LUN=6, NI2=4, FOR=5, DoB =not present</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</si>
  <si>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</si>
  <si>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</si>
  <si>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</si>
  <si>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</si>
  <si>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</si>
  <si>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</si>
  <si>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</si>
  <si>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</si>
  <si>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</si>
  <si>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</si>
  <si>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</si>
  <si>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</si>
  <si>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</si>
  <si>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</si>
  <si>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</si>
  <si>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</si>
  <si>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</si>
  <si>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</si>
  <si>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</si>
  <si>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</si>
  <si>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</si>
  <si>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</si>
  <si>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</si>
  <si>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</si>
  <si>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PA allocation to BR instead of HR dividends</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</si>
  <si>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</si>
  <si>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</si>
  <si>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</si>
  <si>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</si>
  <si>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</si>
  <si>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</si>
  <si>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</si>
  <si>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</si>
  <si>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</si>
  <si>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</si>
  <si>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</si>
  <si>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</si>
  <si>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</si>
  <si>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</si>
  <si>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</si>
  <si>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</si>
  <si>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</si>
  <si>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</si>
  <si>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</si>
  <si>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</si>
  <si>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</si>
  <si>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</si>
  <si>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</si>
  <si>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</si>
  <si>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</si>
  <si>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</si>
  <si>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</si>
  <si>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</si>
  <si>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</si>
  <si>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</si>
  <si>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</si>
  <si>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</si>
  <si>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</si>
  <si>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</si>
  <si>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</si>
  <si>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</si>
  <si>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</si>
  <si>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</si>
  <si>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</si>
  <si>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Additional tax due on gift aid (STR 9)</t>
  </si>
  <si>
    <t>Tax already refunded + Income from savings at starting rate. Tests order of allowances and deductions. ( STR 12)</t>
  </si>
  <si>
    <t xml:space="preserve">Kitchen sink with in year MCA to wife (STR 13) </t>
  </si>
  <si>
    <t xml:space="preserve">Self Assessment: Tax Calculation </t>
  </si>
  <si>
    <t>Prohibited if NRD1 = Y</t>
  </si>
  <si>
    <t>Integer value &gt; 0</t>
  </si>
  <si>
    <t>SA Country Code (3 upper case letters)</t>
  </si>
  <si>
    <t>@ 7.5% =</t>
  </si>
  <si>
    <t>@ 38.1% =</t>
  </si>
  <si>
    <t>@ 38.5% =</t>
  </si>
  <si>
    <t>Taken from MTR_Tester_2018_v4.5</t>
  </si>
  <si>
    <t>SavBR_band</t>
  </si>
  <si>
    <t>data</t>
  </si>
  <si>
    <t>SBR_band renamed SavBR_band - Band between Savings rate &amp; Basic rate</t>
  </si>
  <si>
    <t>Scottish Basic rate band</t>
  </si>
  <si>
    <t>Scottish Band between Basic Rate &amp; Higher rate</t>
  </si>
  <si>
    <t>SHR_band</t>
  </si>
  <si>
    <t>=AHR_band-BR_band</t>
  </si>
  <si>
    <t>new data item - SHR_band - Scottish Band between Basic Rate &amp; Higher rate</t>
  </si>
  <si>
    <t>new data item - SBR_band - Scottish Basic rate band</t>
  </si>
  <si>
    <t>new data item - SSavBR_band - Scottish Band between Savings rate &amp; Basic rate</t>
  </si>
  <si>
    <t>Scottish Additional rate band</t>
  </si>
  <si>
    <t>SAHR_band</t>
  </si>
  <si>
    <t>new data item - SAHR_band - Scottish Additional rate band</t>
  </si>
  <si>
    <t>BR_band in c4.76, c4.77, c5.2, c6.27, c18.38, c25.10</t>
  </si>
  <si>
    <t>AHR_band in c4.78</t>
  </si>
  <si>
    <t>HR_band in c5.5, c5.9, c5.17, c5.26, c5.31, c6.8, c17.14, c25.17</t>
  </si>
  <si>
    <t>v0.1 created</t>
  </si>
  <si>
    <t>ALL</t>
  </si>
  <si>
    <t>highlighting removed</t>
  </si>
  <si>
    <t>years and data items that have changed highlighted</t>
  </si>
  <si>
    <t>Class 4 Reg100 calculation</t>
  </si>
  <si>
    <t>Dividend Tax Credit</t>
  </si>
  <si>
    <t>c12</t>
  </si>
  <si>
    <t>c12.1 changed from "from c9.40" to "c9.40 minus c10.4"</t>
  </si>
  <si>
    <t>c16</t>
  </si>
  <si>
    <t>2017-18</t>
  </si>
  <si>
    <t>Rounding consistency</t>
  </si>
  <si>
    <t>c22</t>
  </si>
  <si>
    <t>c91</t>
  </si>
  <si>
    <t>Calculation boxes c91.29 &amp; c91.33 changed from pup to £up</t>
  </si>
  <si>
    <t>When set as pup the Return amount is in pence so this had no effect. £up rounds any pence up which is consistent with the rest of the SA tax calc - to customer's benefit.</t>
  </si>
  <si>
    <t>Calculation box c22.11 changed from pup to £up</t>
  </si>
  <si>
    <t xml:space="preserve"> else</t>
  </si>
  <si>
    <t>c23.10</t>
  </si>
  <si>
    <t>c23.11</t>
  </si>
  <si>
    <t>c9.46</t>
  </si>
  <si>
    <t>c23</t>
  </si>
  <si>
    <t>Calculation from c23 copied to new calculation box c9.27. Subsequent renumbering.</t>
  </si>
  <si>
    <t>c4</t>
  </si>
  <si>
    <t>c5</t>
  </si>
  <si>
    <t>c6</t>
  </si>
  <si>
    <t>c17</t>
  </si>
  <si>
    <t>c25</t>
  </si>
  <si>
    <t>IRCX_template</t>
  </si>
  <si>
    <t>L74 reinstated</t>
  </si>
  <si>
    <t>SA302_template</t>
  </si>
  <si>
    <t>SA302_template(W)</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</si>
  <si>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</si>
  <si>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</si>
  <si>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</si>
  <si>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higher rate.”</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</si>
  <si>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</si>
  <si>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</si>
  <si>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</si>
  <si>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</si>
  <si>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</si>
  <si>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(iii) income of an individual who is a Scottish taxpayer or Welsh taxpayer which would, if the individual were not a Scottish taxpayer or Welsh taxpayer (as the case may be), be income on which income tax is charged at the additional rate</t>
  </si>
  <si>
    <t>s55 (2) (b) ITA 2007</t>
  </si>
  <si>
    <t>s12B (8) (b) ITA 2007 &amp; s12B (8) (a) ITA 2007</t>
  </si>
  <si>
    <t>c24.1</t>
  </si>
  <si>
    <t>c24.2</t>
  </si>
  <si>
    <t>c24.3</t>
  </si>
  <si>
    <t>c24.4</t>
  </si>
  <si>
    <t>c24.5</t>
  </si>
  <si>
    <t>c24.6</t>
  </si>
  <si>
    <t>c24.7</t>
  </si>
  <si>
    <t>c24.8</t>
  </si>
  <si>
    <t>c24.9</t>
  </si>
  <si>
    <t>Calculation box c5.2 changed to pick up basic rate band from new box c4.76 rather than using BR_band</t>
  </si>
  <si>
    <t>Calculation box c6.27 changed to pick up basic rate band from new box c4.76 rather than using BR_band</t>
  </si>
  <si>
    <t>Calculation box c5.5 changed to pick up Band between Higher rate band &amp; basic rate band from new box c4.77 rather than using HR_band</t>
  </si>
  <si>
    <t>Calculation box c5.9 changed to pick up Band between Higher rate band &amp; basic rate band from new box c4.77 rather than using HR_band</t>
  </si>
  <si>
    <t>Calculation box c5.17 changed to pick up Band between Higher rate band &amp; basic rate band from new box c4.77 rather than using HR_band</t>
  </si>
  <si>
    <t>Calculation box c5.26 changed to pick up Band between Higher rate band &amp; basic rate band from new box c4.77 rather than using HR_band</t>
  </si>
  <si>
    <t>Calculation box c6.8 changed to pick up Band between Higher rate band &amp; basic rate band from new box c4.77 rather than using HR_band</t>
  </si>
  <si>
    <t>Calculation box c25.10 changed to pick up basic rate band from new box c4.76 rather than using BR_band</t>
  </si>
  <si>
    <t>Calculation box c17.14 changed to pick up Band between Higher rate band &amp; basic rate band from new box c4.77 rather than using HR_band</t>
  </si>
  <si>
    <t>Calculation box c25.17 changed to pick up Band between Higher rate band &amp; basic rate band from new box c4.77 rather than using HR_band</t>
  </si>
  <si>
    <t>Calculation box c17.10 changed to pick up basic rate band from new box c4.76 rather than using HR_threshold</t>
  </si>
  <si>
    <t>Calculation boxes reinstated for stage 23. Deleted in error for 2016-17.</t>
  </si>
  <si>
    <t>Enhancement - stage 23 reinstated</t>
  </si>
  <si>
    <t>Changes v0.2</t>
  </si>
  <si>
    <t>Relief for finance costs</t>
  </si>
  <si>
    <t>Calculate relief for finance costs</t>
  </si>
  <si>
    <t>LLIR (c24)</t>
  </si>
  <si>
    <t>Notional (c21c23)</t>
  </si>
  <si>
    <t>H40</t>
  </si>
  <si>
    <t>PRO44</t>
  </si>
  <si>
    <t>Loan interest and other financial costs (25%)</t>
  </si>
  <si>
    <t>Partnership property income</t>
  </si>
  <si>
    <t>Adjusted total income</t>
  </si>
  <si>
    <t>Net income</t>
  </si>
  <si>
    <t>c24.10</t>
  </si>
  <si>
    <t>c24.11</t>
  </si>
  <si>
    <t>c24.12</t>
  </si>
  <si>
    <t>c24.13</t>
  </si>
  <si>
    <t>c24.14</t>
  </si>
  <si>
    <t>c24.15</t>
  </si>
  <si>
    <t>c24.16</t>
  </si>
  <si>
    <t>c24.17</t>
  </si>
  <si>
    <t>c24.18</t>
  </si>
  <si>
    <t>c24.19</t>
  </si>
  <si>
    <t>c24.20</t>
  </si>
  <si>
    <t>Allowable amount</t>
  </si>
  <si>
    <t>Relievable amount</t>
  </si>
  <si>
    <t>c9.47</t>
  </si>
  <si>
    <t>c9.48</t>
  </si>
  <si>
    <t>L67</t>
  </si>
  <si>
    <t>Llir-relief</t>
  </si>
  <si>
    <t>Llir-amount</t>
  </si>
  <si>
    <t>Llir-amount-restricted</t>
  </si>
  <si>
    <t>c9.25 + c9.30 + c10.4</t>
  </si>
  <si>
    <t xml:space="preserve">New boxes c4.76, c4.77 and c4.78 to determine if Scottish or rUK Band between Savings rate &amp; Basic rate; basic rate band; and band between basic rate &amp; higher rate band respectively. Subsequent renumbering. </t>
  </si>
  <si>
    <t>Above boxes (renumbered) c4.79 and c4.80 - criteria added to clarify why BR_band used for all customers, including those liable to Scottish BR_band</t>
  </si>
  <si>
    <t>SA302_template (SA302 layout)</t>
  </si>
  <si>
    <t>SA302_template (W)</t>
  </si>
  <si>
    <t>L76or line criteria changed so that line displayed when tax reduction but tax_charged = £0</t>
  </si>
  <si>
    <t>Enhancement</t>
  </si>
  <si>
    <t>This change to L76 requires testing in conjuntion with L56or lines for Income Tax charged</t>
  </si>
  <si>
    <t>tc103</t>
  </si>
  <si>
    <t>L46b line criteria changed to remove reference to taxable-int-SR so line only visible when amount in this line or subsequent line</t>
  </si>
  <si>
    <t>Unique Taxpayer Reference (UTR)</t>
  </si>
  <si>
    <t>"Cyfrifiad Treth ar gyfer 2017-18" &amp; "(y flwyddyn a ddaeth i ben 5 Ebrill 2018)" line changed so two not running into each other.  "(y flwyddyn a ddaeth i ben 5 Ebrill 2018)" moved to right</t>
  </si>
  <si>
    <t>New stage worksheet added</t>
  </si>
  <si>
    <t>Data</t>
  </si>
  <si>
    <t>macro updated</t>
  </si>
  <si>
    <t>LLIR (c24) name added to list of hidden worksheets in column A</t>
  </si>
  <si>
    <t>Finance costs</t>
  </si>
  <si>
    <t>Allowable finance costs</t>
  </si>
  <si>
    <t>c24.21</t>
  </si>
  <si>
    <t>Partnership foreign property income</t>
  </si>
  <si>
    <t>Trust and Estate UK property and income from land and property abroad</t>
  </si>
  <si>
    <t>Scottish income tax rates and thresholds</t>
  </si>
  <si>
    <t>New calculation boxes added</t>
  </si>
  <si>
    <t>Calculate if, after the personal allowance is reduced or tax reduction received, you are liable to tax at a rate other than the</t>
  </si>
  <si>
    <t>SA77 SDST SA611478</t>
  </si>
  <si>
    <t>Ratified rate</t>
  </si>
  <si>
    <t>=SAHR_band-SBR_band</t>
  </si>
  <si>
    <t>Announced December/Ratified March</t>
  </si>
  <si>
    <t>NRD32 updated to Y because NRD36 completed and it would be expected NRD30/NRD31/NRD32 be completed when NRD36 completed. This makes scenario more realistic.</t>
  </si>
  <si>
    <t>Relief for residential finance costs</t>
  </si>
  <si>
    <t>target</t>
  </si>
  <si>
    <t>PRO44 added</t>
  </si>
  <si>
    <t>FOR24 and FOR24A added</t>
  </si>
  <si>
    <t>FOR24A</t>
  </si>
  <si>
    <t>C6 component sheet</t>
  </si>
  <si>
    <t>C5 component sheet</t>
  </si>
  <si>
    <t>C4 component sheet</t>
  </si>
  <si>
    <t>C7 component sheet</t>
  </si>
  <si>
    <t>P6</t>
  </si>
  <si>
    <t>P18</t>
  </si>
  <si>
    <t>P24</t>
  </si>
  <si>
    <t>P32</t>
  </si>
  <si>
    <t>P35</t>
  </si>
  <si>
    <t>New lines 'L67' and 'L67 or'</t>
  </si>
  <si>
    <t>New line L67</t>
  </si>
  <si>
    <t>Taxable profit after adjustment and losses</t>
  </si>
  <si>
    <t>Taxable profit</t>
  </si>
  <si>
    <t>FPS41A</t>
  </si>
  <si>
    <t>FPS63A</t>
  </si>
  <si>
    <t>S19</t>
  </si>
  <si>
    <t>N14</t>
  </si>
  <si>
    <t>K20</t>
  </si>
  <si>
    <t>New lines 'L41A' and '63A'</t>
  </si>
  <si>
    <t>Changes v0.3</t>
  </si>
  <si>
    <t>FPS41, FPS41A, FPS60 and FPS63A added</t>
  </si>
  <si>
    <t>not for Requirements</t>
  </si>
  <si>
    <t>PRO44 data added for test cases</t>
  </si>
  <si>
    <t>not for Requirements (to be done</t>
  </si>
  <si>
    <t>Personal Savings Allowance/Dividend Taxation Reform affect on ordering of allowaances and deductions</t>
  </si>
  <si>
    <t>residential property income</t>
  </si>
  <si>
    <t>TRU26</t>
  </si>
  <si>
    <t>P37</t>
  </si>
  <si>
    <t>Residential property income</t>
  </si>
  <si>
    <t>FPS41.1 and FPS63.1 added</t>
  </si>
  <si>
    <t>FOR24 and FOR24.1 added</t>
  </si>
  <si>
    <t>New lines 'TRU25' and 'TRU26' data added</t>
  </si>
  <si>
    <t>FOR24.1 added</t>
  </si>
  <si>
    <t>FOR24.1 data added for test cases</t>
  </si>
  <si>
    <t>New lines 'FPS41.1' and 'FPS63.1' data added</t>
  </si>
  <si>
    <t>Rounding added</t>
  </si>
  <si>
    <t>(to be done</t>
  </si>
  <si>
    <t>New boxes c5.21, c5.22, and c5.23 to ensure Personal Savings Allowance in calculation where customer liable at AHR pre allowances and deductions but at HR post allowances and deductions so entitled to HR PSA amount. Subsequent renumbering.</t>
  </si>
  <si>
    <t>After renumbering, new boxes added at c5.70, c5.71, and c5.72 to order allowances in most beneficial way when no dividend income in excess of Dividend Allowance. Subsequent renumbering and changes to renumbered boxes c5.73, c5.74, and c5.75.</t>
  </si>
  <si>
    <t>tc_template</t>
  </si>
  <si>
    <t>Add new box numbers</t>
  </si>
  <si>
    <t>TRU25 and TRU26 added</t>
  </si>
  <si>
    <t>Bug 476 IP170 - L56 variant not consistent with L78/L81 (to be done</t>
  </si>
  <si>
    <t>This change for c5.72 above enables allowances and deductions not used for non-savings and savings income that were previously carried forward for dividends but not used (Dividend income below Dividend Allowance) to be allocated to savings and enables SA302 to be arithmetically correct</t>
  </si>
  <si>
    <t>New boxes c5.79, c5.80 and subsequent renumbering with new box c5.90 and further renumbering. This ensures any allowances that are pushed to Dividends but not needed are then available to savings again. This is cosmetic so all allowances set against income and SA302 does not show i.e. Savings nil rate £100 x 0%</t>
  </si>
  <si>
    <t>E.g. INC2 £100, INC4 £9,000 REL1 £3,600 FSE74 £6,789 &amp; FSE76 £2,000</t>
  </si>
  <si>
    <t>Test cases for MOR Class 1 NICable earnings requires changes to C8C9C10</t>
  </si>
  <si>
    <t>Class1_PT</t>
  </si>
  <si>
    <t>Class1_UEL</t>
  </si>
  <si>
    <t>Class 1 Primary Threshold (employee)</t>
  </si>
  <si>
    <t>Class 1 Upper Earnings Limit</t>
  </si>
  <si>
    <t>not for requirements</t>
  </si>
  <si>
    <t>New data items for Class1_PT &amp; Class1_UEL</t>
  </si>
  <si>
    <t>C8C9C10 Component sheet</t>
  </si>
  <si>
    <t>Formula added for EMPCL1 amount</t>
  </si>
  <si>
    <t>Calculation box c16.30</t>
  </si>
  <si>
    <t>Changed as a result of EARS00030170155 (Reg100 interpretation incorrect affecting v small no of customers with profit gt than Class 4 conts payable at main rate (as if no maximum existed) and Class 2 and Class 1 less  than max Class 2 amount)</t>
  </si>
  <si>
    <t>Error corrected from 2015-16</t>
  </si>
  <si>
    <t>Step 3</t>
  </si>
  <si>
    <t>Step 4</t>
  </si>
  <si>
    <t>Step 5</t>
  </si>
  <si>
    <t>Step 4 x 1%</t>
  </si>
  <si>
    <t>Step 6</t>
  </si>
  <si>
    <t>Step 7</t>
  </si>
  <si>
    <t>Step 6 x 2%</t>
  </si>
  <si>
    <t>Step 8</t>
  </si>
  <si>
    <t>Individual annual maximum Step 2 + Step 5 + Step 7</t>
  </si>
  <si>
    <t>Upper earnings limit (weekly)</t>
  </si>
  <si>
    <t>NIC_UEL_Wk</t>
  </si>
  <si>
    <t>Not for requirements</t>
  </si>
  <si>
    <t>Primary earnings threshold (weekly)</t>
  </si>
  <si>
    <t>NIC_PT_Wk</t>
  </si>
  <si>
    <t>E.g non-savings £8,000, savings £7,000 and dividends £3,000.
See SDST SA547966 / SA78</t>
  </si>
  <si>
    <t>This is the reduced Class 2 calculation</t>
  </si>
  <si>
    <t>Enter the full amount of Class 2</t>
  </si>
  <si>
    <t>CL2A</t>
  </si>
  <si>
    <t>that would have been payable</t>
  </si>
  <si>
    <t>CL2B</t>
  </si>
  <si>
    <t>Step 3 minus Step 1</t>
  </si>
  <si>
    <t>EMP PT</t>
  </si>
  <si>
    <t>MOR PT</t>
  </si>
  <si>
    <t>Adj CL2</t>
  </si>
  <si>
    <t>O23</t>
  </si>
  <si>
    <t>D30</t>
  </si>
  <si>
    <t>;</t>
  </si>
  <si>
    <t>Enhancement - calculation of Reg100 Class 4</t>
  </si>
  <si>
    <t>Enhancement - Income Tax Reliefs</t>
  </si>
  <si>
    <t>new boxes c4.64, c4.65, &amp; c4.66 for losses brought forward</t>
  </si>
  <si>
    <t>Losses brought forward deducted from non-savings income before stage 5</t>
  </si>
  <si>
    <t>Income net of losses</t>
  </si>
  <si>
    <t xml:space="preserve">
Complexities
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
The personal allowance and thresholds and taxes on savings and dividends remain a UK ‘reserved’ matter
Capital Gains Tax (CGT) has not been devolved (nor NIC, IHT or corporation tax, the rates of capital gains tax depend on the UK rates and thresholds. </t>
  </si>
  <si>
    <t>change to renumbered c4.73 from "c4.47 + c4.48 + c4.49 + c4.51 + c4.54 + c4.72" to "(c4.47 minus c4.65) + c4.48 + c4.49 + c4.51 + c4.54 + c4.72"</t>
  </si>
  <si>
    <t>H36</t>
  </si>
  <si>
    <t>Changes v0.4</t>
  </si>
  <si>
    <t>Enhancement - Class 4 calculation</t>
  </si>
  <si>
    <t>Exclusion 48</t>
  </si>
  <si>
    <t>change to stage 16 - for a non-UK resident with profits chargeable in the UK above the Class 4 limit, the calculation at stage 16 will now calculate Class 4. If the exemption box is ticked Class 4 will not be calculated.</t>
  </si>
  <si>
    <t>Exclusion 49</t>
  </si>
  <si>
    <t>At the start of stage 18 the If statement for calculating Capital Gains Tax (CGT) now references CGT18 attributed gains so the CGT calculation is completed where CGT18 is only Gain.</t>
  </si>
  <si>
    <r>
      <t xml:space="preserve">Action - add SA query number
</t>
    </r>
    <r>
      <rPr>
        <sz val="10"/>
        <rFont val="Arial"/>
        <family val="2"/>
      </rPr>
      <t>Exclusion 56</t>
    </r>
  </si>
  <si>
    <t>Enhancement - Capital Gains</t>
  </si>
  <si>
    <t>Used for SEES v1.0</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</si>
  <si>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</si>
  <si>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</si>
  <si>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</si>
  <si>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</si>
  <si>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</si>
  <si>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</si>
  <si>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</si>
  <si>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</si>
  <si>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</si>
  <si>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</si>
  <si>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</si>
  <si>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</si>
  <si>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</si>
  <si>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</si>
  <si>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</si>
  <si>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</si>
  <si>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</si>
  <si>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Change to (renumbered) c4.79 HR_case for MAT box to pick up basic rate band from new box c4.76 rather than using BR_band for all.</t>
  </si>
  <si>
    <t>Renumbered box c4.82 HR_case for MAT box changed so identifies if HR as Scottish customer or UK for non-savings and for savings and dividends and combination</t>
  </si>
  <si>
    <t>Changes v0.5</t>
  </si>
  <si>
    <t>Personal Savings Allowance/Dividend Taxation Reform affect on ordering of allowances and deductions</t>
  </si>
  <si>
    <t>If statement calculations already made at c5.3 and c5.11 - this simplifies calculation at these 2 boxes</t>
  </si>
  <si>
    <t>Error in calculation description at c5.57 amended and part of calculation moved to c5.58.</t>
  </si>
  <si>
    <t>c6.8 was "lower of (c6.7 and SR_band (£5,000)" now "(c5.1 + SR_band (£5,000)) minus (c5.3 + c5.7)"</t>
  </si>
  <si>
    <t>Changes previously made post v4.14 updated again because incorrect</t>
  </si>
  <si>
    <t>c6.10 was "lower of c6.8 and c6.9" now "lower of SR_band (£5,000) and c6.9"</t>
  </si>
  <si>
    <t>c6.32 was "lower of (c6.7 + c6.32) and (SR_band (£5,000) minus c6.10)" now "(c5.1 + SR_band (£5,000)) minus (c5.3 + c5.42 + c5.11 + c5.22 + c5.7 + c5.43)"</t>
  </si>
  <si>
    <t>c6.33 was "(c5.1 + SR_band (£5,000)) minus (c6.1 + c6.7 + c6.18 + c6.26)" now "lower of c6.32 and c6.33"</t>
  </si>
  <si>
    <t>c6.34 was "lower of c6.33 and c6.34" now "lower of SR_band (£5,000) and c6.34"</t>
  </si>
  <si>
    <t>Renumbered c5.70, c5.71 c5.72 &amp; c5.73 updated to ensure that if allowances are not transferred from non-savings income that they are set against income that follows</t>
  </si>
  <si>
    <t>c5.91, instead of c3.21 now c3.21 minus c4.65</t>
  </si>
  <si>
    <t>c5.1, instead of c4.70 now c4.70 minus c4.65</t>
  </si>
  <si>
    <t>c5.3, instead of c1.57 now c4.66</t>
  </si>
  <si>
    <t>c5.60  was “lower of (c5.56 and (c5.2 + c5.4 + c5.8)) minus c5.47 + c5.48)”. It should be “lower of (c5.56 and (c5.4 + c5.8 + c5.16))”</t>
  </si>
  <si>
    <t>c5.61 was “lower of (C5.1 minus (C5.52 + C5.57) and C5.30)”. It should be “lower of (c5.1 minus (c5.47 + c5.48 + c5.52 + c5.57) and c5.30)”</t>
  </si>
  <si>
    <t>c5.38 updated now "from c5.3"</t>
  </si>
  <si>
    <t>c5.40 updated now "from c5.11"</t>
  </si>
  <si>
    <t>New boxes c5.70, c5.71 &amp; c5.72 deleted. Subsequent renumbering</t>
  </si>
  <si>
    <t>c4.73 formula changed to retain all reliefs and allowances to compliment following box changes to c5.1, c5.3, &amp; c5.91</t>
  </si>
  <si>
    <t>c7</t>
  </si>
  <si>
    <t>New c6.21</t>
  </si>
  <si>
    <t>New c6.22</t>
  </si>
  <si>
    <t>c6.21 (now c6.23)</t>
  </si>
  <si>
    <t>c6.22 (now c6.24)</t>
  </si>
  <si>
    <t>c6.23 (now c6.25)</t>
  </si>
  <si>
    <t>New c6.26</t>
  </si>
  <si>
    <t>New c6.27</t>
  </si>
  <si>
    <t>c6.27 (now c6.31)</t>
  </si>
  <si>
    <t>c6.38 (now c6.42)</t>
  </si>
  <si>
    <t>Extended basic rate band for non-saving-non-dividend income</t>
  </si>
  <si>
    <t>Capital gains tax in 2017/18</t>
  </si>
  <si>
    <t>£11,300 for individuals</t>
  </si>
  <si>
    <t>Capital Gains annual exempt amount, CG_exempt, changed from £11,100 to £11,300</t>
  </si>
  <si>
    <t>Extended basic rate band for saving and dividend income</t>
  </si>
  <si>
    <t>New c5.3 for savng &amp; dividend extended basic rate band</t>
  </si>
  <si>
    <t>c5.30 (now c5.34) was "lower of (c5.22 minus (c5.24 + c5.25 + c5.29) and c5.26)" now "lower of (c5.25 minus (c5.27 + c5.28 + c5.32) and c5.29 minus c5.32)"</t>
  </si>
  <si>
    <t>c5.48 (now c5.55) was "lower of c5.1 minus (c5.5 + c5.9 + c5.20 + c5.6 + c5.10 + c5.21) and c5.34" now "c5.1 minus (c5.5 + c5.9 + c5.20 + c5.6 + c5.10 + c5.24) and c5.37 minus ((c5.2 + HR_band (£116,500)) minus c4.77)"</t>
  </si>
  <si>
    <t>c6.9 was "c5.1 + SR_band (£5,000)) minus c6.1" now "lower of c6.7 and c6.8"</t>
  </si>
  <si>
    <t>Since the Scottish rates and thresholds apply to non-savings and non-dividend income only, a Scottish taxpayer who has both earned income, such as employment salary,</t>
  </si>
  <si>
    <t>pension, profits from self-employment or rental profits, and taxable savings income, such as bank interest may have to consider both the UK rates and thresholds and the</t>
  </si>
  <si>
    <t>Scottish rates and thresholds in order to work out their income tax liability.</t>
  </si>
  <si>
    <t>c6.49</t>
  </si>
  <si>
    <t>Income in basic rate band before Dividend Allowance</t>
  </si>
  <si>
    <t>Dividend Allowance set against Dividend income in basic rate</t>
  </si>
  <si>
    <t>Income in higher rate band before Dividend Allowance</t>
  </si>
  <si>
    <t>Dividend Allowance set against Dividend income in higher rate</t>
  </si>
  <si>
    <t>c6.50</t>
  </si>
  <si>
    <t>c6.51</t>
  </si>
  <si>
    <t>c6.24 (now c6.28)</t>
  </si>
  <si>
    <t>UK rate paid in Scotland</t>
  </si>
  <si>
    <t>Scottish rate</t>
  </si>
  <si>
    <t>Total rate for Scottish taxpayers</t>
  </si>
  <si>
    <t>The threshold will be £17,775 for employees who are :</t>
  </si>
  <si>
    <t>Allocate DR to dividends in the upper rate band</t>
  </si>
  <si>
    <t>c7.12</t>
  </si>
  <si>
    <t>c7.13</t>
  </si>
  <si>
    <t>c7.14</t>
  </si>
  <si>
    <t>Used for SEES v2.0</t>
  </si>
  <si>
    <t>Used for SEES v3.0</t>
  </si>
  <si>
    <t>c7.15</t>
  </si>
  <si>
    <t>c7.16</t>
  </si>
  <si>
    <t>total tax adjustment</t>
  </si>
  <si>
    <t>At the start and middle of stage 17 the If statement for calculating Top Slicing Relief now references CGT18 attributed gains so the TSR calculation is completed where CGT18 is only Gain.</t>
  </si>
  <si>
    <t>New test case 2017-18. Subsequent test cases moved down so 88 now at 89 etc.</t>
  </si>
  <si>
    <t>CGT with Deficiency Relief. Scottish customer.</t>
  </si>
  <si>
    <t>c9</t>
  </si>
  <si>
    <t>Test Cases</t>
  </si>
  <si>
    <t>New test cases at 88 and subsequent renumbering of test cases with another new test case at 162</t>
  </si>
  <si>
    <t>These are to test changes for Deficiency Relief at stage 7</t>
  </si>
  <si>
    <t>Components: YPD=1, INC-A=10, FIN=1, Emp-A=7, PRO=1, CAL=4, DoB =17/11/1978</t>
  </si>
  <si>
    <t>Components: YPD=1, INC-A=1, REL-A=1, MAT=4, FIN=1, Emp-A=7, FSE=5, NI2=10, NI1=7, CAL=4, DoB =17/11/1978</t>
  </si>
  <si>
    <t>Components: YPD=2, INC-A=10, REL-A=1, MAT=4, FIN=1, FSE=5, NI2=10, DoB =17/11/1978</t>
  </si>
  <si>
    <t>Components: YPD=1, REL-A=1, FIN=1, MCA=7, Emp-A=7, CAL=4, DoB =05/03/1943, NIC exempt</t>
  </si>
  <si>
    <t>Components: YPD=1, INC-A=4, FIN=1, SSE=4, NI2=4, DoB =17/11/1978</t>
  </si>
  <si>
    <t>Components: YPD=1, INC-B=8, FIN=1, AOR=2, FSE=1, LUN=1, NI2=1, DoB =05/03/1943, NIC exempt</t>
  </si>
  <si>
    <t>Components: YPD=1, INC-A=8, REL-A=7, FIN=1, AOI-B=6, FSE=2, NI2=4, DoB =17/11/1978</t>
  </si>
  <si>
    <t>Components: YPD=1, INC-A=1, INC-B=4, FIN=1, AOI-B=6, FPS=1, DoB =03/01/1955</t>
  </si>
  <si>
    <t>Components: YPD=1, INC-A=8, INC-B=4, FIN=1, AOI-B=6, DoB =03/01/1955</t>
  </si>
  <si>
    <t>Components: YPD=1, SLR=1, FIN=1, ASE-B=1, Emp-A=1, FOR=1, DoB =17/11/1978</t>
  </si>
  <si>
    <t>Components: YPD=1, INC-A=5, FIN=1, AOR=1, Emp-A=1, FOR=2, TRU=3, DoB =03/01/1955</t>
  </si>
  <si>
    <t>Components: YPD=1, INC-A=1, REL-C=1, FIN=1, Emp-A=6, CGT=2, DoB =03/01/1955</t>
  </si>
  <si>
    <t>Components: YPD=1, INC-A=4, INC-B=1, FIN=1, NRD=1, DoB =05/03/1943, NIC exempt</t>
  </si>
  <si>
    <t>Components: YPD=1, INC-A=13, INC-B=1, FIN=1, PRO=3, NRD=1, DoB =17/11/1978, NIC exempt</t>
  </si>
  <si>
    <t>Components: YPD=1, INC-A=13, INC-B=1, MAT=4, FIN=1, PRO=3, NRD=1, DoB =17/11/1978, NIC exempt</t>
  </si>
  <si>
    <t>Components: YPD=1, INC-A=4, INC-B=2, INC-C=3, REL-A=4, REL-B=2, FIN=1, AOI-A=2, AOI-B=2, AOI-C=4, ASE-A=1, ASE-B=3, ASE-C=2, AOR=6, MCA=2, Emp-A=5, Emp-B=9, SSE=3, SPS=2, NI2=8, PRO=1, FOR=1, TRU=7, CGT=3, DoB =03/01/1955, FIN1 =£671</t>
  </si>
  <si>
    <t>Components: YPD=1, INC-A=3, FIN=1, SSE=4, NI2=4, DoB =17/11/1978</t>
  </si>
  <si>
    <t>Components: YPD=1, FIN=1, Emp-A=2, Emp-B=5, FSE=1, NI2=4, PRO=1, DoB =17/11/1978</t>
  </si>
  <si>
    <t>Components: YPD=1, INC-C=2, REL-B=1, FIN=1, Emp-A=1, PRO=1, DoB =17/11/1978</t>
  </si>
  <si>
    <t>Components: YPD=1, FIN=1, FSE=2, NI2=4, FOR=1, DoB =17/11/1978</t>
  </si>
  <si>
    <t>Components: YPD=1, INC-A=5, INC-B=1, INC-C=1, FIN=1, DoB =05/03/1943, NIC exempt</t>
  </si>
  <si>
    <t>Components: YPD=1, INC-A=5, REL-B=2, FIN=1, AOI-B=2, TRU=2, DoB =17/11/1978</t>
  </si>
  <si>
    <t>Components: YPD=1, INC-A=6, INC-B=4, REL-B=4, FIN=1, MCA=2, DoB =05/03/1943, NIC exempt</t>
  </si>
  <si>
    <t>Components: YPD=1, INC-A=8, REL-C=1, FIN=1, AOI-B=6, AOR=9, Emp-A=1, DoB =05/03/1943, FIN1 =£617</t>
  </si>
  <si>
    <t>Components: YPD=1, INC-B=1, INC-C=1, REL-B=1, FIN=1, FSE=5, NI2=10, CGT=3, DoB =05/03/1943, NIC exempt</t>
  </si>
  <si>
    <t>Components: YPD=1, INC-A=1, INC-B=1, INC-C=2, REL-B=2, FIN=1, DoB =03/01/1955, NIC exempt</t>
  </si>
  <si>
    <t>Components: YPD=1, INC-A=1, INC-B=1, INC-C=1, REL-B=1, FIN=1, AOI-A=1, CGT=1, DoB =05/03/1943, NIC exempt</t>
  </si>
  <si>
    <t>Components: YPD=1, INC-B=4, FIN=1, CGT=3, DoB =05/03/1943, NIC exempt</t>
  </si>
  <si>
    <t>Components: YPD=1, INC-A=5, INC-B=1, FIN=1, MCA=2, DoB =05/03/1943, NIC exempt</t>
  </si>
  <si>
    <t>Components: YPD=1, FIN=1, MCA=2, FSE=1, NI2=4, DoB =17/11/1978</t>
  </si>
  <si>
    <t>Components: YPD=1, REL-A=2, FIN=1, AOI-B=3, AOR=4, PRO=3, TRU=3, DoB =17/11/1978</t>
  </si>
  <si>
    <t>Components: YPD=1, REL-A=6, FIN=1, Emp-A=4, Emp-B=5, DoB =03/01/1955</t>
  </si>
  <si>
    <t>Components: YPD=1, INC-A=2, INC-B=6, REL-B=1, REL-C=1, FIN=1, DoB =17/11/1978</t>
  </si>
  <si>
    <t>Components: YPD=1, INC-A=5, INC-B=8, REL-B=2, FIN=1, AOI-A=2, AOR=4, MOR=4, SSE=5, SPS=1, NI2=1, PRO=5, CAL=3, DoB =05/03/1943, NIC exempt</t>
  </si>
  <si>
    <t>Components: YPD=1, INC-A=2, INC-B=2, FIN=1, DoB =05/03/1943, FIN1 =£865, NIC exempt</t>
  </si>
  <si>
    <t>Components: YPD=1, MAT=1, FIN=1, Emp-A=5, SSE=3, NI2=6, DoB =17/11/1978, NIC2 voluntary</t>
  </si>
  <si>
    <t>Components: YPD=1, INC-B=8, INC-C=6, FIN=1, SSE=2, NI2=5, DoB =05/03/1943, NIC exempt</t>
  </si>
  <si>
    <t>Components: YPD=2, INC-A=8, REL-A=7, REL-B=4, FIN=1, AOI-B=7, AOR=5, FSE=2, NI2=4, PRO=7, DoB =17/11/1978</t>
  </si>
  <si>
    <t>Components: YPD=1, INC-A=4, INC-C=4, REL-A=4, REL-B=2, FIN=1, AOI-B=8, AOI-C=3, MOR=2, PRO=2, FOR=2, CGT=1, CAL=1, DoB =17/11/1978, FIN1 =£289</t>
  </si>
  <si>
    <t>Components: YPD=1, REL-A=4, FIN=1, AOI-A=3, AOI-C=5, FSE=6, NI2=4, DoB =17/11/1978</t>
  </si>
  <si>
    <t>Components: YPD=1, INC-B=2, REL-A=4, REL-B=3, FIN=1, AOI-A=3, AOI-C=3, ASE-C=2, AOR=6, Emp-A=2, FSE=6, NI2=4, NI1=2, PRO=6, DoB =03/01/1955</t>
  </si>
  <si>
    <t>Components: YPD=1, INC-C=5, REL-A=2, REL-B=6, FIN=1, AOI-A=2, AOR=7, SPS=4, NI2=4, DoB =17/11/1978, FIN1 =£650.29</t>
  </si>
  <si>
    <t>Components: YPD=1, INC-B=8, INC-C=4, FIN=1, AOI-A=1, AOI-B=3, SPS=5, NI2=4, DoB =03/01/1955, NIC2 voluntary</t>
  </si>
  <si>
    <t>Components: YPD=1, INC-A=6, REL-A=7, REL-B=5, REL-C=1, FIN=1, AOI-B=7, FPS=3, NI2=9, DoB =17/11/1978</t>
  </si>
  <si>
    <t>Components: YPD=1, INC-A=11, REL-B=2, FIN=1, FPS=4, NI2=6, PRO=3, DoB =17/11/1978</t>
  </si>
  <si>
    <t>Components: YPD=1, INC-A=11, REL-B=3, FIN=1, AOI-B=2, AOI-C=4, AOR=6, FPS=4, NI2=6, PRO=3, CGT=3, DoB =17/11/1978</t>
  </si>
  <si>
    <t>Components: YPD=1, INC-A=7, SLR=5, FIN=1, Emp-A=3, Emp-B=5, CAL=2, DoB =17/11/1978</t>
  </si>
  <si>
    <t>Components: YPD=1, REL-B=2, FIN=1, AOI-B=5, Emp-A=3, SSE=4, SPS=1, NI2=4, DoB =03/01/1955</t>
  </si>
  <si>
    <t>Components: YPD=1, INC-A=3, INC-B=4, FIN=1, AOI-B=3, Emp-A=5, PRO=4, DoB =03/01/1955</t>
  </si>
  <si>
    <t>Components: YPD=1, INC-A=2, FIN=1, AOI-B=2, ASE-B=3, Emp-A=1, DoB =17/11/1978</t>
  </si>
  <si>
    <t>Components: YPD=1, INC-A=1, REL-A=2, FIN=1, AOI-B=4, SPS=3, NI2=4, CGT=2, DoB =17/11/1978</t>
  </si>
  <si>
    <t>Components: YPD=1, INC-B=2, FIN=1, AOI-A=2, AOI-C=3, AOR=4, FPS=9, PRO=4, TRU=1, DoB =05/03/1943, NIC exempt</t>
  </si>
  <si>
    <t>Components: YPD=1, INC-B=2, FIN=1, AOI-C=3, AOR=4, Emp-A=8, PRO=6, FOR=2, DoB =05/03/1943, NIC exempt</t>
  </si>
  <si>
    <t>Components: YPD=1, REL-A=3, REL-B=2, SLR=13, FIN=1, AOR=3, FSE=6, FPS=3, NI2=9, TRU=3, CGT=4, DoB =17/11/1978</t>
  </si>
  <si>
    <t>Components: YPD=1, FIN=1, Emp-A=2, MOR=1, TRU=2, CAL=5, DoB =03/01/1955</t>
  </si>
  <si>
    <t>Components: YPD=1, INC-A=4, INC-C=4, REL-B=5, FIN=1, SPS=1, FPS=3, NI2=9, PRO=5, FOR=4, TRU=5, CGT=4, DoB =17/11/1978</t>
  </si>
  <si>
    <t>Components: YPD=1, FIN=1, ASE-A=3, SSE=4, NI2=4, DoB =17/11/1978</t>
  </si>
  <si>
    <t>Components: YPD=1, INC-B=3, FIN=1, SSE=3, FSE=4, NI2=4, CGT=5, DoB =17/11/1978</t>
  </si>
  <si>
    <t>Components: YPD=1, INC-A=3, FIN=1, LUN=6, NI2=4, TRU=4, DoB =03/01/1955</t>
  </si>
  <si>
    <t>Components: YPD=1, INC-A=2, FIN=1, PRO=3, TRU=4, DoB =17/11/1978</t>
  </si>
  <si>
    <t>Components: YPD=1, INC-A=3, SLR=3, FIN=1, Emp-A=3, SPS=1, NI2=6, DoB =17/11/1978</t>
  </si>
  <si>
    <t>Components: YPD=1, INC-A=4, INC-B=5, FIN=1, MCA=3, AIL=7, PRO=6, DoB =03/01/1955</t>
  </si>
  <si>
    <t>Components: YPD=1, INC-A=4, FIN=1, AOI-C=1, MCA=2, DoB =05/03/1943, NIC exempt</t>
  </si>
  <si>
    <t>Components: YPD=1, INC-A=2, REL-B=3, FIN=1, MOR=1, DoB =03/01/1955</t>
  </si>
  <si>
    <t>Components: YPD=1, FIN=1, Emp-A=1, SSE=6, NI2=1, CGT=5, DoB =17/11/1978, NIC exempt</t>
  </si>
  <si>
    <t>Components: YPD=1, FIN=1, Emp-A=4, FSE=8, NI2=4, CGT=5, DoB =17/11/1978, NIC2 voluntary</t>
  </si>
  <si>
    <t>Components: YPD=1, FIN=1, Emp-A=6, FSE=3, FPS=6, NI2=7, DoB =05/03/1943, NIC exempt</t>
  </si>
  <si>
    <t>Components: YPD=1, FIN=1, AOI-B=3, Emp-A=3, PRO=8, DoB =03/01/1955</t>
  </si>
  <si>
    <t>Components: YPD=1, INC-A=5, SLR=3, FIN=1, Emp-A=3, DoB =17/11/1978</t>
  </si>
  <si>
    <t>Components: YPD=1, FIN=1, LUN=6, NI2=1, DoB =05/03/1943, NIC exempt</t>
  </si>
  <si>
    <t>Components: YPD=1, INC-B=9, FIN=1, AOI-B=2, LUN=6, NI2=1, DoB =05/03/1943, NIC exempt</t>
  </si>
  <si>
    <t>Components: YPD=1, FIN=1, LUN=1, NI2=4, PRO=7, DoB =17/11/1978, NIC2 voluntary</t>
  </si>
  <si>
    <t>Components: YPD=1, FIN=1, AIL=9, LUN=4, NI2=1, CGT=1, DoB =05/03/1943, NIC exempt</t>
  </si>
  <si>
    <t>Components: YPD=1, FIN=1, Emp-A=5, LUN=4, NI2=4, DoB =03/01/1955</t>
  </si>
  <si>
    <t>Components: YPD=1, INC-A=5, INC-C=4, REL-A=2, FIN=1, ASE-B=3, LUN=6, FPS=3, NI2=9, DoB =17/11/1978</t>
  </si>
  <si>
    <t>Components: YPD=1, INC-B=9, FIN=1, MCA=2, MOR=2, DoB =03/01/1955</t>
  </si>
  <si>
    <t>Components: YPD=2, FIN=1, AOI-B=7, Emp-A=4, CGT=5, DoB =not present</t>
  </si>
  <si>
    <t>Components: YPD=1, INC-A=2, INC-B=1, FIN=1, FPS=1, NI2=4, PRO=2, NRD=1, DoB =05/03/1943, NIC exempt</t>
  </si>
  <si>
    <t>Components: YPD=1, INC-A=14, FIN=1, AIL=4, PRO=7, DoB =17/11/1978</t>
  </si>
  <si>
    <t>Components: YPD=1, INC-A=9, SLR=1, FIN=1, Emp-A=1, Emp-B=2, CAL=5, DoB =17/11/1978</t>
  </si>
  <si>
    <t>Components: YPD=1, SLR=5, FIN=1, Emp-A=5, Emp-B=3, DoB =17/11/1978</t>
  </si>
  <si>
    <t>Components: YPD=1, INC-A=1, INC-B=1, FIN=1, AOI-B=1, PRO=8, DoB =05/03/1943</t>
  </si>
  <si>
    <t>Components: YPD=1, INC-A=5, SLR=12, FIN=1, AOI-B=2, PRO=7, TRU=2, DoB =17/11/1978</t>
  </si>
  <si>
    <t>Components: YPD=1, INC-A=7, INC-B=4, FIN=1, AOI-C=2, AIL=6, DoB =03/01/1955</t>
  </si>
  <si>
    <t>Components: YPD=1, INC-B=7, FIN=1, AIL=1, SSE=2, NI2=5, DoB =05/03/1943, NIC exempt</t>
  </si>
  <si>
    <t>Components: YPD=1, INC-A=2, INC-C=2, FIN=1, AOI-B=4, AOI-C=4, AIL=2, FSE=3, NI2=7, PRO=7, DoB =05/03/1943, NIC exempt</t>
  </si>
  <si>
    <t>Components: YPD=1, FIN=1, Emp-A=5, CGT=11, CAL=4, DoB =17/11/1978</t>
  </si>
  <si>
    <t>Components: YPD=1, INC-C=5, REL-A=2, REL-B=6, FIN=1, AOI-A=2, AOR=8, SPS=4, NI2=4, DoB =17/11/1978</t>
  </si>
  <si>
    <t>Components: YPD=1, INC-C=5, REL-A=2, REL-B=6, FIN=1, AOI-A=2, AOR=9, SPS=4, NI2=4, DoB =17/11/1978</t>
  </si>
  <si>
    <t>Components: YPD=1, INC-A=3, CBC=1, FIN=1, SSE=4, NI2=4, DoB =17/11/1978</t>
  </si>
  <si>
    <t>Components: YPD=1, INC-A=3, CBC=1, FIN=1, Emp-A=1, SSE=1, NI2=4, DoB =17/11/1978</t>
  </si>
  <si>
    <t>Components: YPD=1, INC-A=1, CBC=1, FIN=1, Emp-A=10, DoB =17/11/1978</t>
  </si>
  <si>
    <t>Components: YPD=1, REL-B=7, CBC=1, FIN=1, Emp-A=5, SSE=1, NI2=4, DoB =17/11/1978</t>
  </si>
  <si>
    <t>Components: YPD=1, INC-A=1, REL-A=6, CBC=3, FIN=1, Emp-A=10, DoB =17/11/1978</t>
  </si>
  <si>
    <t>Components: YPD=1, INC-A=8, INC-C=5, REL-B=4, FIN=1, AOR=1, AIL=3, Emp-A=4, DoB =03/01/1955</t>
  </si>
  <si>
    <t>Components: YPD=1, INC-A=7, INC-B=5, REL-C=1, FIN=1, AOI-A=3, AIL=4, DoB =03/01/1955</t>
  </si>
  <si>
    <t>Components: YPD=1, INC-A=1, INC-B=1, FIN=1, AOI-B=5, AOI-C=2, AIL=5, CGT=8, DoB =03/01/1955</t>
  </si>
  <si>
    <t>Components: YPD=1, INC-B=5, INC-C=4, FIN=1, DoB =05/03/1943, NIC exempt</t>
  </si>
  <si>
    <t>Components: YPD=1, INC-B=7, FIN=1, FOR=8, CGT=9, NRD=4, DoB =03/01/1955</t>
  </si>
  <si>
    <t>Components: YPD=1, INC-B=7, FIN=1, FOR=8, CGT=9, NRD=8, DoB =03/01/1955</t>
  </si>
  <si>
    <t>Components: YPD=1, INC-B=7, FIN=1, FOR=8, CGT=9, NRD=9, DoB =03/01/1955</t>
  </si>
  <si>
    <t>Components: YPD=1, INC-B=7, FIN=1, FOR=8, CGT=9, NRD=10, DoB =03/01/1955</t>
  </si>
  <si>
    <t>Components: YPD=1, INC-A=15, FIN=1, AOI-A=4, AOR=11, NRD=7, DoB =02/05/2003</t>
  </si>
  <si>
    <t>The calc figure should be test case 209 + Remittance Basis Charge RBC for 7 of 9 years</t>
  </si>
  <si>
    <t>The calc figure should be test case 209 + Remittance Basis Charge RBC for 12 of 14 years</t>
  </si>
  <si>
    <t>Enhancement - Requirement correct but Formula in cell incorrect</t>
  </si>
  <si>
    <t>c9.16 changed from "=IF(Resident,IF(UK_allowance_claim,'allowances (c14c15)'!L140,0),0)" to "=IF(non_resident,0,IF(UK_allowance_claim,'allowances (c14c15)'!L140,0))"</t>
  </si>
  <si>
    <t>c9.17 changed from "=IF(Resident,IF(UK_allowance_claim,TRUNC(CAL!H20+0.99,0),0),0)" to "=IF(non_resident,0,IF(UK_allowance_claim,TRUNC(CAL!H20+0.99,0),0))"</t>
  </si>
  <si>
    <t>Previous formula did not allow MCA if claiming personal allowance. See s56 ITA 2007</t>
  </si>
  <si>
    <t>c9.2 changed from "from c7.9" to "from c7.16" as a result of changes to stage 7</t>
  </si>
  <si>
    <t>This change should have been completed 2016-17 but there was no effect because rates and bands remained the same.
The amount of the Deficiency relief tax reduction is determined using the amount of any deficiency to reduce the amount of income liable at the highest rate and then in sequence at each lower rate. The relevant legislation will therefore be amended to include income liable at various Scottish main rates in this sequence, factoring in the possibility that Scottish higher rate could be higher or lower that the UK higher rate.</t>
  </si>
  <si>
    <t>Change to stage 7 'Calculate Deficiency Relief' to accommodate Scottish Higher rate band being different to Higher rate. Deficiency Relief (section 539 ITTOIA 2005) is the difference between what is chargeable at higher rate and what would be chargeable at basic rate on an amount of income equivalent to the deficiency.</t>
  </si>
  <si>
    <t>Components: YPD=2, INC-A=4, INC-B=11, PRO=2, CGT=12, DoB =not present</t>
  </si>
  <si>
    <t>Pension income &amp; Income from Property less than BR_band &amp; CGT Attributed Gain. Scottish Customer.</t>
  </si>
  <si>
    <t>Savings income at SR_rate and SNil_rate with Dividend income</t>
  </si>
  <si>
    <t>New for 2016-17 v10</t>
  </si>
  <si>
    <t>non-UK resident liable to tax on profit and Class 4 NIC as not exempt</t>
  </si>
  <si>
    <t>Components: YPD=2, INC-A=8, SSE=2, SPS=6, DoB =not present</t>
  </si>
  <si>
    <t>Small non-savings income with savings income and large amount of dividends. Relief for losses set against income</t>
  </si>
  <si>
    <t>Used for SEES v4.0</t>
  </si>
  <si>
    <t>(To be) Used for SEES v5.0</t>
  </si>
  <si>
    <t>-OUT</t>
  </si>
  <si>
    <t>-IN</t>
  </si>
  <si>
    <t>Class 1</t>
  </si>
  <si>
    <t>New CSM?? Add to CR</t>
  </si>
  <si>
    <t>Above BR for non-savings</t>
  </si>
  <si>
    <t>s809H (3A) ITA 2007 "If the individual is a Scottish taxpayer for the relevant tax year, the individual is to be treated for the purpose of calculating income tax charged by virtue of subsection (2) as if the individual were not a Scottish taxpayer for that year."</t>
  </si>
  <si>
    <t>s809H (2) ITA 2007 "Income tax is charged on nominated income, and capital gains tax is charged on nominated chargeable gains, as if section 809B did not apply to the individual for the relevant tax year (and neither did section 809D)."</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</si>
  <si>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</si>
  <si>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</si>
  <si>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</si>
  <si>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</si>
  <si>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</si>
  <si>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</si>
  <si>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</si>
  <si>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To be a Scottish taxpayer a person must first be a UK resident for tax purposes.</t>
  </si>
  <si>
    <t>Non-UK resident</t>
  </si>
  <si>
    <t>Remittance Basis Claimants</t>
  </si>
  <si>
    <t>Enhancement to help CESA Developers</t>
  </si>
  <si>
    <t>Enhancement - SR_band for Chargeable Event Gains was not being restricted for any SR_band used by Savings</t>
  </si>
  <si>
    <t>c6.39 changed from 'lower of SR_band (£5,000) and c6.38 to 'lower of SR_band (£5,000) minus c6.10 and c6.38</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</si>
  <si>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</si>
  <si>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</si>
  <si>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</si>
  <si>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</si>
  <si>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</si>
  <si>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</si>
  <si>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</si>
  <si>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</si>
  <si>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</si>
  <si>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 xml:space="preserve">Earnings above the ET, up to and including the UAP. From col.1c on P14.
</t>
  </si>
  <si>
    <t>Earnings above the UAP, up to and including the UEL. From col. 1d on P14</t>
  </si>
  <si>
    <t>c4.63a</t>
  </si>
  <si>
    <t>c4.63b</t>
  </si>
  <si>
    <t>c4.63c</t>
  </si>
  <si>
    <t>c4.76a</t>
  </si>
  <si>
    <t>c4.76b</t>
  </si>
  <si>
    <t>c5.2a</t>
  </si>
  <si>
    <t>not in use</t>
  </si>
  <si>
    <t>c5.20a</t>
  </si>
  <si>
    <t>c5.20b</t>
  </si>
  <si>
    <t>c5.20c</t>
  </si>
  <si>
    <t>c5.34a</t>
  </si>
  <si>
    <t>c5.34b</t>
  </si>
  <si>
    <t>c5.34c</t>
  </si>
  <si>
    <t>c5.34d</t>
  </si>
  <si>
    <t>c5.45a</t>
  </si>
  <si>
    <t>c5.45b</t>
  </si>
  <si>
    <t>c5.48a</t>
  </si>
  <si>
    <t>c5.48b</t>
  </si>
  <si>
    <t>c5.50a</t>
  </si>
  <si>
    <t>c5.50b</t>
  </si>
  <si>
    <t>c5.50c</t>
  </si>
  <si>
    <t>c5.68a</t>
  </si>
  <si>
    <t>Set to zero</t>
  </si>
  <si>
    <t>c6.52</t>
  </si>
  <si>
    <t>c6.53</t>
  </si>
  <si>
    <t>Higher rate band available</t>
  </si>
  <si>
    <t>c6.54</t>
  </si>
  <si>
    <t>c6.55</t>
  </si>
  <si>
    <t>c6.56</t>
  </si>
  <si>
    <t>c5.78 changed to "copy to c6.7"</t>
  </si>
  <si>
    <t>c5.81 changed to "copy to c6.18"</t>
  </si>
  <si>
    <t>c5.82 changed to "copy to c6.32"</t>
  </si>
  <si>
    <t>c5.84 changed to "copy to c6.26"</t>
  </si>
  <si>
    <t>c7.2 changed from "from c6.33" to "from c6.24"</t>
  </si>
  <si>
    <t>c7.6 changed from "c6.9 + c6.21 + c6.43 + c6.55" to "c6.5 + c6.16 + c6.30 + c6.41"</t>
  </si>
  <si>
    <t>c8</t>
  </si>
  <si>
    <t>c8.1 changed from "c6.3 + c6.6 + c6.37 + c6.40" to "c6.6 + c6.40"</t>
  </si>
  <si>
    <t>c8.7 changed from "c6.13 + c6.47" to "c6.14 + c6.48"</t>
  </si>
  <si>
    <t>c8.17 changed from "From c6.29 " to "c6.25"</t>
  </si>
  <si>
    <t>c8.19 changed from "From c6.30 " to "c6.28"</t>
  </si>
  <si>
    <t>c5.13 changed from "lower of (c5.12 and (c5.2 minus c5.4))" to "lower of (c5.12 and (c5.2 minus (c5.4 + c5.8)))"</t>
  </si>
  <si>
    <t>c5.67, c5.68 c5.69 &amp; c5.70 updated to return to an earlier version</t>
  </si>
  <si>
    <t>This change reversed previous change in v8.0</t>
  </si>
  <si>
    <t>Enhancement - Relief claimed on a qualifying distribution AOR9</t>
  </si>
  <si>
    <t>Reintroduction of stage 23 - previously removed in error</t>
  </si>
  <si>
    <t>Exclusion 54</t>
  </si>
  <si>
    <t>New box c9.26a</t>
  </si>
  <si>
    <t>Enhancement - LUN9 + LUN10 Dividend credit</t>
  </si>
  <si>
    <t>c12.1 changed to "c9.41 minus c10.4"</t>
  </si>
  <si>
    <t>Exclusion 53</t>
  </si>
  <si>
    <t>Missed updates for "copy to…" boxes</t>
  </si>
  <si>
    <t>c19</t>
  </si>
  <si>
    <t>c19.1 changed to …copy to c9.33…</t>
  </si>
  <si>
    <t>c21</t>
  </si>
  <si>
    <t>c21.10 changed to copy to c9.24</t>
  </si>
  <si>
    <t>c22.12 changed to copy to c9.25</t>
  </si>
  <si>
    <t>c28</t>
  </si>
  <si>
    <t>c28.14 changed to copy to c9.34</t>
  </si>
  <si>
    <t>Enhancement - Class 4 for non-UK resident</t>
  </si>
  <si>
    <t xml:space="preserve">If statement at start of stage 16 changed to remove mention of non-resident calculation. </t>
  </si>
  <si>
    <t>Exclusion 48 - if liable to income tax on UK profit that profit should be subject to Class 4 NIC</t>
  </si>
  <si>
    <t>c6.50/c6.51 not changed so highlighting removed</t>
  </si>
  <si>
    <t>change log</t>
  </si>
  <si>
    <t>no change to c8.5, 8.9, 8.11, 8.13, 8.15, 8.21, 8.23 so removed from log</t>
  </si>
  <si>
    <t>Enhancement to clarify what is required of 'deleted' boxes</t>
  </si>
  <si>
    <t>c6.3 c6.4 c6.15 c6.36 c6.37 c6.38 c6.39 and c6.49 no longer in use and changed to show 'set to zero' to accommodate an in year change</t>
  </si>
  <si>
    <t>c6.48 changed from 'lower of SR_band (£5,000) and c6.47 to 'lower of SR_band (£5,000) minus c6.14 and c6.47</t>
  </si>
  <si>
    <t>MTR_Tester formula error - not for Requirements</t>
  </si>
  <si>
    <t>c9.27: Does not include c9.26a. Updated.</t>
  </si>
  <si>
    <t>Not for Requirements</t>
  </si>
  <si>
    <t>c23.3: References blank cells rather than c23.1 and c23.2. Updated.</t>
  </si>
  <si>
    <t>c23.4: References blank cells rather than c23.3 . Updated.</t>
  </si>
  <si>
    <t>c23.7: References blank cells rather than c23.5 and c23.6. Updated.</t>
  </si>
  <si>
    <t>c23.8: References blank cells rather than c23.7. Updated.</t>
  </si>
  <si>
    <t>c23.10: References blank cells rather than c23.4 and c23.8. Updated.</t>
  </si>
  <si>
    <t>c23.11: References blank cells rather than c23.9 and c23.10. Updated.</t>
  </si>
  <si>
    <t>c5.48 changed from "lower of c5.1 minus (c5.5 + c5.9 + c5.20 + c5.6 + c5.10 + c5.21) and c5.34 minus ((c5.2 + HR_band (£118,000)) minus c4.74)" to "lower of c5.1 minus (c5.4 + c5.8 + c5.16 + c5.5 + c5.9 + c5.20 + c5.6 + c5.10 + c5.21) and c5.34 minus ((c5.2 + HR_band (£118,000)) minus c4.74)"</t>
  </si>
  <si>
    <t>This was affecting calculation of availability of BR for HR 32.5 Dividends. It now includes non-savings, pension, and savings income at BR. See test case 219. Previously income tax due £281,206.26, now £280,047.14.</t>
  </si>
  <si>
    <t>c5.7, c5.8, c5.9 &amp; c5.10 not in use</t>
  </si>
  <si>
    <t>Dividends take up basic rate before lump sum payments so Lump Sum moved to after dividends in step 1</t>
  </si>
  <si>
    <t>New boxes c5.34a, c5.34b, c5.34c &amp; c5.34d</t>
  </si>
  <si>
    <t>SA843 - SA652389</t>
  </si>
  <si>
    <t>c5.45 changed from "lower of (c5.1 minus c5.44) and c5.10" to "lower of (c5.1 minus c5.44) and c5.34d"</t>
  </si>
  <si>
    <t>c5.50 changed from "lower of (c5.1 minus (c5.47 + c5.49) and c5.9)" to "lower of (c5.1 minus (c5.47 + c5.49) and c5.34c)"</t>
  </si>
  <si>
    <t>c5.63 changed from "lower of (c5.1 minus (c5.47 + c5.48 + c5.52 + c5.58 + c5.62) and c5.8)" to "lower of (c5.1 minus (c5.47 + c5.48 + c5.52 + c5.58 + c5.62) and c5.34b)"</t>
  </si>
  <si>
    <t>Other calculation boxes referencing c5.8, c5.9 &amp; c5.10 not changed as these 3 calculation boxes should now be returning 0 (zero)</t>
  </si>
  <si>
    <t>New box c5.48a "if c5.15 minus c4.79 &gt; 0 (zero) /  c5.48a =  lower of c5.1 and c5.4 / else / c5.48a = 0 (zero) / end if"</t>
  </si>
  <si>
    <t>Savings Start rate</t>
  </si>
  <si>
    <t>New box c5.48b "lower of (c5.1 minus c5.47) and c5.5"</t>
  </si>
  <si>
    <t>SA820 - SDST SA372245 &amp; SA622789</t>
  </si>
  <si>
    <t>c5.49 changed from lower of ((c5.1 minus c5.47) and c5.5)" to " "larger of c5.48a and c5.48b "</t>
  </si>
  <si>
    <t>Personal Savings Allowance/Dividend Taxation Reform effect on ordering of allowances and deductions</t>
  </si>
  <si>
    <t>c5.55 changed from "2 x (c5.29 minus (c5.19 + c5.54))" to "2 x (c5.29 minus c5.54)"</t>
  </si>
  <si>
    <t>This is the formula to calculate if it is beneficial to transfer PA. It was previously incorrectly including c5.19 which was savings in HR 0%</t>
  </si>
  <si>
    <t>c5.60 changed from "lower of c5.4 and c5.59" to "lower of c5.4 minus c5.48a and c5.59"</t>
  </si>
  <si>
    <t>Int £3,780, Div £378, Pension £10,196 - allowance was not reducing amount of interest</t>
  </si>
  <si>
    <t>c5.68a New "c5.1 minus (c5.47 + c5.52 + c5.48 + c5.58 + c5.65 + c5.66)"</t>
  </si>
  <si>
    <t>Changes to c5.48a, c5.48b &amp; c5.49 caused BUG with allowances being used again against non-savings income already covered</t>
  </si>
  <si>
    <t>c5.69 changed from "c5.46 + c5.51 + c5.64" to "c5.46 + c5.51 + c5.64 + c5.68a"</t>
  </si>
  <si>
    <t>Personal Savings Allowance/Dividend Taxation Reform effect on ordering of allowances and deductions </t>
  </si>
  <si>
    <t>c5.62 changed from "lower of c5.4 and c5.61" to "lower of c5.4 minus c5.48a and c5.61"</t>
  </si>
  <si>
    <t>Int £2,000, Div £36,000, Emp £10,000 – the £11,000 allowance was all set against £10,000 non-savings </t>
  </si>
  <si>
    <t>New boxes c5.45a, 7 c5.45b &amp; change to c5.46</t>
  </si>
  <si>
    <t>Empt £30,000, Int £7,000, Div £24,000 &amp; loss relief set against income £35,000</t>
  </si>
  <si>
    <t>New boxes c5.50a, c5.50b, &amp; c5.50c &amp; change to c5.51</t>
  </si>
  <si>
    <r>
      <t xml:space="preserve">c5.56 changed from "If c5.53 larger than c5.55 and / c5.30 larger than c5.55 / c5.56 = c5.53 / else / c5.56 = 0 (zero)" to "If c5.53 larger than c5.55 and / c5.30 larger than c5.55 / c5.56 = c5.53 </t>
    </r>
    <r>
      <rPr>
        <b/>
        <sz val="10"/>
        <rFont val="Arial"/>
        <family val="2"/>
      </rPr>
      <t>minus c5.48a</t>
    </r>
    <r>
      <rPr>
        <sz val="10"/>
        <rFont val="Arial"/>
        <family val="2"/>
      </rPr>
      <t xml:space="preserve"> / else / c5.56 = 0 (zero)"</t>
    </r>
  </si>
  <si>
    <t>Enhancement to MTR_Tester</t>
  </si>
  <si>
    <t>The values for AIL20 and AIL21 were incorrectly taken from 'C1'!B107 and 'C1'!B108. It has been changed to' C1'!B105 and 'C1'!B106. AIL22 and AIL23 This is of minor importance as AIL20 and AIL21 added. Note this does not affect the calculation.</t>
  </si>
  <si>
    <t>Not for Calculate Tax and NIC Requirements</t>
  </si>
  <si>
    <t>c5.51 changed from "if c5.3 minus c5.1 &lt; c5.2" to "if c5.3 minus c5.1 &lt; SR_band (£5,000)"</t>
  </si>
  <si>
    <t>Pay £26,000, INT £20,000</t>
  </si>
  <si>
    <t>Adding defined names to Return boxes with preceding "_" e.g. "_INC1"</t>
  </si>
  <si>
    <t>Chargeable event gain at 0%</t>
  </si>
  <si>
    <t>Test Case index</t>
  </si>
  <si>
    <t>Updated previous year's values column on 02/08/2017</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</si>
  <si>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</si>
  <si>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</si>
  <si>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</si>
  <si>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</si>
  <si>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</si>
  <si>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</si>
  <si>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</si>
  <si>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</si>
  <si>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</si>
  <si>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</si>
  <si>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</si>
  <si>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</si>
  <si>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</si>
  <si>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</si>
  <si>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</si>
  <si>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</si>
  <si>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</si>
  <si>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</si>
  <si>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</si>
  <si>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</si>
  <si>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</si>
  <si>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</si>
  <si>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From 2016-17 the P11ws and P60 was changed so that the columns for 1c and 1d are combined into one column that has earnings from PT to UEL.</t>
  </si>
  <si>
    <t>However, it appears that not all forms and sytems have been changed and we are still seeing P60 s with col1c and col 1d.</t>
  </si>
  <si>
    <t>On NPS &gt; Employment &gt; P14 Summary take the figures from column 1c and 1d</t>
  </si>
  <si>
    <t>c5.45b changed from "lower of c5.1 minus (c5.44 + c5.45 + c5.20c) and c5.21" to "lower of c5.45a and (c5.1 minus (c5.44 + c5.45 + c5.20c))"</t>
  </si>
  <si>
    <t>Empt £10,000 Int £36,000</t>
  </si>
  <si>
    <t>New c5.45c "lower of c5.21 and (c5.1 minus (c5.44 + c5.45 + c5.20c))"</t>
  </si>
  <si>
    <t>c5.46 changed from "…c5.46 = c5.45a else c5.46 = c5.45b…" to "…c5.46 = c5.45b else c5.46 = c5.45c…"</t>
  </si>
  <si>
    <t>c5.50b changed from "lower of c5.1 minus (c5.47 + c5.49 + c5.50) and c5.20" to "lower of c5.50a and (c5.1 minus (c5.44 + c5.45 + c5.49 + c5.50))"</t>
  </si>
  <si>
    <t>c5.50c changed from "lower of c5.50b and c5.11 minus (c4.79 + SR_band (£5,000)" to "lower of c5.20 and (c5.1 minus (c5.47 + c5.49 + c5.50))</t>
  </si>
  <si>
    <t>New c5.50d "lower of c5.50c and (c5.11 minus c4.79)"</t>
  </si>
  <si>
    <t>c5.51 changed from "…c5.51 = c5.50a else c5.51 = c5.50c..." to "…c5.51= c5.50b else c5.51 = c5.50d…"</t>
  </si>
  <si>
    <t xml:space="preserve">c5.48a deleted - removed from live fix requirements   </t>
  </si>
  <si>
    <t>tc217 - the changes for ensuring allowances were allocated against non-savings to make full use of SR_band resulted in BUG for calculating if beneficial to transfer allcs to Dividends</t>
  </si>
  <si>
    <t xml:space="preserve">c5.48b deleted - removed from live fix requirements   </t>
  </si>
  <si>
    <t>c5.49 changed from "larger of c5.48a and c5.48b" to "lower of (c5.1 minus c5.47) and c5.5"</t>
  </si>
  <si>
    <t>c5.56 changed from "…c5.56 = c5.53 minus c5.48a…" to "…c5.56 = c5.53"</t>
  </si>
  <si>
    <t xml:space="preserve">c5.58a New calculation box "lower of (c5.1 minus c5.58) and c5.4"  </t>
  </si>
  <si>
    <t xml:space="preserve">c5.58b New calculation box "if c5.15 minus c4.79 &gt; 0 (zero) c5.58b = c5.58a else c5.58b = c5.49 end if"  </t>
  </si>
  <si>
    <t xml:space="preserve">c5.58c New calculation box "lower of (c5.1 minus (c5.47 + c5.58b) and c5.34c)"  </t>
  </si>
  <si>
    <t>c5.58d New calculation box "c5.51 minus c5.58b"</t>
  </si>
  <si>
    <t>c5.58e New calculation box "if c5.15 minus c4.79 &gt; 0 (zero) c5.58e = c5.58d else c5.58e = c5.51 end if"</t>
  </si>
  <si>
    <t>c5.58f New calculation box "c5.58b + c5.58c + c5.58e"</t>
  </si>
  <si>
    <t>c5.59 changed from "c5.1 minus (c5.47 + c5.48 +  c5.52 + c5.58)" to "c5.1 minus (c5.47 + c5.48 +  c5.58f + c5.58)"</t>
  </si>
  <si>
    <t>c5.63 changed from "lower of (c5.1 minus (c5.47 + c5.48 + c5.52 + c5.58 + c5.62) and c5.34b)" to "lower of (c5.1 minus (c5.47 + c5.48 + c5.58f + c5.58 + c5.62) and c5.34b)"</t>
  </si>
  <si>
    <t>c5.64 changed from "lower of (c5.1 minus (c5.47 + c5.48 + c5.52 + c5.58 + c5.62 + c5.63) and c5.16)" to "lower of (c5.1 minus (c5.47 + c5.48 + c5.58 + c5.58f + c5.62 + c5.63) and c5.16)"</t>
  </si>
  <si>
    <t>c5.66 changed from "lower of (c5.1 minus (c5.47 + c5.52 + c5.48 + c5.58 + c5.65) and c5.25)" to "lower of (c5.1 minus (c5.47 + c5.48 + c5.58 + c5.58f + c5.65) and c5.25)"</t>
  </si>
  <si>
    <t>c5.60 changed from "lower of c5.4 minus c5.48a and c5.59" to "lower of c5.4 minus c5.58b and c5.59"</t>
  </si>
  <si>
    <t>c5.61 changed from "larger of (c5.56 and c5.60" to "larger of (c5.56 minus c5.58b) and c5.60"</t>
  </si>
  <si>
    <t>c5.62 changed from "lower of c5.4 minus c5.48a and c5.61" to "lower of (c5.4 minus c5.58b) and c5.61"</t>
  </si>
  <si>
    <t>c5.67 changed from "c5.44 + c5.49 + c5.62" to "c5.44 + c5.58b + c5.62"</t>
  </si>
  <si>
    <t>c5.68 changed from "c5.45 + c5.50 + c5.63" to "c5.45 + c5.58c + c5.63"</t>
  </si>
  <si>
    <t>c5.69 changed from "c5.46 + c5.51 + c5.64 + c5.68a" to "c5.46 + c5.58d + c5.64 + c5.68a"</t>
  </si>
  <si>
    <t>c5.68a changed from "lower of (c5.1 minus (c5.47 + c5.52 + c5.48 + c5.58 + c5.65 + c5.66) and c5.11)" to "lower of c5.1 minus (c5.47 + c5.48 + c5.58 + c5.58f + c5.65 + c5.66) and c5.11"</t>
  </si>
  <si>
    <t>Gains £10,000 (no other income. C5.68a is there to ensure unused allowances are set against savings income to reduce amount in nil band and/or SR band. It now only withholds amount up to maximum of saving.</t>
  </si>
  <si>
    <t>c5.70 changed from "larger of (c5.1 minus (c5.67 + c5.68 + c5.69) and c5.48 + c5.58 + c5.66)" to "larger of (c5.1 minus (c5.67 + c5.68 + c5.69 + c5.41) and c5.48 + c5.58 + c5.66)"</t>
  </si>
  <si>
    <t>Gains £50,000 Div UK £5,100 UK Pension £9,000. Now ensures allowances set against Gain band leaves £5,000 at dividend nil rate</t>
  </si>
  <si>
    <t>c5.73 changed from "c5.72 minus c5.40" to "larger of c5.1 minus (c5.67 + c5.68 + c5.69 + c5.70) and c5.72 minus c5.40"</t>
  </si>
  <si>
    <t>c5.48 changed from "=MAX(0,MIN(F8-(R17+R36+R48+AH17+AH24+AH36+Z17+Z24+Z36),AH48-((R8+HR_band)-'Deductions (c4)'!M262)))" to "=MAX(0,MIN(F8-(R17+R24+R36+AH17+AH24+AH36+Z17+Z24+Z36),AH48-((R8+HR_band)-'Deductions (c4)'!M262)))"</t>
  </si>
  <si>
    <t>Not for Requirements - formula in MTR_Tester cell incorrect (SDST SA648219)</t>
  </si>
  <si>
    <t>CRC_template</t>
  </si>
  <si>
    <t>c96.12 changed from "c9.23 + c9.27 + c10.4" to "c9.23 + c9.26 + c10.4"</t>
  </si>
  <si>
    <t>Not for Requirements - formula in MTR_Tester cell incorrect (CESA Requirements only)</t>
  </si>
  <si>
    <t>c5.1 changed - the relief is restricted at c4.4 so no need to restrict here as well.</t>
  </si>
  <si>
    <t>c6.51 changed (to mirror c6.17) from "lower of c6.45 and c6.50" to "lower of (c6.45 minus c6.48) and c6.50"</t>
  </si>
  <si>
    <t>AOI4 £12,000</t>
  </si>
  <si>
    <t>c5.45c</t>
  </si>
  <si>
    <t>c5.50d</t>
  </si>
  <si>
    <t>Beneficial Ordering</t>
  </si>
  <si>
    <t>c5.58a</t>
  </si>
  <si>
    <t>c5.58b</t>
  </si>
  <si>
    <t>c5.58c</t>
  </si>
  <si>
    <t>c5.58d</t>
  </si>
  <si>
    <t>c5.58e</t>
  </si>
  <si>
    <t>c5.58f</t>
  </si>
  <si>
    <t>Savings Rate</t>
  </si>
  <si>
    <t>c3a.4</t>
  </si>
  <si>
    <t>c3a.5</t>
  </si>
  <si>
    <t>c3a.6</t>
  </si>
  <si>
    <t>Tax rates</t>
  </si>
  <si>
    <t>Box not in use</t>
  </si>
  <si>
    <t>Changes v0.6</t>
  </si>
  <si>
    <t>Changes v1.0</t>
  </si>
  <si>
    <t>New Stage to centralise income tax rates and thresholds</t>
  </si>
  <si>
    <t>Relief for finance costs for residential property</t>
  </si>
  <si>
    <t>New Stage to calculate landlord's loan interest relief</t>
  </si>
  <si>
    <t>c3a</t>
  </si>
  <si>
    <t>c24</t>
  </si>
  <si>
    <t>Changes to facilitate the new rate bands</t>
  </si>
  <si>
    <t>Above BR for savings and dividends</t>
  </si>
  <si>
    <t>c4.76c</t>
  </si>
  <si>
    <t>c5.2 Heading above calculation box "Extended basic rate band" "Extended basic rate band for non-saving-non-dividend income"</t>
  </si>
  <si>
    <t>c5.2a New calculation box "BR_band (£33,500) + c4.59)"</t>
  </si>
  <si>
    <t>c5.5 changed from "lower of (c5.3 minus c5.4) and (HR_band (£118,000)" to "lower of (c5.3 minus c5.4) and c3a.3"</t>
  </si>
  <si>
    <t>c5.13 changed from "lower of (c5.12 and (c5.2 minus c5.4))" to "lower of c5.12 and (c5.2a minus (c5.4 + c5.8))"</t>
  </si>
  <si>
    <t>c5.16 changed from "lower of (c5.11 minus c5.15) and (c5.2 minus (c5.4 + c5.8 + c5.15))" to "(c5.2a minus (c5.4 + c5.8 + c5.15))"</t>
  </si>
  <si>
    <t>c5.24 changed from "lower of (c5.23 and (c5.2 minus (c5.4 + c5.8 + c5.15 + c5.16)))" to "lower of (c5.23 and (c5.2a minus (c5.4 + c5.8 + c5.15 + c5.16)))"</t>
  </si>
  <si>
    <t>c5.25 changed from "lower of ((c5.22 minus c5.24) and (c5.2 minus (c5.4 + c5.8 + c5.15 + c5.16 + c5.24)))" to "((c5.22 minus c5.24) and (c5.2a minus (c5.4 + c5.8 + c5.15 + c5.16 + c5.24)))"</t>
  </si>
  <si>
    <t>c5.30 changed from "lower of (c5.22 minus (c5.24 + c5.25 + c5.29) and c5.26 minus c5.29)" to "lower of c5.22 minus (c5.24 + c5.25 + c5.29) and (c5.26 minus c5.29)"</t>
  </si>
  <si>
    <t>ERL</t>
  </si>
  <si>
    <t>c6.51 in the CTN Requirements states “lower of (c6.45 minus c6.48) and c6.50” which matches the calculation box header for the MTR_Tester_2017_V10.9 calculation box but the formula is incorrect. It was incorrectly ““lower of (c6.45 minus c6.48) and PSA”.</t>
  </si>
  <si>
    <t>£9,000 of pension income (INC11) and £25,000 in AOI4 and £15,000 in AOI6</t>
  </si>
  <si>
    <t>c5.55 changed to allow a negative</t>
  </si>
  <si>
    <t>tc198</t>
  </si>
  <si>
    <t>c5.60 changed from "lower of c5.4 minus c5.58b and c5.59" to "lower of ((c5.4 + c5.5) minus c5.58b) and c5.59"</t>
  </si>
  <si>
    <t>c5.62 changed from "lower of c5.4 minus c5.58b and c5.61" to "lower of ((c5.4 + c5.5) minus c5.58b) and c5.61"</t>
  </si>
  <si>
    <t>Enhancement - ensure reliefs and allowances allocated correctly to allow Savings Starting rate available</t>
  </si>
  <si>
    <t>c5.56a New calculation box "lower of c5.1 and c5.4"</t>
  </si>
  <si>
    <t>£21,000 Int, £16,000 Div &amp; £13,000 Pens = £6,475 (£2,000 in SR_band)</t>
  </si>
  <si>
    <t>c5.56c New calculation box "c5.1 minus c5.56b"</t>
  </si>
  <si>
    <t>c5.57a New calculation box "lower of (c5.1 minus (c5.47 + c5.48 + c5.52 + c5.57) and c5.30)"</t>
  </si>
  <si>
    <t>c5.58a changed to not in use</t>
  </si>
  <si>
    <t>c5.58b changed to not in use</t>
  </si>
  <si>
    <t>c5.58c changed from "lower of (c5.1 minus (c5.47 + c5.58b) and c5.34c)" to "lower of (c5.1 minus (c5.47 + c5.56b) and c5.34c)"</t>
  </si>
  <si>
    <t>c5.58d changed from "c5.51 minus c5.58b" to "c5.51 minus c5.56b"</t>
  </si>
  <si>
    <t>c5.58f changed from "c5.58b + c5.58c + c5.58e" to "c5.56b + c5.58c + c5.58e"</t>
  </si>
  <si>
    <t>c5.60 changed from "lower of c5.4 minus c5.58b and c5.59" to "lower of ((c5.4 + c5.5) minus c5.56b) and c5.59"</t>
  </si>
  <si>
    <t>c5.61 changed from "larger of (c5.56 minus c5.58b) and c5.60" to "larger of (c5.56 minus c5.56b) and c5.60"</t>
  </si>
  <si>
    <t>c5.62 changed from "lower of (c5.4 minus c5.58b) and c5.61" to "lower of ((c5.4 + c5.5) minus c5.56b) and c5.61"</t>
  </si>
  <si>
    <t>c5.67 changed from "c5.44 + c5.58b + c5.62" to "c5.44 + c5.56b + c5.62"</t>
  </si>
  <si>
    <t>c5.56a</t>
  </si>
  <si>
    <t>c5.56b</t>
  </si>
  <si>
    <t>c5.56c</t>
  </si>
  <si>
    <t>c5.57a</t>
  </si>
  <si>
    <t>c3a1 New calculation box "If pseudo box YPDTR = S, c3a.1 = 2, else, c3a.1 = 1, end if"</t>
  </si>
  <si>
    <t>c3a2 New calculation box "if c3a.1 = 2, c3a.2 = SBR_Band £31,500), else, c3a.2 = BR_Band £33,500), end if"</t>
  </si>
  <si>
    <t>c3a3 New calculation box "if c3a.1 = 2, c3a.3 = SHR_Band £118,500), else, c3a.3 = HR_Band £116,500), end if"</t>
  </si>
  <si>
    <t>c3a4 New calculation box "if c3a.1 = 2, c3a.4 = SBR_rate 20%, else, c3a.4 = BR_rate 20%, end if"</t>
  </si>
  <si>
    <t>c3a5 New calculation box "if c3a.1 = 2, c3a.5 = SHR_rate 40%, else, c3a.5 = HR_rate 40%, end if"</t>
  </si>
  <si>
    <t>c3a6 New calculation box "if c3a.1 = 2, c3a.6 = SAHR_rate 45%, else, c3a.6 = AHR_rate 45%, end if"</t>
  </si>
  <si>
    <t>c4.76 changed to Not in use</t>
  </si>
  <si>
    <t>New calculation boxes to accommodate the calculation to determine if MAT applicable because of Scottish income tax rates</t>
  </si>
  <si>
    <t>c4.76a New calculation box "if c1.57 + c1.58 &gt; c3a.2 + c4.75, c4.76a = 1 (HR_case? 'Y'), else, c4.76a = 0 (HR_case? 'N'), End if"</t>
  </si>
  <si>
    <t>c4.76b New calculation box "if c4.74 minus (lower of c2.19 and PSA_HR (£500)) &gt; (BR_band (£33,500) + c4.75), c4.76b = 1 (HR_case? 'Y'), else, c4.76b = 0 (HR_case? 'N'), End if"</t>
  </si>
  <si>
    <t>c4.76c New calculation box "if c4.76a + c4.76b &gt; 0, c4.76c = 1 (HR_case? 'Y'), else, c4.76c = 0 (HR_case? 'N'), End if"</t>
  </si>
  <si>
    <t>c6.42 changed from "HR_band minus (c6.9 + c6.21 + c6.33)" to "HR_band minus (c6.9 + c6.21 + c6.29)"</t>
  </si>
  <si>
    <t>Enhancement - error in calculation</t>
  </si>
  <si>
    <t>Enhancement for MTR_Tester only</t>
  </si>
  <si>
    <t>component sheet C1</t>
  </si>
  <si>
    <t>New column for AIL where AIL21 only entry to satisfy pre-calculation rule in respect of ASE11 and AIL21</t>
  </si>
  <si>
    <t>In test case 86, ASE11 ([MPL3-FOREIGN-EARNINGS-DEDN]) is present and greater than zero, but AIL21 ([ITF-ADDITIONAL-INFO-TEXT]) is left blank. This is not valid against validation {{61}} in the MTR2017 v1.5 JAR, which requires an entry for AIL21 if ASE11 is present and greater than zero.</t>
  </si>
  <si>
    <t>Andrea Gail</t>
  </si>
  <si>
    <t>pre-calculation rule h) If ASE11 is present and greater than zero then AIL21 must be present</t>
  </si>
  <si>
    <t>c5.58 changed from "lower of (c5.1 minus (c5.47 + c5.48 + c5.52 + c5.57) and c5.30)" to "lower of c5.56c and c5.57a"</t>
  </si>
  <si>
    <t>c5.56b New calculation box "if c5.15 minus c4.79 &gt; 0 (zero), c5.56b = c5.56a, else, c5.56b = c5.49, end if"</t>
  </si>
  <si>
    <t>c8.2 changed from "If pseudo box YPDTR = S, and, calculation type = Resident, c8.2 = c8.1 x SBR_rate, else, c8.2 = c8.1 x BR_rate, end if " to "c8.1 x c3a.4"</t>
  </si>
  <si>
    <t>c8.4 changed from "If pseudo box YPDTR = S, and, calculation type = Resident, c8.4 = c8.3 x SHR_rate, else, c8.4 = c8.3 x HR_rate, end if " to "c8.3 x c3a.5"</t>
  </si>
  <si>
    <t>c8.6 changed from "If pseudo box YPDTR = S, and, calculation type = Resident, c8.6 = c8.5 x SAHR_rate, else, c8.6 = c8.5 x AHR_rate, end if" to "c8.5 x c3a.6"</t>
  </si>
  <si>
    <t>c5.13 changed from "lower of c5.12 and (c5.2a minus (c5.4 + c5.8))" to "lower of c5.12 and (c5.2a minus c5.4)"</t>
  </si>
  <si>
    <t>c5.14 changed from "larger of (c4.79 and (SR_band (£5,000) minus ((c5.4 + c5.8) minus c5.1)))" to "larger of (c4.79 and (SR_band (£5,000) minus (c5.4 minus c5.1))"</t>
  </si>
  <si>
    <t>c5.16 changed from "lower of (c5.11 minus c5.15) and (c5.2a minus (c5.4 + c5.8 + c5.15)) " to "lower of (c5.11 minus c5.15) and (c5.2a minus (c5.4 + c5.15)) "</t>
  </si>
  <si>
    <t>c5.17 changed from "HR_band (£116,500) minus (c5.5 + c5.9)" to "HR_band (£116,500) minus c5.5"</t>
  </si>
  <si>
    <t>c5.20a changed from "HR_band (£116,500) minus (c5.6 + c5.10)" to "HR_band (£116,500) minus c5.6"</t>
  </si>
  <si>
    <t>c5.24 changed from "lower of (c5.23 and (c5.2a minus (c5.4 + c5.8 + c5.15 + c5.16)))" to "lower of (c5.23 and (c5.2a minus (c5.4 + c5.15 + c5.16)))"</t>
  </si>
  <si>
    <t>c5.26 changed from "HR_band (£116,500) minus (c5.5 + c5.9 + c5.20)" to "HR_band (£116,500) minus (c5.5 + c5.20)"</t>
  </si>
  <si>
    <t>c5.31 changed from "HR_band (£116,500) minus (c5.6 + c5.10 + c5.21)" to "HR_band (£116,500) minus (c5.6 + c5.21)"</t>
  </si>
  <si>
    <t>c5.57 changed from "lower of (c5.56 and (c5.4 + c5.8 + c5.16))" to "lower of (c5.56 and (c5.4 + c5.16))"</t>
  </si>
  <si>
    <t>L56 formula changed to print line</t>
  </si>
  <si>
    <t>SA302 template (w)</t>
  </si>
  <si>
    <t>c5.48 changed from "c5.1 minus (c5.4 + c5.8 + c5.16 + c5.5 + c5.9 + c5.20 + c5.6 + c5.10 + c5.21) and c5.34 minus ((c5.2a + HR_band (£116,500)) minus c4.74)" to "c5.1 minus (c5.4 + c5.16 + c5.5 + c5.20 + c5.6 + c5.21) and c5.34 minus ((c5.2a + HR_band (£116,500)) minus c4.74)"</t>
  </si>
  <si>
    <t>Removed ref to c5.8, c5.9, &amp; c5.10 after Lump Sums moved</t>
  </si>
  <si>
    <t>c5.25 changed from "lower of ((c5.22 minus c5.24) and (c5.2a minus (c5.4 + c5.8 + c5.15 + c5.16 + c5.24)))" to "lower of ((c5.22 minus c5.24) and (c5.2a minus (c5.4 + c5.15 + c5.16 + c5.24)))"</t>
  </si>
  <si>
    <t>ForSA302 Requirements</t>
  </si>
  <si>
    <t>For SA302 Requirements</t>
  </si>
  <si>
    <t>New calculation boxes c24.1 to c24.26</t>
  </si>
  <si>
    <t>c6.12 changed from "(c5.1 + SR_band (£5,000)) minus (c5.3 + c5.42)" to "SR_band (£5,000) minus c6.1"</t>
  </si>
  <si>
    <t>c6.46 changed from "(c5.1 + SR_band (£5,000)) minus (c5.3 + c5.42 + c5.11 + c5.22 + c5.7 + c5.43)" to "SR_band (£5,000) minus (c6.1 + c6.11 + c6.23 + c6.35)"</t>
  </si>
  <si>
    <t>Enhancement - ensure SR_band restricted where allowances not covering all of non-savings income</t>
  </si>
  <si>
    <t>c5.54a</t>
  </si>
  <si>
    <t>max amount of savings in SR_band</t>
  </si>
  <si>
    <t>c5.56d</t>
  </si>
  <si>
    <t>library</t>
  </si>
  <si>
    <t>test case 86 AIL column changed to "13" so column 12 of component sheet C1 AIL section picked up</t>
  </si>
  <si>
    <t>c5.54a New calculation box "lower of (((c5.3 + c5.11 + c5.24 + c5.25 + c5.29 + c5.30) minus c5.1) minus (BR_band (£32,000) + c4.75)) and c5.29"</t>
  </si>
  <si>
    <t>c5.55 changed from "2 x (c5.29 minus c5.54)" to "2 x (c5.54a minus c5.54)"</t>
  </si>
  <si>
    <t>c5.56a changed from "lower of c5.1 and c5.4" to "(c5.53 minus c5.56) x DivHR_rate 32.5%)"</t>
  </si>
  <si>
    <t>c5.56b changed from "if c5.15 minus c4.79 &gt; 0 (zero), c5.56b = c5.56a, else, c5.56b = c5.49, end if" to "lower of SR_band (£5,000) and ((c5.1 + SR_band (£5,000)) minus c5.3)"</t>
  </si>
  <si>
    <t>c5.56c changed from "c5.1 minus c5.56b" to "lower of SR_band (£5,000) and (c5.49 + SR_band (£5,000)) minus c5.4"</t>
  </si>
  <si>
    <t>c5.56d New calculation box "(c5.56b minus c5.56c) x (2 x BR_rate (2 x 20%)"</t>
  </si>
  <si>
    <t>Ensure 1. PA set against non-savings where more beneficial (SR_band) &amp; 2. PA setting against non-savings before savings where non-savings + savings in HR</t>
  </si>
  <si>
    <t>c5.56e New calculation box "if c5.56d &gt; c5.56a, c5.56e = lower of c5.1 and c5.4, else, c5.56e = c5.49, end if"</t>
  </si>
  <si>
    <t>c5.56f New calculation box "c5.1 minus c5.56e"</t>
  </si>
  <si>
    <t>c5.58 changed from "lower of c5.56c and c5.57a" to "lower of c5.56f and c5.57a"</t>
  </si>
  <si>
    <t>c5.58c changed from "lower of (c5.1 minus (c5.47 + c5.56b) and c5.34c)" to "lower of (c5.1 minus (c5.47 + c5.48 + c5.56e + c5.58) and c5.34c)"</t>
  </si>
  <si>
    <t>c5.58d changed from "c5.51 minus c5.56b" to "Set to zero"</t>
  </si>
  <si>
    <t>c5.58e changed from "if c5.15 minus c4.79 &gt; 0 (zero), c5.58e = c5.58d, else, c5.58e = c5.51, end if" to "lower of (c5.1 minus (c5.47 + c5.48 + c5.56e + c5.58 + c5.58c) and c5.20"</t>
  </si>
  <si>
    <t>c5.58f changed from "c5.56b + c5.58c + c5.58e" to "c5.56e + c5.58c + c5.58e"</t>
  </si>
  <si>
    <t>c5.60 changed from "lower of ((c5.4 + c5.5) minus c5.56b) and c5.59" to "lower of ((c5.4 + c5.5) minus c5.56e) and c5.59"</t>
  </si>
  <si>
    <t>c5.61 changed from "larger of (c5.56 minus c5.56b) and c5.60" to "larger of (c5.56 minus c5.56e) and c5.60"</t>
  </si>
  <si>
    <t>c5.62 changed from "lower of ((c5.4 + c5.5) minus c5.56b) and c5.61" to "lower of ((c5.4 + c5.5) minus c5.56e) and c5.61"</t>
  </si>
  <si>
    <t>c5.67 changed from "c5.44 + c5.56b + c5.62" to "c5.44 + c5.56e + c5.62"</t>
  </si>
  <si>
    <t>c5.56b changed from "if c5.15 minus c4.79 &gt; 0 (zero), c5.56b = c5.56a, else, c5.56b = c5.44, end if" to "if c5.15 minus c4.79 &gt; 0 (zero), c5.56b = c5.56a, else, c5.56b = c5.49, end if"</t>
  </si>
  <si>
    <t>formula in calculation box was referencing c5.49 so only descriptor changed. Requirements need updating.</t>
  </si>
  <si>
    <t>c5.56b/c5.56c There are two boxes named "c5.56b" in the tester; the bottom one should be named "c5.56c".</t>
  </si>
  <si>
    <t>c5.58 changed from "lower of c5.56b and c5.57a" to "lower of c5.56c and c5.57a".</t>
  </si>
  <si>
    <t>formula in calculation box was referencing the correct calculation box which has now been relabelled c5.56c. Requirements need updating.</t>
  </si>
  <si>
    <t>c5.56e</t>
  </si>
  <si>
    <t>c5.56f</t>
  </si>
  <si>
    <t>c5.56g</t>
  </si>
  <si>
    <t>c5.56h</t>
  </si>
  <si>
    <t>c5.56i</t>
  </si>
  <si>
    <t>c5.68a changed from "lower of c5.1 minus (c5.47 + c5.58 + c5.48 + c5.58f + c5.65 + c5.66) and c5.11" to "lower of c5.1 minus (c5.47 + c5.58 + c5.48 + c5.58f + c5.65 + c5.66) and (c5.11 minus (c5.46 + c5.58e + c5.64))".</t>
  </si>
  <si>
    <t>c5.56a changed from "(c5.53 minus c5.56) x DivHR_rate (32.5%)" to "lower of (c5.53 minus c5.56) and ((c5.53 minus c5.54a) x DivBR_rate (7.5%) + (c5.53 minus (c5.53 minus c5.54a)) x DivHR_rate (32.5%))"</t>
  </si>
  <si>
    <t>UPDATED AGAIN
SPLIT INTO 2 BOXES? It has an amount minus a possible minus = +. Better to have this as lower of…???</t>
  </si>
  <si>
    <t>c5.56d changed from "(c5.56b minus c5.56c) x (2 x BR_rate (2 x 20%)" to "(c5.56b minus c5.56c) x BR_rate (20%) + (c5.53 minus c5.56) x BR_rate (20%)"</t>
  </si>
  <si>
    <t>c5.56e changed from "if c5.56d &gt; c5.56a, c5.56e = lower of c5.1 and c5.4, else, c5.56e = c5.49, end if" to "if c5.56d &gt; c5.56a, c5.56e = lower of (c5.1 minus c5.52) and c5.4, else, c5.56e = c5.49, end if"</t>
  </si>
  <si>
    <t>c5.56f changed from"c5.1 minus c5.56e" to "if c5.56d &gt; c5.56a, c5.56f = lower of c5.52 and (c5.3 minus (c5.44 + c5.56e)), else, c5.56f = 0 (zero), end if"</t>
  </si>
  <si>
    <t>UPDATED AGAIN</t>
  </si>
  <si>
    <t>c5.56g new calculation box "lower of (c5.52 minus (c5.56e +c5.56f)) and (c5.34a minus c5.45)"</t>
  </si>
  <si>
    <t>c5.56h new calculation box "lower of (c5.52 minus (c5.56e + c5.56f + c5.56g)) and (c5.11 minus (c5.46 + c5.51))"</t>
  </si>
  <si>
    <t>c5.56i new calculation box "c5.1 minus (c5.56e + c5.56f + c5.56g + c5.56h)"</t>
  </si>
  <si>
    <t>c5.58 changed from "lower of c5.56f and c5.57a" to "lower of c5.56i and c5.57a"</t>
  </si>
  <si>
    <t>changed because it referenced c5.56f which is now c5.56i</t>
  </si>
  <si>
    <t>c5.58c changed from "lower of (c5.1 minus (c5.47 + c5.48 + c5.56e + c5.58) and c5.34c)" to "lower of (c5.1 minus (c5.47 + c5.48 + c5.56e + c5.56f + c5.56g + c5.56h + c5.58) and c5.34c)"</t>
  </si>
  <si>
    <t>c5.58e changed from "lower of (c5.1 minus (c5.47 + c5.48 + c5.56e + c5.58 + c5.58c) and c5.20" to "lower of (c5.1 minus (c5.47 + c5.48 + c5.56e + c5.56f + c5.56g + c5.56h + c5.58 + c5.58c) and c5.20"</t>
  </si>
  <si>
    <t>c5.58f changed from "c5.56e + c5.58c + c5.58e" to "c5.56e + c5.56f + c5.56g + c5.56h + c5.58c + c5.58e"</t>
  </si>
  <si>
    <t>c5.60 changed from "lower of ((c5.4 + c5.5) minus c5.56e) and c5.59" to "lower of ((c5.4 + c5.5) minus (c5.56e + c5.56f)) and c5.59"</t>
  </si>
  <si>
    <t>c5.61 changed from "larger of (c5.56 minus c5.56e) and c5.60" to "larger of (c5.56 minus (c5.56e + c5.56f)) and c5.60"</t>
  </si>
  <si>
    <t>c5.62 changed from "lower of ((c5.4 + c5.5) minus c5.56e) and c5.61" to "lower of ((c5.4 + c5.5) minus (c5.56e + c5.56f)) and c5.61</t>
  </si>
  <si>
    <t>c5.67 changed from "c5.44 + c5.56e + c5.62" to "c5.44 + c5.56e + c5.56f + c5.62"</t>
  </si>
  <si>
    <t>c5.68 changed from "c5.45 + c5.58c + c5.63" to "c5.45 + c5.56g + c5.58c + c5.63"</t>
  </si>
  <si>
    <t>c5.69 changed from "c5.46 + c5.58e + c5.64 + c5.68a" to "c5.46 + c5.56h + c5.58e + c5.64 + c5.68a"</t>
  </si>
  <si>
    <t>c5.56a ROUNDING pdown added</t>
  </si>
  <si>
    <t>c5.56d ROUNDING pdown added</t>
  </si>
  <si>
    <t>c25.54 formula changed so cannot be negative =MAX(0,K147-K156)</t>
  </si>
  <si>
    <t>Not for Calculate Tax and NIC Word doc requirments</t>
  </si>
  <si>
    <t>c91.1 changed from "from c1.57" to "from c4.63c"</t>
  </si>
  <si>
    <t>Income from land and property abroad chargeable as transfer of assets</t>
  </si>
  <si>
    <t>Residential propery income or restricted finance costs</t>
  </si>
  <si>
    <t>FOR24.1</t>
  </si>
  <si>
    <t xml:space="preserve"> or restricted finance costs</t>
  </si>
  <si>
    <t>AF1</t>
  </si>
  <si>
    <t>AF2</t>
  </si>
  <si>
    <t>For multiple pages calculate for each page</t>
  </si>
  <si>
    <t>the lower of Box 41 and Box 41.1</t>
  </si>
  <si>
    <t>the lower of Box 60 and Box 63.1</t>
  </si>
  <si>
    <t>New box FOR13.1 added</t>
  </si>
  <si>
    <t>TRU26 deleted</t>
  </si>
  <si>
    <t>New boxes AF1 AF2 to allow for multiple pages</t>
  </si>
  <si>
    <t>c24.4 c24.5 deleted, subsequent renumbering</t>
  </si>
  <si>
    <t>c24.7 c24.8 deleted, subsequent renumbering</t>
  </si>
  <si>
    <t>c24.6 formula changed to "Sum of the lower of FPS41 and FPS41.1 for each instance" to allow for multiple pages</t>
  </si>
  <si>
    <t>c24.6 formula changed to "Sum of the lower of FPS60 and FPS63.1 for each instance" to allow for multiple pages</t>
  </si>
  <si>
    <t>FOR13.1</t>
  </si>
  <si>
    <t>Property inc or finance costs</t>
  </si>
  <si>
    <t>Target</t>
  </si>
  <si>
    <t>component sheet c6</t>
  </si>
  <si>
    <t>FOR31.1 added</t>
  </si>
  <si>
    <t>New line for FOR13.1 added</t>
  </si>
  <si>
    <t>LLIR</t>
  </si>
  <si>
    <t>component sheet c7</t>
  </si>
  <si>
    <t>TRU25 name changed to Residential propery income or restricted finance costs</t>
  </si>
  <si>
    <t>FPSAF1</t>
  </si>
  <si>
    <t>FPSAF2</t>
  </si>
  <si>
    <t>N25</t>
  </si>
  <si>
    <t>component sheet c4</t>
  </si>
  <si>
    <t>FPSAF1 and FPSAF2 added</t>
  </si>
  <si>
    <t>New boxes for AF1 and AF2 added</t>
  </si>
  <si>
    <t xml:space="preserve">FPSAF1, FPSAF2, FPS41A and FPS63A added </t>
  </si>
  <si>
    <t>Total Cl1</t>
  </si>
  <si>
    <t>Allocate DR to income that is liable at the lower of the Scottish higher rate and the higher rate</t>
  </si>
  <si>
    <t>New box c7.12 c7.5 minus (c7.7 + c7.10)</t>
  </si>
  <si>
    <t>New box c7.14 lower of c7.12 and c7.13</t>
  </si>
  <si>
    <t>Allocate DR to income that is liable at the higher of the Scottish higher rate and the higher rate</t>
  </si>
  <si>
    <t>New box c7.16 c7.4 + c7.8 + c7.11 + c7.15
Copy to box c9.2</t>
  </si>
  <si>
    <t>c25.20 Changed from "If pseudo box YPDTR = S, and, calculation type = Resident, c25.20 = c25.19 x SHR_rate (40%), else, c25.20 = c25.19 x HR_rate (40%), end if" to "c25.19 x c3a.5"</t>
  </si>
  <si>
    <t>c25.14 Changed from "If pseudo box YPDTR = S, and, calculation type = Resident, c25.14 = c25.13 x SBR_rate (20%), else, c25.14 = c25.13 x BR_rate (20%), end if" to "c25.13 x c3a.4"</t>
  </si>
  <si>
    <t>c25.22 Changed from "If pseudo box YPDTR = S, and, calculation type = Resident, c25.22 = c25.21 x SAHR_rate (45%), else, c25.22 = c25.21 x AHR_rate (45%), end if" to "c25.21 x c3a.6"</t>
  </si>
  <si>
    <t>c25.53 Changed from "If pseudo box YPDTR = S, and, calculation type = Resident, c25.53 = c25.51 x SBR_rate (20%), else, c25.53 = c25.51 x BR_rate (20%), end if" to "c25.51 x c3a.4"</t>
  </si>
  <si>
    <t>c7.9 changed from "c7.4 + c7.8" to "if c3a.1 = 2, if SHR_rate (40%) &gt;= HR_rate (40%), c7.9 = c6.9 + c6.43, else, c7.9 = c6.21 + c6.55, end if, end if"</t>
  </si>
  <si>
    <t>New box c7.10 "if c3a.1 = 2, SHR_rate (40%) &gt;= HR_rate (40%), c7.11 = c7.10 x SHR_rate minus SBR_rate (20%), else, c7.11 = c7.10 x HR_rate minus BR_rate (20%) ,end if"</t>
  </si>
  <si>
    <t>New box c7.11 "if c3a.1 = 2, SHR_rate (40%) &gt;= HR_rate (40%), c7.11 = c7.10 x SHR_rate minus SBR_rate (20%), else, c7.11 = c7.10 x HR_rate minus BR_rate (20%), end if"</t>
  </si>
  <si>
    <t>New box c7.13 "if c3a.1 = 2, if SHR_rate (40%) &lt;= HR_rate (40%), c7.9 = c6.21 + c6.55, else, c7.9 = c6.9 + c6.43, end if, end if"</t>
  </si>
  <si>
    <t>New box c7.15 "if c3a.1 = 2, SHR_rate (40%) &lt;= HR_rate (40%), c7.15 = c7.14 x HR_rate minus BR_rate (20%), else, c7.15 = c7.14 x SHR_rate minus SBR_rate (20%), end if, end if</t>
  </si>
  <si>
    <t>c7.6 changed from "c6.9 + c6.21 + c6.43 + c6.55 " to "if c3a.1 = 1, c7.6 = c6.9 + c6.21 + c6.43 + c6.55, else, c7.6 = 0 (zero), end if"</t>
  </si>
  <si>
    <t>New directions above box c7.5</t>
  </si>
  <si>
    <t>New directions above box c7.9</t>
  </si>
  <si>
    <t>Scottish Further Powers income tax rates and thresholds</t>
  </si>
  <si>
    <t>c6.6 changed from “lower of c6.1 and (BR_band + c4.59)” to “lower of c6.1 and (c3a.2 + c4.59)”</t>
  </si>
  <si>
    <t>c6.8 changed from “HR_band” to “from c3a.3”</t>
  </si>
  <si>
    <t>c6.5 changed from “SBR_band + c4.59” to “SavBR_band + c4.59”</t>
  </si>
  <si>
    <t>K28</t>
  </si>
  <si>
    <t>K31</t>
  </si>
  <si>
    <t>Changes v1.1</t>
  </si>
  <si>
    <t>c18</t>
  </si>
  <si>
    <t>c18.24 CG_exempt updated from £11,100 to £11,300</t>
  </si>
  <si>
    <t>Rates and allowances</t>
  </si>
  <si>
    <t>Links to 'EN18-0159 2017-2018 Calculate Tax and NIC MTR v1.0'</t>
  </si>
  <si>
    <t>Links to 'EN18-0159 2017-2018 Calculate Tax and NIC MTR v1.1'</t>
  </si>
  <si>
    <t>Above c18.15 updated to reference 2017-18</t>
  </si>
  <si>
    <t>Above c12.14 updated to reference 2017-18 &amp; 2018-19</t>
  </si>
  <si>
    <t>Status</t>
  </si>
  <si>
    <t>c6.40 changed from "lower of c6.35 and ((BR_band (£33,500) + c4.59) minus (c6.6 + c6.14 + c6.17 + c6.18 + c6.26))" to "lower of c6.35 and ((c3a.2 + c4.59) minus (c6.6 + c6.14 + c6.17 + c6.18 + c6.26))"</t>
  </si>
  <si>
    <t>c6.42 changed from "HR_band minus (c6.9 + c6.21 + c6.29)" to "c3a.3 minus (c6.9 + c6.21 + c6.29)"</t>
  </si>
  <si>
    <t>Explanation and reference to legislation provided for background and if statement added before and after c3a.1 to ensure status always 1 (rUK) when NRD1 or NRD28 = Y</t>
  </si>
  <si>
    <t>Clarification</t>
  </si>
  <si>
    <t>c4.76 descriptor deleted</t>
  </si>
  <si>
    <t>c4.65 BPA was £2,290 now £2,320 change highlighted</t>
  </si>
  <si>
    <t>c4.68 T_P_A was £1,100 now £1,150 change highlighted</t>
  </si>
  <si>
    <t>Above c4.77 T_P_A was £1,100 now £1,150 change highlighted</t>
  </si>
  <si>
    <t>c18.38 BR_band updated to £33,500</t>
  </si>
  <si>
    <t>c9.15 Alimony Limit SMP was £3,220 now £2,260 change highlighted</t>
  </si>
  <si>
    <t>c9.20 T_P_A was £1,100 now £1,150 change highlighted</t>
  </si>
  <si>
    <t>New "End if" after c7.15</t>
  </si>
  <si>
    <t>c25.10 Changed from "BR_band + c4.59 " to c3a.2 + c4.59"</t>
  </si>
  <si>
    <t>c25.17 Changed from "HR_band" to from c3a.3"</t>
  </si>
  <si>
    <t>c91.30a</t>
  </si>
  <si>
    <t>c91.34a</t>
  </si>
  <si>
    <t>c91.3a</t>
  </si>
  <si>
    <t>Tax deducted from disregarded income</t>
  </si>
  <si>
    <t>Enhancement s399 ITA 2007</t>
  </si>
  <si>
    <t>stage redesign to assist with insertion of 7.5% tax on UK dividends</t>
  </si>
  <si>
    <t>Exclusion 57 2016-17</t>
  </si>
  <si>
    <t>Start of stage changed so results of two calculations captured at c12.18a and c12.18b</t>
  </si>
  <si>
    <t>N.B. this should be made more sophisticated by having equivelant of L110a &amp; L110b above L56, L85 &amp; L94 and instead of L110c and equivelant for oher lines use existing lines and add an or line that contains "lower of A and B"</t>
  </si>
  <si>
    <t>c91.3 changed from "c1.46 + c1.47" to "from c1.46"</t>
  </si>
  <si>
    <t>c91.3 formula changed to incorporate TRUNC to ensure £down result</t>
  </si>
  <si>
    <t>Not for Calculate Tax and NIC Requirments</t>
  </si>
  <si>
    <t>c91.3a new calculation box "from c1.47"</t>
  </si>
  <si>
    <t>c91.3a formula changed to incorporate TRUNC to ensure £down result</t>
  </si>
  <si>
    <t>c91.5 changed from “c91.2 + c91.3 + c91.4” to “c91.2 + c91.3 + c91.3a + c91.4”</t>
  </si>
  <si>
    <t>c91.30a new calculation box "c91.3a x AHR_rate (45%)"</t>
  </si>
  <si>
    <t>c91.34a new calculation box "lower of (c8.19 + c8.21 + c8.23) x DivBR_rate (7.5%) and c91.22 x DivBR_rate (7.5%)"</t>
  </si>
  <si>
    <t>c91.34a = pdown</t>
  </si>
  <si>
    <t>c91.35 changed from “c91.29 + c91.30 + c91.31 + c91.32 + c91.33 + c91.34” to “c91.29 + c91.30 + c91.31 + c91.32 + c91.33 + c91.34 + c91.34a”</t>
  </si>
  <si>
    <t>c10</t>
  </si>
  <si>
    <t>c10.5 new calculation box "from c91.34a"</t>
  </si>
  <si>
    <t>c12.1 changed from "c9.40 minus c10.4" to "c9.40 minus (c10.4 + c10.5)"</t>
  </si>
  <si>
    <t>c12.18a new calculation box to capture result of first calculation as resident</t>
  </si>
  <si>
    <t>c12.18b new calculation box to capture result of first calculation as non-resident</t>
  </si>
  <si>
    <t>IRCX_template/Annex A: Format SA302 style calculation</t>
  </si>
  <si>
    <t>L84 div-tax-credits changed from "c10.4" to "c10.4 + c10.5"</t>
  </si>
  <si>
    <t>N.B. this may change again if dividend tax credit from c10.1 to c10.4 are removed.</t>
  </si>
  <si>
    <t>L84 changed from "10% tax credits on dividends from UK companies (not repayable)" to "7.5% tax treated as paid on dividends from UK companies (not repayable)"</t>
  </si>
  <si>
    <t>SA302_template W</t>
  </si>
  <si>
    <t>L84 changed from "10% credydau treth ar ddifidendau Cwmnïau yn y DU (na ellir ad-dalu)" to "7.5% ????????</t>
  </si>
  <si>
    <t>AP - Requires translation</t>
  </si>
  <si>
    <t>L110a added</t>
  </si>
  <si>
    <t>L110b added</t>
  </si>
  <si>
    <t>L110c added</t>
  </si>
  <si>
    <t>L110a New line</t>
  </si>
  <si>
    <t>L110b New line</t>
  </si>
  <si>
    <t>L110c New line</t>
  </si>
  <si>
    <t>L111 lines separated out onto different lines</t>
  </si>
  <si>
    <t>L110a new line "?????</t>
  </si>
  <si>
    <t>L110b new line "?????</t>
  </si>
  <si>
    <t>L110c new line "?????</t>
  </si>
  <si>
    <t>Still to be completed</t>
  </si>
  <si>
    <t>macro Sub Draw_SA302()</t>
  </si>
  <si>
    <r>
      <t>macro Sub Draw_SA302() used 'Range ("B1:K177") .Changed in 2 places 20 new last line = 180; "Sheets("SA302_template").Range("B1:</t>
    </r>
    <r>
      <rPr>
        <b/>
        <i/>
        <sz val="10"/>
        <color rgb="FF000000"/>
        <rFont val="Arial"/>
        <family val="2"/>
      </rPr>
      <t>K180</t>
    </r>
    <r>
      <rPr>
        <i/>
        <sz val="10"/>
        <color rgb="FF000000"/>
        <rFont val="Arial"/>
        <family val="2"/>
      </rPr>
      <t xml:space="preserve">").Copy" and "For intSA302_Count = 1 To </t>
    </r>
    <r>
      <rPr>
        <b/>
        <i/>
        <sz val="10"/>
        <color rgb="FF000000"/>
        <rFont val="Arial"/>
        <family val="2"/>
      </rPr>
      <t>180</t>
    </r>
    <r>
      <rPr>
        <i/>
        <sz val="10"/>
        <color rgb="FF000000"/>
        <rFont val="Arial"/>
        <family val="2"/>
      </rPr>
      <t xml:space="preserve"> Step 1"</t>
    </r>
  </si>
  <si>
    <t>Not for CTN Requirments</t>
  </si>
  <si>
    <t>macro Sub Draw_SA302 W()</t>
  </si>
  <si>
    <r>
      <t>macro Sub Draw_SA302 W() used 'Range ("B1:K177") .Changed in 2 places 20 new last line = 183; "Sheets("SA302_template").Range("B1:</t>
    </r>
    <r>
      <rPr>
        <b/>
        <i/>
        <sz val="10"/>
        <color rgb="FF000000"/>
        <rFont val="Arial"/>
        <family val="2"/>
      </rPr>
      <t>K183</t>
    </r>
    <r>
      <rPr>
        <i/>
        <sz val="10"/>
        <color rgb="FF000000"/>
        <rFont val="Arial"/>
        <family val="2"/>
      </rPr>
      <t xml:space="preserve">").Copy" and "For intSA302_Count = 1 To </t>
    </r>
    <r>
      <rPr>
        <b/>
        <i/>
        <sz val="10"/>
        <color rgb="FF000000"/>
        <rFont val="Arial"/>
        <family val="2"/>
      </rPr>
      <t>183</t>
    </r>
    <r>
      <rPr>
        <i/>
        <sz val="10"/>
        <color rgb="FF000000"/>
        <rFont val="Arial"/>
        <family val="2"/>
      </rPr>
      <t xml:space="preserve"> Step 1"</t>
    </r>
  </si>
  <si>
    <t>macro sub calculate now ()</t>
  </si>
  <si>
    <t>lines added for "Worksheets("Tax Due (C12)").Range("box_18_3_1") = sngFirst_pass_result" and "Worksheets("Tax Due (C12)").Range("box_18_3_2") = sngSecond_pass_result"</t>
  </si>
  <si>
    <t>macro sub calculate now W ()</t>
  </si>
  <si>
    <t>macro Sub clear_SA302()</t>
  </si>
  <si>
    <t>lines added to clear content of c12.18a &amp; c12.18b when SA302 cleared: Worksheets("Tax Due (C12)").Range("box_18_3_1").ClearContents
  Worksheets("Tax Due (C12)").Range("box_18_3_2").ClearContents</t>
  </si>
  <si>
    <t xml:space="preserve">macro Sub Draw_IRCX() </t>
  </si>
  <si>
    <t>used 'Range ("A1:I79") .Copy". Will need to change VBA macro if rows exceed row 79. Updated.</t>
  </si>
  <si>
    <t>s399 ITA 2007 tax treated as on dividends from UK companies</t>
  </si>
  <si>
    <t>Clarification - boxes would always be £0 (zero) so set to £0</t>
  </si>
  <si>
    <t>New box c9.22</t>
  </si>
  <si>
    <t>New box c9.23</t>
  </si>
  <si>
    <t>c12.1 changed from " c9.40 minus (c10.4 + c10.5)" to "c9.42 minus (c10.4 + c10.5)"</t>
  </si>
  <si>
    <t>Subsequent renumbering of old c9.22 to new c9.24 etc.</t>
  </si>
  <si>
    <t>New c9.25 changed as a result of renumbering</t>
  </si>
  <si>
    <t>New c9.28 changed as a result of renumbering</t>
  </si>
  <si>
    <t>New c9.30 changed as a result of renumbering</t>
  </si>
  <si>
    <t>New c9.32 changed as a result of renumbering</t>
  </si>
  <si>
    <t>New c9.34 changed as a result of renumbering</t>
  </si>
  <si>
    <t>New c9.39 changed as a result of renumbering</t>
  </si>
  <si>
    <t>New c9.40 changed as a result of renumbering</t>
  </si>
  <si>
    <t>New c9.42 changed as a result of renumbering</t>
  </si>
  <si>
    <t>New c9.43 changed as a result of renumbering</t>
  </si>
  <si>
    <t>c91.16 set to zero</t>
  </si>
  <si>
    <t>c91.17 set to zero</t>
  </si>
  <si>
    <t>c91.19 set to zero</t>
  </si>
  <si>
    <t>c91.20 set to zero</t>
  </si>
  <si>
    <t>L70</t>
  </si>
  <si>
    <t>Tax-credits-on-FOR-divs</t>
  </si>
  <si>
    <t>L110a</t>
  </si>
  <si>
    <t>L110b</t>
  </si>
  <si>
    <t>L110c</t>
  </si>
  <si>
    <t>box18_3_1</t>
  </si>
  <si>
    <t>box18_3_2</t>
  </si>
  <si>
    <t>from first c91 stage calculation</t>
  </si>
  <si>
    <t>s23 calc</t>
  </si>
  <si>
    <t>from second c91 stage calculation</t>
  </si>
  <si>
    <t>s811 calc</t>
  </si>
  <si>
    <t>UK resident income tax liability</t>
  </si>
  <si>
    <t>Non-UK resident income tax liability upper limit</t>
  </si>
  <si>
    <t>Lower of A or B</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</si>
  <si>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</si>
  <si>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</si>
  <si>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</si>
  <si>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</si>
  <si>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</si>
  <si>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VBA macro Sub Draw_SA302() uses 'Range ("B1:K184") .Copy, and "For intSA302_Count = 1 To 184 Step 1".' Will need to change VBA macro if rows exceed row 184.</t>
  </si>
  <si>
    <t>Cyfanswm yr incwm</t>
  </si>
  <si>
    <t>Cyfanswm yr incwm sy'n drethadwy</t>
  </si>
  <si>
    <t>L39s</t>
  </si>
  <si>
    <t>L38s</t>
  </si>
  <si>
    <t>L38sa</t>
  </si>
  <si>
    <t>extended-BR-STp</t>
  </si>
  <si>
    <t>The Scottish rates and thresholds apply to non-savings non-dividend income of Scottish residents</t>
  </si>
  <si>
    <t>The UK rates and thresholds apply to savings and dividends income</t>
  </si>
  <si>
    <t>New lines L38s, L38sa &amp; L39s</t>
  </si>
  <si>
    <t>IF(div_tax_credits&gt;0,"Income Tax due after dividend tax credits","Income Tax due")</t>
  </si>
  <si>
    <t>IF(AND(NIC2_amount&gt;0,NIC2_amount=NIC_total),"Total Class 2 National Insurance contributions due",IF(NIC2_amount&gt;0,"Total Class 2 and Class 4 National Insurance contributions due","Total Class 4 National Insurance contributions due"))</t>
  </si>
  <si>
    <t>IF(AND(NIC2_amount&gt;0,NIC2_amount=NIC_total),"Income Tax and Class 2 National Insurance contributions due",IF(AND(NIC_total&gt;0,NIC2_amount=0),"Income Tax and Class 4 National Insurance contributions due",IF(NIC2_amount&gt;0,"Income Tax, Class 2 and Class 4 National Insurance contributions due","Income Tax due")))</t>
  </si>
  <si>
    <t>VBA macro Sub Draw_IRCX() uses 'Range ("A1:I83") .Copy". Will need to change VBA macro if rows exceed row 83.</t>
  </si>
  <si>
    <r>
      <t>macro Sub Draw_SA302() used 'Range ("B1:K177") .Changed in 2 places 20 new last line = 180; "Sheets("SA302_template").Range("B1:</t>
    </r>
    <r>
      <rPr>
        <b/>
        <i/>
        <sz val="10"/>
        <rFont val="Arial"/>
        <family val="2"/>
      </rPr>
      <t>K180</t>
    </r>
    <r>
      <rPr>
        <i/>
        <sz val="10"/>
        <rFont val="Arial"/>
        <family val="2"/>
      </rPr>
      <t xml:space="preserve">").Copy" and "For intSA302_Count = 1 To </t>
    </r>
    <r>
      <rPr>
        <b/>
        <i/>
        <sz val="10"/>
        <rFont val="Arial"/>
        <family val="2"/>
      </rPr>
      <t>180</t>
    </r>
    <r>
      <rPr>
        <i/>
        <sz val="10"/>
        <rFont val="Arial"/>
        <family val="2"/>
      </rPr>
      <t xml:space="preserve"> Step 1"</t>
    </r>
  </si>
  <si>
    <r>
      <t>macro Sub Draw_SA302 W() used 'Range ("B1:K177") .Changed in 2 places 20 new last line = 183; "Sheets("SA302_template").Range("B1:</t>
    </r>
    <r>
      <rPr>
        <b/>
        <i/>
        <sz val="10"/>
        <rFont val="Arial"/>
        <family val="2"/>
      </rPr>
      <t>K183</t>
    </r>
    <r>
      <rPr>
        <i/>
        <sz val="10"/>
        <rFont val="Arial"/>
        <family val="2"/>
      </rPr>
      <t xml:space="preserve">").Copy" and "For intSA302_Count = 1 To </t>
    </r>
    <r>
      <rPr>
        <b/>
        <i/>
        <sz val="10"/>
        <rFont val="Arial"/>
        <family val="2"/>
      </rPr>
      <t>183</t>
    </r>
    <r>
      <rPr>
        <i/>
        <sz val="10"/>
        <rFont val="Arial"/>
        <family val="2"/>
      </rPr>
      <t xml:space="preserve"> Step 1"</t>
    </r>
  </si>
  <si>
    <t>Enhancement - Dividend Taxation Reform</t>
  </si>
  <si>
    <t>Scottish Further Powers income tax rates and thresholds - extended basic rate band for gift aid &amp; pension contributions</t>
  </si>
  <si>
    <t>New lines x 3 for L67</t>
  </si>
  <si>
    <t>New lines L67 &amp; L67 or</t>
  </si>
  <si>
    <t>New line for extended-BR-STp</t>
  </si>
  <si>
    <t>Change for line for extended-BR</t>
  </si>
  <si>
    <t>c10.4 + c10.5</t>
  </si>
  <si>
    <t>Top slicing is a relief available if an investor:</t>
  </si>
  <si>
    <t>Does not pay higher rate tax on other income (excluding the gain) but when the gain is added the investor becomes subject to higher rate tax, or</t>
  </si>
  <si>
    <t>Does not pay additional rate tax on other income (excluding the gain) but when the gain is added the investor becomes subject to additional rate tax.</t>
  </si>
  <si>
    <t>Scottish Parliament can only set the rates and the limits for non-savings and non-dividend income, then for savings, dividends and capital gains,</t>
  </si>
  <si>
    <t>it is necessary to ignore the Scottish threshold and refer to the UK limit instead.</t>
  </si>
  <si>
    <t>Chargeable event gains (without top slicing) are included in an individual's income.</t>
  </si>
  <si>
    <t>Lower of (A) or (B)</t>
  </si>
  <si>
    <t>c5.54b</t>
  </si>
  <si>
    <t>Formulas moved to enable Corefiling to build in checks</t>
  </si>
  <si>
    <t>c5.54b new calculation box "lower of (((c5.3 + c5.11 + c5.24 + c5.25 + c5.29 + c5.30 + c5.33 + c5.34) minus c5.1) minus (HR_band (£118,000)) and c5.30"</t>
  </si>
  <si>
    <t>Pay £35,041; savings £81; dividends £11,166</t>
  </si>
  <si>
    <r>
      <t xml:space="preserve">c5.56 changed from "If c5.53 larger than c5.55 and, c5.30 larger than c5.55, c5.56 = c5.53, else, c5.56 = 0 (zero)" to "If c5.53 larger than c5.55 and, </t>
    </r>
    <r>
      <rPr>
        <b/>
        <sz val="10"/>
        <rFont val="Arial"/>
        <family val="2"/>
      </rPr>
      <t>c5.54b</t>
    </r>
    <r>
      <rPr>
        <sz val="10"/>
        <rFont val="Arial"/>
        <family val="2"/>
      </rPr>
      <t xml:space="preserve"> larger than c5.55, c5.56 = c5.53, else, c5.56 = 0 (zero)"</t>
    </r>
  </si>
  <si>
    <t>tc219</t>
  </si>
  <si>
    <t>c5.56j</t>
  </si>
  <si>
    <t>c5.56i changed from "c5.1 minus (c5.56e + c5.56f + c5.56g + c5.56h)" to "c5.56e + c5.56f + c5.56g + c5.56h"</t>
  </si>
  <si>
    <t>c5.56j new calculation box "c5.1 minus c5.56i"</t>
  </si>
  <si>
    <t>c5.58 changed from "lower of c5.56i and c5.57a" to "lower of c5.56j and c5.57a"</t>
  </si>
  <si>
    <t>c5.58c changed from "lower of (c5.1 minus (c5.47 + c5.48 + c5.56e + c5.56f + c5.56g + c5.56h + c5.58) and (c5.34c minus c5.56g))" to "lower of (c5.1 minus (c5.47 + c5.48 + c5.56i + c5.58) and (c5.34c minus c5.56g))"</t>
  </si>
  <si>
    <t>c5.58e changed from "lower of (c5.1 minus (c5.47 + c5.48 + c5.56e + c5.56f + c5.56g + c5.56h + c5.58 + c5.58c) and (c5.20 minus c5.56h))" to "lower of (c5.1 minus (c5.47 + c5.48 + c5.56i + c5.58 + c5.58c) and (c5.20 minus c5.56h))"</t>
  </si>
  <si>
    <t>c5.58f changed from "c5.56e + c5.56f + c5.56g + c5.56h + c5.58c + c5.58e" to "c5.56i + c5.58c + c5.58e"</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</si>
  <si>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</si>
  <si>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</si>
  <si>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</si>
  <si>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£15,000 employment income (EMP1), £20,000 interest (INC2), £10,000 dividends (INC4) and £10,000 lump sum (ASE5). In this scenario, the Personal Allowance is set against the pension income, resulting in a liability of £9,375. However, setting £10,000 of the Personal Allowance against the lump sum (with the remainder against the interest) would appear to reduce the liability by £650 to £8,725.00.</t>
  </si>
  <si>
    <t>c5.56.1 new calculation box "c5.53 minus c5.56"</t>
  </si>
  <si>
    <t>simplification of calculation box c5.56a</t>
  </si>
  <si>
    <t>c5.56.2 new calculation box "c5.53 minus c5.54a"</t>
  </si>
  <si>
    <t>c5.56a changed from "lower of (c5.53 minus c5.56) and ((c5.53 minus c5.54a) x DivBR_rate (7.5%) + (c5.53 minus (c5.53 minus c5.54a)) x DivHR_rate (32.5%))" to "c5.56.2 + c5.56.3"</t>
  </si>
  <si>
    <t>simplification of calculation box c5.56d</t>
  </si>
  <si>
    <t>c5.56d changed from "(c5.56b minus c5.56c) x BR_rate (20%) + (c5.53 minus c5.56) x BR_rate (20%)" to "lower of c5.56.1 and (c5.56c1 + c5.56c2)"</t>
  </si>
  <si>
    <t>c5.56f changed from "if c5.56d &gt; c5.56a, lower of c5.52 and (c5.3 minus (c5.44 + c5.56e)), else, c5.56f = 0 (zero), end if" to "if c5.56d &gt; c5.56a,c5.56f = lower of c5.52 and (c5.3 minus (c5.44 + c5.56e)), else, c5.56f = c5.49, end if"</t>
  </si>
  <si>
    <t>c5.56g changed from "lower of (c5.52 minus (c5.56e + c5.56f)) and (c5.34a minus (c5.45 + c5.50))" to "lower of (c5.52 minus c5.56f) and (c5.34a minus c5.45)"</t>
  </si>
  <si>
    <t xml:space="preserve">SDST SA266662 £9,000 employment income, £25,000 interest and £20,000 dividends </t>
  </si>
  <si>
    <t>c5.56h changed from "lower of (c5.52 minus (c5.56e + c5.56f + c5.56g)) and (c5.11 minus (c5.46 + c5.51))" to "lower of (c5.52 minus (c5.56f + c5.56g)) and (c5.11 minus (c5.19 + c5.46))"</t>
  </si>
  <si>
    <t>c5.56.1</t>
  </si>
  <si>
    <t>c5.56.2</t>
  </si>
  <si>
    <t>c5.56.3</t>
  </si>
  <si>
    <t>c5.56.4</t>
  </si>
  <si>
    <t>c5.56c1</t>
  </si>
  <si>
    <t>c5.56c2</t>
  </si>
  <si>
    <t>c5.56e changed from "if c5.56d &gt; c5.56a, c5.56e = lower of (c5.1 minus c5.52) and c5.4, else, c5.56e = c5.49, end if" to "if c5.56d &gt; c5.56a and, c5.56c2 &gt; c5.56.4, c5.56e = lower of (c5.1 minus c5.52) and c5.4, else, c5.56e = 0 (zero), end if"</t>
  </si>
  <si>
    <t>Reduction of dividend tax</t>
  </si>
  <si>
    <t>Reduction of savings tax</t>
  </si>
  <si>
    <t>c5.56c.1 new calculation box "(c5.56b minus c5.56c) x BR_rate (20%)" &amp; pdown</t>
  </si>
  <si>
    <t>c5.56c.2 new calculation box "(c5.53 minus c5.56) x BR_rate (20%)" &amp; pdown</t>
  </si>
  <si>
    <t xml:space="preserve">c5.56.3 new calculation box "c5.56.2 x DivBR_rate (7.5%)" &amp; pdown </t>
  </si>
  <si>
    <t>c5.56.4 new calculation box "(c5.53 minus c5.56.2) x DivHR_rate (32.5%)" &amp; pdown</t>
  </si>
  <si>
    <t>Enhancement - Pension Scheme changes</t>
  </si>
  <si>
    <t>Liz Taylor email 03/0/2017 "FW: Sareturn OTC boxes - see 'Pension' folder in 2017-2018</t>
  </si>
  <si>
    <t>From 9 March 2017 certain transfers to and from a QROPS will be liable to a 25% tax charge called the overseas transfer charge.</t>
  </si>
  <si>
    <t>c5.70 changed from "larger of (c5.1 minus (c5.67 + c5.68 + c5.69 + c5.41) and c5.48 + c5.58 + c5.66)" to "larger of (c5.1 minus (c5.67 + c5.68 + c5.69) and c5.48 + c5.58 + c5.66)"</t>
  </si>
  <si>
    <t>Change made in Gains £50,000 Div UK £5,100 UK Pension £9,000. Now ensures allowances set against Gain band leaves £5,000 at dividend nil rate</t>
  </si>
  <si>
    <t>Transfers</t>
  </si>
  <si>
    <t xml:space="preserve">Value of pension benefits transferred subject to </t>
  </si>
  <si>
    <t>the overseas transfer charge</t>
  </si>
  <si>
    <t>from AIL17</t>
  </si>
  <si>
    <t>c25.42 x SLSDB_rate (45%)</t>
  </si>
  <si>
    <t>c25.41 + c25.43</t>
  </si>
  <si>
    <t>c25.56</t>
  </si>
  <si>
    <t>c25.57</t>
  </si>
  <si>
    <t>Value of pension benefits transferred subject to OTC</t>
  </si>
  <si>
    <t>Overseas Transfer Charge</t>
  </si>
  <si>
    <t>new rate for OTC_rate 25%</t>
  </si>
  <si>
    <t>OTC_rate</t>
  </si>
  <si>
    <t>new boxes referenced and boxes moved/deleted changed</t>
  </si>
  <si>
    <t>H27</t>
  </si>
  <si>
    <t>AIL11.1</t>
  </si>
  <si>
    <t>AIL11.2</t>
  </si>
  <si>
    <t>Value of pension benefits transferred subject to the overseas transfer charge</t>
  </si>
  <si>
    <t>Tax paid or payable by your pension scheme</t>
  </si>
  <si>
    <t>C1 component sheet</t>
  </si>
  <si>
    <t>'target' changes not for Requirements</t>
  </si>
  <si>
    <t>'AIL' changes not for Requirements</t>
  </si>
  <si>
    <t>'C1' changes not for Requirements</t>
  </si>
  <si>
    <t>New boxes for AIL11.1 &amp; AIL11.2 &amp; AIL17 crossed through</t>
  </si>
  <si>
    <t>c25.27 new calculation box</t>
  </si>
  <si>
    <t>c25.28 new calculation box</t>
  </si>
  <si>
    <t>c25.29 new calculation box</t>
  </si>
  <si>
    <t>c25.30 new calculation box</t>
  </si>
  <si>
    <t>c25.31 new calculation box</t>
  </si>
  <si>
    <t>c25.42 (old) changed to set to zero (not in use)</t>
  </si>
  <si>
    <t>subsequent renumbering from after new c25.31 and changes to box requirements</t>
  </si>
  <si>
    <t xml:space="preserve">BPRA </t>
  </si>
  <si>
    <t>c25.47 (old) changed because it was referencing c25.44</t>
  </si>
  <si>
    <t>c25.46 (old) changed because it was referencing c25.44</t>
  </si>
  <si>
    <t>c25.44 (old) changed to set to zero (not in use)</t>
  </si>
  <si>
    <t>c25.43 (old) changed to set to zero (not in use)</t>
  </si>
  <si>
    <t>FSE54 crossed through</t>
  </si>
  <si>
    <t>C3 component sheet</t>
  </si>
  <si>
    <t>11.1</t>
  </si>
  <si>
    <t>11.2</t>
  </si>
  <si>
    <t>c4.9 changed to set to zero (not in use)</t>
  </si>
  <si>
    <t>c4.11 changed from "c4.8 minus (c4.9 + c4.10)" to "c4.8 minus c4.10"</t>
  </si>
  <si>
    <t>c4.12 changed from "smaller of c4.8 and (c4.9 + c4.10)" to "smaller of c4.8 and c4.10"</t>
  </si>
  <si>
    <t>'SE' changes not for Requirements</t>
  </si>
  <si>
    <t>'PS' changes not for Requirements</t>
  </si>
  <si>
    <t>C3' changes not for Requirements</t>
  </si>
  <si>
    <t>C4' changes not for Requirements</t>
  </si>
  <si>
    <t>SPS15 &amp; FPS15 crossed through</t>
  </si>
  <si>
    <t>c4.15 &amp; c4.21 changed to set to zero (not in use)</t>
  </si>
  <si>
    <t>c4.18 changed from "smaller of c4.14 and (c4.15 + c4.16)" to "smaller of c4.14 and c4.16"</t>
  </si>
  <si>
    <t>c4.17 changed from "c4.14 minus (c4.15 + c4.16)" to "c4.14 minus c4.16"</t>
  </si>
  <si>
    <t>c4.23 changed from "c4.20 minus (c4.21 + c4.22)" to "c4.20 minus c4.22"</t>
  </si>
  <si>
    <t>c4.24 changed from "smaller of c4.20 and (c4.21 + c4.22)" to "smaller of c4.20 and c4.22"</t>
  </si>
  <si>
    <t>PRO33 crossed through</t>
  </si>
  <si>
    <t>C5' changes not for Requirements</t>
  </si>
  <si>
    <t>c4.30 changed to set to zero (not in use)</t>
  </si>
  <si>
    <t>c4.32 changed to set to zero (not in use)</t>
  </si>
  <si>
    <t>c4.29 changed to set to zero (not in use)</t>
  </si>
  <si>
    <t>c4.31 changed from "c4.29 minus c4.30" to "from PRO33"</t>
  </si>
  <si>
    <t>c4.39 changed to remove reference to c4.29</t>
  </si>
  <si>
    <t>'tc_template' not for Requirements</t>
  </si>
  <si>
    <t>LUN10 &amp; LUN19 crossed through</t>
  </si>
  <si>
    <t>'LUN' changes not for Requirements</t>
  </si>
  <si>
    <t>'PRO' changes not for Requirements</t>
  </si>
  <si>
    <t>'C3' changes not for Requirements</t>
  </si>
  <si>
    <t>c10.1 changed from "LUN9 + LUN10" to "from LUN9"</t>
  </si>
  <si>
    <t>c21.3 changed to set to zero (not in use)</t>
  </si>
  <si>
    <t>c21.4 changed to set to zero (not in use)</t>
  </si>
  <si>
    <t>c21.5 changed from "c21.1 + c21.4" to "c21.1 + c21.2"</t>
  </si>
  <si>
    <t>c9.20 reference to c4.76 changed to c4.76c</t>
  </si>
  <si>
    <t>c4.77 condition above it references to c4.76 changed to c4.76c</t>
  </si>
  <si>
    <t>c91.27 changed from "c91.5 + c91.13 + c91.16 + c91.19 + c91.22" to "c91.5 + c91.13 + c91.22"</t>
  </si>
  <si>
    <t>c91.28 changed from "c91.6 + c91.7 + c91.14 + c91.17 + c91.20 + c91.23 + c91.24 + c91.25 + c91.26" to "c91.6 + c91.7 + c91.14 + c91.23 + c91.24 + c91.25 + c91.26"</t>
  </si>
  <si>
    <t>These changes were in v0.6 of the MTR_Tester and should have been in the Requirement document that was carried forward to 2017-18</t>
  </si>
  <si>
    <t>Enhancement - Lloyds page changes</t>
  </si>
  <si>
    <t>Changes v1.2.0</t>
  </si>
  <si>
    <t>c12.18a deleted and moved to new box c12.22</t>
  </si>
  <si>
    <t>c12.18b deleted and moved to new box c12.23</t>
  </si>
  <si>
    <t>c17.1 changed from "from c5.85" to If calculation type = non-resident
c17.1 = c91.28
else
c17.1 = c3.21
end if</t>
  </si>
  <si>
    <t>PA offered to Dividends in HR</t>
  </si>
  <si>
    <t>c5.54c</t>
  </si>
  <si>
    <t>More beneficial to set PA offered to Dividends in HR against non-savings/savings?</t>
  </si>
  <si>
    <t>Changes v1.2.1</t>
  </si>
  <si>
    <t>Links to 'Calculate_Tax_and_NIC_MTR-2017-2018-E-v1.2.0' &amp; 'Calculate_Tax_and_NIC_MTR-2017-2018-V-v1.2.0'</t>
  </si>
  <si>
    <t>c5.54a Now "c5.53 minus c5.54"</t>
  </si>
  <si>
    <t>c5.54b Now "lower of (((c5.3 + c5.11 + c5.24 + c5.25 + c5.29 + c5.30) minus c5.1) minus (BR_band (£32,000) + c4.75)) and c5.29"</t>
  </si>
  <si>
    <t>c5.55 changed to "2 x (c5.54b minus c5.54)"</t>
  </si>
  <si>
    <t>c5.56 changed from "If c5.53 larger than c5.55 and, c5.54b larger than c5.55, c5.56 = c5.53, else, c5.56 = 0 (zero)" to "If c5.53 larger than c5.55 and, c5.54c larger than c5.55, c5.56 = c5.53, else, c5.56 = 0 (zero)"</t>
  </si>
  <si>
    <t>c5.56.1 now "(c5.54a minus c5.54b) x DivBR_rate (7.5%)"</t>
  </si>
  <si>
    <t>c5.56.2 now "c5.54b x DivHR_rate (32.5%)"</t>
  </si>
  <si>
    <t>c5.56a now "c5.56.1 + c5.56.2"</t>
  </si>
  <si>
    <t>c5.56c now "c5.1 minus c5.54a"</t>
  </si>
  <si>
    <t>c5.56c1 now "(c5.56b minus c5.56c) x BR_rate (20%)"</t>
  </si>
  <si>
    <t>c5.56c2 now "c5.54a x BR_rate (20%)"</t>
  </si>
  <si>
    <t>c5.56d now "c5.56c1 + c5.56c2"</t>
  </si>
  <si>
    <t>c5.56e changed from "if c5.56c2 &gt; c5.56.4, c5.56e = lower of (c5.1 minus c5.52) and c5.4, else, c5.56e = 0 (zero), end if" to  "if c5.56d &gt; c5.56a, c5.56e = lower of (c5.1 minus c5.52) and c5.4, else, c5.56e = lower of (c5.3 minus c5.52) and c5.54, end if"</t>
  </si>
  <si>
    <t>c5.56e1 new box "if c5.49 &gt; 0 (zero), c5.56e1 = c5.49, else, c5.56e1 = c5.52, end if"</t>
  </si>
  <si>
    <t>c5.56f changed from "if c5.56d &gt; c5.56a, c5.56f = lower of c5.52 and (c5.3 minus (c5.44 + c5.56e)), else, c5.56f = c5.49, end if" to "if c5.56d &gt; c5.56a, c5.56f = lower of c5.52 and (c5.3 minus (c5.44 + c5.56e)), else, c5.56f = lower of (c5.3 minus c5.44) and c5.56e1, end if"</t>
  </si>
  <si>
    <t>losses brought forward were being deducted twice in the Top Slicing Relief calculation.
c17.1 come from c5.85 (which is net of the losses brought forward set against income where the calculation type = ‘resident’). c17.6, which comes from c4.70, uses the full amount of the allowances and deductions i.e. it is not reducing them by the losses brought forward.  So the losses were being deducted twice.</t>
  </si>
  <si>
    <t>If statement above c12.19 changed to "The following 5 boxes…"</t>
  </si>
  <si>
    <t>If statement added above c12.22 &amp; c12.23 new boxes</t>
  </si>
  <si>
    <t>and the UK rates and thresholds apply to savings and dividends income.</t>
  </si>
  <si>
    <t>For  Scottish residents the Scottish rates and thresholds apply to non-savings non-dividend income</t>
  </si>
  <si>
    <t>divs-taxfree-BR</t>
  </si>
  <si>
    <t>L50a "divs-tax-free" "from c8.17" changed to "divs-taxfree-BR" "from c6.27"</t>
  </si>
  <si>
    <t>L50c</t>
  </si>
  <si>
    <t>L51a</t>
  </si>
  <si>
    <t>Basic rate at nil rate</t>
  </si>
  <si>
    <t>Higher rate at nil rate</t>
  </si>
  <si>
    <t>Additional rate at nil rate</t>
  </si>
  <si>
    <t>divs-taxfree-HR</t>
  </si>
  <si>
    <t>L50a changed to display "divs-taxfree-BR"</t>
  </si>
  <si>
    <t>L50c added to display "divs-taxfree-HR"</t>
  </si>
  <si>
    <t>L51a added to display "divs-taxfree-AR"</t>
  </si>
  <si>
    <t>L50c added to display "divs-taxfree-HR" "from c6.32"</t>
  </si>
  <si>
    <t>L51a added to display "divs-taxfree-AR" "from c6.25 minus (c6.27 + c6.32)"</t>
  </si>
  <si>
    <t>Basic rate band at nil rate</t>
  </si>
  <si>
    <t>Higher rate band at nil rate</t>
  </si>
  <si>
    <t>Additional rate band at nil rate</t>
  </si>
  <si>
    <t>c6.25 minus (c6.27 + c6.32)</t>
  </si>
  <si>
    <t>c5.56e1</t>
  </si>
  <si>
    <t>Enhancement - Marriage Allowance Transfer</t>
  </si>
  <si>
    <t>c4.76b changed from "if c4.74 minus (lower of c2.19 and PSA_HR (£500)) &gt; (BR_band (£33,500) + c4.75), c4.76b = 1 (HR_case? 'Y'), else, c4.76b = 0 (HR_case? 'N'), End if" to "if c4.74 &gt; (BR_band (£33,500) + c4.75), c4.76b = 1 (HR_case? 'Y'), else, c4.76b = 0 (HR_case? 'N'), End if"</t>
  </si>
  <si>
    <t>Enhancement - Exclusion for loss at CGT7, CGT19, CGT27 &amp; CGT35 being set against income at CGT41 and CGT43 and so leaving Capital Gains in charge</t>
  </si>
  <si>
    <t>At the start of stage 18 the If statement for calculating Capital Gains Tax (CGT) now references CGT41 &amp; CGT43 so the CGT calculation is completed where CGT losses not set against Gain and reducing to nil .</t>
  </si>
  <si>
    <t>c91.22a</t>
  </si>
  <si>
    <t>Dividend income etc.</t>
  </si>
  <si>
    <t>Lump sum income etc.</t>
  </si>
  <si>
    <t>c91.34b</t>
  </si>
  <si>
    <t>c91.34c</t>
  </si>
  <si>
    <t>c91.34d</t>
  </si>
  <si>
    <t>Tax on Discretionary trust income</t>
  </si>
  <si>
    <t>Tax on trust rate non-savings</t>
  </si>
  <si>
    <t>c91.31a</t>
  </si>
  <si>
    <t>s399 ITA 2007</t>
  </si>
  <si>
    <t>The deductions of tax for the net amounts in TRU5, TRU9, TRU12 &amp; TRU18 were incorrectly removed from the calculation for 2016-17 because of the Dividend Taxation Reform changes</t>
  </si>
  <si>
    <t>SDST SA166221</t>
  </si>
  <si>
    <t>c10.5 changed from "from c91.34a" to "from c91.34d"</t>
  </si>
  <si>
    <t>c91.15 changed from "from c3.5" to "from c3.15"</t>
  </si>
  <si>
    <t>c91.16 changed from "set to zero" to "from c3.5"</t>
  </si>
  <si>
    <t>c91.17 changed from "set to zero" to "c3.12 + c3.13"</t>
  </si>
  <si>
    <t>c91.18 changed from "c3.12 + c3.13" to "from c3.6"</t>
  </si>
  <si>
    <t>c91.19 changed from "set to zero" to "from c3.7"</t>
  </si>
  <si>
    <t>c91.20 changed from "set to zero" to "from c3.8"</t>
  </si>
  <si>
    <t>c91.21 changed from "c3.15 minus (c3.5 + c3.12 + c3.13)" to "from c3.10"</t>
  </si>
  <si>
    <t>c91.22 changed from "c91.21 minus c3.1" to "from c3.11"</t>
  </si>
  <si>
    <t>c91.22a new calculation box "c91.16 + c91.17 + c91.18 + c91.19 + c91.20 + c91.21 + c91.22"</t>
  </si>
  <si>
    <t>c91.27 changed from "c91.5 + c91.13 + c91.22" to "c91.5 + c91.13 + c91.22a"</t>
  </si>
  <si>
    <t>c91.23 changed from "c91.21 minus c91.22" to "c91.15 minus c91.22a"</t>
  </si>
  <si>
    <t>c91.31a new calculation box "c91.30 + c91.30a + c91.31"</t>
  </si>
  <si>
    <t>c91.34b new calculation box "from c11.23"</t>
  </si>
  <si>
    <t>c91.34c new calculation box "from c11.22"</t>
  </si>
  <si>
    <t>c91.34a changed from "lower of (c8.19 + c8.21 + c8.23) x DivBR_rate (7.5%) and c91.22 x DivBR_rate (7.5%)" to "c91.32 + c91.33 + c91.34"</t>
  </si>
  <si>
    <t>c91.34d new calculation box "lower of (c8.19 + c8.21 + c8.23) x DivBR_rate (7.5%) and INC4 x DivBR_rate (7.5%)"</t>
  </si>
  <si>
    <t>c91.35 changed from "c91.29 + c91.30 + c91.31 + c91.32 + c91.33 + c91.34" to "c91.31a + c91.34a + c91.34b + c91.34c"</t>
  </si>
  <si>
    <t>Links to 'Calculate_Tax_and_NIC_MTR-2017-18-E-v1.2.0' &amp; 'Calculate_Tax_and_NIC_MTR-2017-18-V-v1.2.0'</t>
  </si>
  <si>
    <t xml:space="preserve">c5.34c changed from "lower of (c5.34a minus c5.34b) and (HR_band minus (c5.5 + c5.20 + c5.30))" to "lower of (c5.34a minus c5.34b) and (c3a.3 minus (c5.5 + c5.20 + c5.30))"
</t>
  </si>
  <si>
    <t>These replace changes to this section in previous versions, including v1.2.0</t>
  </si>
  <si>
    <t>c5.54c new calculation box "lower of (((c5.3 + c5.11 + c5.24 + c5.25 + c5.29 + c5.30 + c5.33 + c5.34) minus c5.1) minus HR_band (£118,000)) and c5.30"</t>
  </si>
  <si>
    <t>Dividends taxable at DivHR_rate</t>
  </si>
  <si>
    <t>More beneficial if PA to Div HR where &gt; 0 (zero)</t>
  </si>
  <si>
    <t>PA available to DivHR_rate</t>
  </si>
  <si>
    <t>TotalCL1</t>
  </si>
  <si>
    <t>Links to 'Calculate_Tax_and_NIC_MTR-2017-18-E-v???</t>
  </si>
  <si>
    <t>SDST SA536699 incorrectly calculating savings in BR_band requires PA</t>
  </si>
  <si>
    <t>Exclusion 69</t>
  </si>
  <si>
    <t>c5.55 change should have been to "2 x c5.54b"</t>
  </si>
  <si>
    <t>Correction to MTR_Tester only</t>
  </si>
  <si>
    <t>c17.1 formula in cell incorrect - if statement did not determine if non-resident calc</t>
  </si>
  <si>
    <t>MTR_Tester change only - CTN Requirements and calc cell heading correct</t>
  </si>
  <si>
    <t>Enhancement - Top Slicing Relief calculation</t>
  </si>
  <si>
    <t>c5.3 changed from "...=91.6..." to "...=c91.6 minus  c4.63b…"</t>
  </si>
  <si>
    <t>c5.85 changed from "...=91.28..." to "...=c91.28 minus  c4.63b…"</t>
  </si>
  <si>
    <t>c91.1 change reversed - changed from "from c4.63c" to "from c1.57"</t>
  </si>
  <si>
    <t>c91.6 copy to changed from c5.35 to c5.3</t>
  </si>
  <si>
    <t>SR_rate 0%</t>
  </si>
  <si>
    <t>c5.85 formula changed as referencing blank cell</t>
  </si>
  <si>
    <t>LUN7 removed from Return page (LUN10, &amp; LUN19 already removed earlier)</t>
  </si>
  <si>
    <t>c21.1 changed from "LUN6 + LUN7 + LUN8" to "from LUN8"</t>
  </si>
  <si>
    <t>c21.10 changed from "lower of LUN7 and c21.9 x Ldiv_rate (10%)" to "c21.9 x Ldiv_rate (10%)"</t>
  </si>
  <si>
    <t>Not for CTN Requirements</t>
  </si>
  <si>
    <t>LUN7 crossed through and link to C3 component sheet deleted</t>
  </si>
  <si>
    <t>LUN7 crossed through and VLOOKUP deleted</t>
  </si>
  <si>
    <t>c5.12 changed from "lower of (c5.11 and (SR_band (£5,000) + c4.79))" to "lower of SR_band (£5,000) and ((c5.1 + SR_band (£5,000)) minus c5.3)"</t>
  </si>
  <si>
    <t>c5.13 changed from "lower of c5.12 and (c5.2a minus c5.4)" to "lower of (c5.11 minus c5.12) and c4.79"</t>
  </si>
  <si>
    <t>c5.14 changed from "larger of (c4.79 and (SR_band (£5,000) minus (c5.4 minus c5.1))" to "lower of c5.13 and (c5.2 minus c5.4)"</t>
  </si>
  <si>
    <t>c5.15 changed from "lower of c5.13 and c5.14" to "c5.12 + c5.14"</t>
  </si>
  <si>
    <t>Components: YPD=1, FIN=1, ASE-C=1, AIL=12, Emp-A=8, PRO=5, DoB =17/11/1978</t>
  </si>
  <si>
    <t>Components: YPD=1, INC-B=2, FIN=1, AOI-B=2, DoB =not present</t>
  </si>
  <si>
    <t>Components: YPD=2, INC-A=16, INC-B=1, SSE=2, DoB =not present</t>
  </si>
  <si>
    <t>Components: YPD=2, INC-A=13, SSE=4, NRD=6, DoB =not present</t>
  </si>
  <si>
    <t>VBA macro Sub Draw_SA302() uses 'Range ("B1:K201") .Copy, and "For intSA302_Count = 1 To 201 Step 1".' Will need to change VBA macro if rows exceed row 201.</t>
  </si>
  <si>
    <t>L56 - last Or deleted</t>
  </si>
  <si>
    <t>SA302 Template</t>
  </si>
  <si>
    <t>SA302 Template (W)</t>
  </si>
  <si>
    <t>c5.36 Formula changed as referencing blank cell</t>
  </si>
  <si>
    <t>c5.34a Formula changed as referencing blank cell</t>
  </si>
  <si>
    <t>Changes v1.3.0</t>
  </si>
  <si>
    <t>c5.68 changed from "c5.45+c5.58c+c5.63" to "c5.45 + c5.56g + c5.58c + c5.63"</t>
  </si>
  <si>
    <t>c25.49 formula updated to match change in text above (c25.49 was c25.47)</t>
  </si>
  <si>
    <t>c91.30 changed from c91.3 x AHR _rate to from c11.17 (same result)</t>
  </si>
  <si>
    <t>Above BR for savings and dividends #2</t>
  </si>
  <si>
    <t>c4.75a</t>
  </si>
  <si>
    <t>c4.75b</t>
  </si>
  <si>
    <t>NS Income in BR band</t>
  </si>
  <si>
    <t>c4.76b1</t>
  </si>
  <si>
    <t>PSA in BR</t>
  </si>
  <si>
    <t>PSA in HR</t>
  </si>
  <si>
    <t>Exclusion 66</t>
  </si>
  <si>
    <t>c4.75a New "(c1.57 + c1.58) minus c4.70"</t>
  </si>
  <si>
    <t>c4.75b New "lower of c2.19 and PSA_HR (£500)"</t>
  </si>
  <si>
    <t>c4.76b1 New "if c2.19 &gt; (c4.70 + PSA_HR (£500)) and, if (c4.74 minus c4.75b) &gt; (BR_band (£33,500) + c4.75), c4.76b1 = 1 (HR_case? 'Y'), else, c4.76b1 = 0 (HR_case? 'N'), End if, End if"</t>
  </si>
  <si>
    <t xml:space="preserve">c4.76a changed from "if c1.57 + c1.58 &gt; c3a.2 + c4.75, c4.76a = 1 (HR_case? 'Y'), else, c4.76a = 0 (HR_case? 'N'), End if" to </t>
  </si>
  <si>
    <t>c4.76b changed from "if c4.74 &gt; (BR_band (£33,500) + c4.75), c4.76b = 1 (HR_case? 'Y'), else, c4.76b = 0 (HR_case? 'N'), End if" to "</t>
  </si>
  <si>
    <t>c9.38 Changed from "from c25.54" to "from c25.56"</t>
  </si>
  <si>
    <t>c12.9 Changed to "from c25.50"</t>
  </si>
  <si>
    <t>c12.12 Changed to "…(c25.56 minus c25.57)"</t>
  </si>
  <si>
    <t>c4.76c changed from "if c4.76a + c4.76b &gt; 0, c4.76c = 1 (HR_case? 'Y'), else, c4.76c = 0 (HR_case? 'N'), End if" to “if c4.76a + c4.76b + 4.76b1 &gt; 0 (zero), c4.76c = 1 (HR_case? 'Y'), else, c4.76c = 0 (HR_case? 'N'), End if”</t>
  </si>
  <si>
    <t>£up added</t>
  </si>
  <si>
    <t>Changes v1.4.0</t>
  </si>
  <si>
    <t>c4.76b1 first IF changed to "if c2.19 &lt;= (c4.70 + PSA_HR (£500)) and"</t>
  </si>
  <si>
    <t>from resident calculation</t>
  </si>
  <si>
    <t>from non-resident calculation</t>
  </si>
  <si>
    <t>c12.23 text above box changed to “from resident calculation”</t>
  </si>
  <si>
    <t>c12.22 text above box changed “from non-resident calculation”</t>
  </si>
  <si>
    <t>Changes v1.5.0</t>
  </si>
  <si>
    <t>c5.56 "end if" added to text</t>
  </si>
  <si>
    <t>c91.30 pup removed and formula changed</t>
  </si>
  <si>
    <t>c91.30a pup removed and formula changed</t>
  </si>
  <si>
    <t xml:space="preserve">c7.6 changed to "c6.9 + c6.21 + c6.43 + c6.55 " </t>
  </si>
  <si>
    <t>total-tax-NIC-nonresS23</t>
  </si>
  <si>
    <t>total-tax-NIC-nonresS811</t>
  </si>
  <si>
    <t>total-tax-NIC-nonres</t>
  </si>
  <si>
    <t>total_tax_NIC_nonres</t>
  </si>
  <si>
    <t>total_tax_NIC_nonresS23</t>
  </si>
  <si>
    <t>Box 18-3-1 changed to total-tax-NIC-nonresS23</t>
  </si>
  <si>
    <t>Box 18-3-2 changed to total-tax-NIC-nonresS811</t>
  </si>
  <si>
    <t>Box 18-3 changed to total-tax-NIC-nonres</t>
  </si>
  <si>
    <t>divs-taxfree-AHR</t>
  </si>
  <si>
    <t>"else" included after first IF statement</t>
  </si>
  <si>
    <t>“divs-taxfree-AR” changed to “divs-taxfree-AHR”</t>
  </si>
  <si>
    <t>c4.76b Changed to "IF and" rather than two Ifs</t>
  </si>
  <si>
    <t>c16.32 Changed to "IF and" rather than two Ifs</t>
  </si>
  <si>
    <t>Text above c7.5 moved to above c7.6</t>
  </si>
  <si>
    <t>c7.9, c7.11, c7.13 and c7.15 Changed to "IF and" rather than two Ifs</t>
  </si>
  <si>
    <t>more beneficial Pay £33,500 Int £11,700 where £11,200 PA set against Int to leave £500 in nil band and £300 PA against pay</t>
  </si>
  <si>
    <t>Changes v1.6.0</t>
  </si>
  <si>
    <t xml:space="preserve">Re Gift, credit not being given for CGT already paid </t>
  </si>
  <si>
    <t>c5.54a1</t>
  </si>
  <si>
    <t>non-savings £1,454, savings £6,824 &amp; div £85,090</t>
  </si>
  <si>
    <t>c5.54b changed from "lower of (((c5.3 + c5.11 + c5.24 + c5.25 + c5.29 + c5.30) minus c5.1) minus (BR_band (£32,000) + c4.75)) and c5.29" to "lower of c5.54a1 and c5.29"</t>
  </si>
  <si>
    <t>c5.54c changed from "lower of (((c5.3 + c5.11 + c5.24 + c5.25 + c5.29 + c5.30 + c5.33 + c5.34) minus c5.1) minus (HR_band (£118,000)) and c5.30" to "lower of (c5.54a1 minus c5.54b) and c5.30"</t>
  </si>
  <si>
    <t>cell H25 changed to ref HR_case_MAT</t>
  </si>
  <si>
    <t>MTR_Tester change only</t>
  </si>
  <si>
    <t>c5.56e1 changed to "if c5.49 + c5.50 &gt; 0 (zero) OR
(c5.3 + c5.11) minus c5.1 &gt; c5.2
c5.56e1 = c5.49
else
c5.56e1 = c5.52
end if"</t>
  </si>
  <si>
    <t>Enhancement - CGT RTT available to 'frank' Gift Aid tax</t>
  </si>
  <si>
    <t>Scottish customer with employment up to rUK basic rate band paying pension payments with RAR to extend Scottish basic rate band to equivelant of rUK ( STR 1)</t>
  </si>
  <si>
    <t>2017-18: test case changed</t>
  </si>
  <si>
    <t>Test cases</t>
  </si>
  <si>
    <t>CO component sheet</t>
  </si>
  <si>
    <t>REL-A new column 8 details where REL1 = £2,000</t>
  </si>
  <si>
    <t>C2 component sheet</t>
  </si>
  <si>
    <t>EMP expanded from 12 to 14 columns</t>
  </si>
  <si>
    <t>EMP-A new EMP12 £45,000 EMP2 £6,700</t>
  </si>
  <si>
    <t>Library</t>
  </si>
  <si>
    <t>Library changed test case 1 (row 2) YPD = 3, INC-1 = 16, REL-A = 9 EMP-A = 13, CAL1 = 1</t>
  </si>
  <si>
    <t>test case 1</t>
  </si>
  <si>
    <t>Test cases Validation Conflict</t>
  </si>
  <si>
    <t>FSE54 amounts removed; FSE57 formula changed; FSE61 vaalidation added; FSE61 formula updated; as a result case 7 totals changed</t>
  </si>
  <si>
    <t>LUN7, LUN10 &amp; LUN19 values removed; LUN11 validation changed; LUN11 formula changed</t>
  </si>
  <si>
    <t>PRO33 amount removed and PRO38 formula updated to remove PRO33; PRO39 value changed; PRO39 validation added; PRO43 formula removed and value retained</t>
  </si>
  <si>
    <t>Column B had missing LOOKUP formula - added to all cells</t>
  </si>
  <si>
    <t>Renumbering corrected TRU27 now TRU26 and TRU28 now TRU27</t>
  </si>
  <si>
    <t>C8C9C10 component sheet</t>
  </si>
  <si>
    <t>NRD8 validation added to column S; cells E66 &amp; F66 for NRD7 changed to "Y"</t>
  </si>
  <si>
    <t>Equal to FSE46 + FSE59 + FSE60</t>
  </si>
  <si>
    <t>Equal to LUN6 + LUN8 + LUN9</t>
  </si>
  <si>
    <t>If present, must be less than or equal to PRO38</t>
  </si>
  <si>
    <t>INC-A new column 17 details</t>
  </si>
  <si>
    <t>test case 4</t>
  </si>
  <si>
    <t>Library changed test case 4 INC-A = 18, REL-A = 9 EMP-A = 13, CAL1 = 1</t>
  </si>
  <si>
    <t>FSE new column 10 details added</t>
  </si>
  <si>
    <t>test case 6</t>
  </si>
  <si>
    <t>Library changed test case 6 FSE = 11, REL-A = 9 EMP-A = 13, CAL1 = 1</t>
  </si>
  <si>
    <t>INC-A changed from 1 to 7</t>
  </si>
  <si>
    <t>test case 9</t>
  </si>
  <si>
    <t>SSE changed from 1 to 3</t>
  </si>
  <si>
    <t>trader tree</t>
  </si>
  <si>
    <t>(DOB spouse  post 1935) MCA in year marriage (STR 8)</t>
  </si>
  <si>
    <t>Higher rate, NIC exempted (as over65)  + Scottish taxpayer status (STR 6)</t>
  </si>
  <si>
    <t>INC-A new column 18</t>
  </si>
  <si>
    <t>INC-B new column 13</t>
  </si>
  <si>
    <t>test case 10</t>
  </si>
  <si>
    <t>INC-A, INC-B, EMP-A, &amp; CAL changed</t>
  </si>
  <si>
    <t>HR with Gift Aid. Beneficial ordering of reliefs and allowances - PA set against pension even though dividends at div HR. (STR 10)</t>
  </si>
  <si>
    <t>HRS with Gift Aid &amp; RAR. Tests order of allowances and deductions. ( STR 11)</t>
  </si>
  <si>
    <t>Changes v1.5.1</t>
  </si>
  <si>
    <t>REL-A new column 9</t>
  </si>
  <si>
    <t>test case 11</t>
  </si>
  <si>
    <t>REL-A changed to 10</t>
  </si>
  <si>
    <t>INC-A new column 19</t>
  </si>
  <si>
    <t>INC-B column 9 changed from £8,000 to £8,052</t>
  </si>
  <si>
    <t>INC-C use column 6</t>
  </si>
  <si>
    <t>test case 12</t>
  </si>
  <si>
    <t>INC-A, INC-B, INC-C, REL-A, EMP-A, Fin 1 &amp; CAL changed</t>
  </si>
  <si>
    <t>PRO new column/case 11</t>
  </si>
  <si>
    <t>YPD changed to 3 so Scottish</t>
  </si>
  <si>
    <t>INC-A changed to 2 so has investment income</t>
  </si>
  <si>
    <t>PRO changed to 13</t>
  </si>
  <si>
    <t>test case 16</t>
  </si>
  <si>
    <t>DoB Ind changed from "not known" to 5 to match STR_Tester</t>
  </si>
  <si>
    <t>INC-A new column 20</t>
  </si>
  <si>
    <t>EMP-A new column 13</t>
  </si>
  <si>
    <t>INC-A changed to 21</t>
  </si>
  <si>
    <t>EMP-A changed to 14</t>
  </si>
  <si>
    <t>test case 20</t>
  </si>
  <si>
    <t>CAL changed to 1</t>
  </si>
  <si>
    <t>Student Loan SL repayments needed - Employment income &amp; Dividends (STR 14)</t>
  </si>
  <si>
    <t>Student Loan SL repayment case Plan 01, inv over £2000 ( STR 15)</t>
  </si>
  <si>
    <t>Property, BPR &amp; Scottish.  (STR 16)</t>
  </si>
  <si>
    <t>Student Loan SL repayment with PAYE SL deductions. Tests order of allowances and deductions. (STR 17)</t>
  </si>
  <si>
    <t>510/200</t>
  </si>
  <si>
    <t>325/78</t>
  </si>
  <si>
    <t>120/E720</t>
  </si>
  <si>
    <t>c5.54a1 new box "((c5.3 + c5.11 + c5.24 + c5.25 + c5.29 + c5.30) minus c5.1) minus (BR_band (£32,000) + c4.75)"</t>
  </si>
  <si>
    <t>Employment with tax paid on interest. Investment income benefiting from Savings Starting Rate requiring beneficial ordering of reliefs and allowances. (STR 20)</t>
  </si>
  <si>
    <t>Dividends taxable at DivHR0%_rate</t>
  </si>
  <si>
    <t>test case 21</t>
  </si>
  <si>
    <t>c5.54b label changed to DivHR0%_rate</t>
  </si>
  <si>
    <t>c4.76b1 Changed to "IF and" rather than two Ifs</t>
  </si>
  <si>
    <t>Formula changed to ref Status (c3a) for boxes c7.6, c7.7, c7.8, c7.9, c7.11, c7.13, c7.15</t>
  </si>
  <si>
    <t>c5.56.2 changed from "c5.54b x DivHR_rate (32.5%)" to "(lower of c5.54a and c5.54b) x DivHR_rate (32.5%)"</t>
  </si>
  <si>
    <t>Total Class 4 National Insurance contributions due</t>
  </si>
  <si>
    <t>Income and Capital Gains Tax due</t>
  </si>
  <si>
    <t>State pension Lump sum (higher rate), Lloyds Underwriters and Self Employment , Enterprise Investment Scheme relief EISR, &amp; Social Investment Tax Relief SITR</t>
  </si>
  <si>
    <t>2017-18: test case changed to Scottish</t>
  </si>
  <si>
    <t>Higher rate HR, Additional Higher rate AHR, CGT, &amp; Scottish</t>
  </si>
  <si>
    <t>Corresponding Deficiency Relief CDR reduces dividends and savings</t>
  </si>
  <si>
    <t>Corresponding Deficiency Relief CDR reduces dividends, no HR liability on non-savings income</t>
  </si>
  <si>
    <t>Corresponding Deficiency Relief CDR reduces dividends only</t>
  </si>
  <si>
    <t>Total Class 2 and Class 4 National Insurance contributions due</t>
  </si>
  <si>
    <t>Income Tax, Capital Gains Tax, Class 2 and Class 4 National Insurance contributions due</t>
  </si>
  <si>
    <t>Property with loss from FL to c/f to lettings inc (PRO17), Dividends chargeable at Adiv_rate, Deficiency relief on both savings and dividends, &amp; Scottish</t>
  </si>
  <si>
    <t>Blind Person Allowance BPA, taxable bank interest (STR 24)</t>
  </si>
  <si>
    <t>c9.35 changed from "from c18.58" to "c18.56 + c18.57 + c18.58"</t>
  </si>
  <si>
    <t>Income Tax due after dividend tax credits</t>
  </si>
  <si>
    <t>L79 changed to pick up CGT amount from stage 9 so includes RTT tax</t>
  </si>
  <si>
    <t>Chargeable Event Gains CEG with Top Slicing Relief TSR due</t>
  </si>
  <si>
    <t xml:space="preserve">Chargeable Event Gains CEG, Top Slicing Relief TSR, Additional rate  </t>
  </si>
  <si>
    <t>Losses from SSE set against other income + Marriage Allowance Transfer transferred  (MAT_OUT)</t>
  </si>
  <si>
    <t>Income over £100,000 no PA but Blind Person Relief BPR due; CGT</t>
  </si>
  <si>
    <t xml:space="preserve">Student Loan repayment SL (Plan 01), self employment source with losses set against other income. CIS deductions, </t>
  </si>
  <si>
    <t>Non-UK Resident, non resident calculation more beneficial (s811 disregarded income)</t>
  </si>
  <si>
    <t>Non-UK Resident, 'normal' s23 calculation more beneficial (s811)</t>
  </si>
  <si>
    <t>Income Tax, Capital Gains Tax, and Class 4 National Insurance contributions due</t>
  </si>
  <si>
    <t xml:space="preserve">7.5% tax treated as paid on dividends from UK companies (not repayable) </t>
  </si>
  <si>
    <t>Enhancement - s399</t>
  </si>
  <si>
    <t>SA302 layout</t>
  </si>
  <si>
    <t>UK and Foreign Chargeable Event GainsCEG, Top Slicing Relief TSR due; Notional tax; Basic  MCA , 50% to partner, Relief for Finance Costs (Landlord Loan Interest Relief)</t>
  </si>
  <si>
    <t>Non-UK Resident, non resident calculation more beneficial (s811 disregarded income); MAT_IN but removed from calculation; Relief for Finance Costs (Landlord Loan Interest Relief)</t>
  </si>
  <si>
    <t>Multiple employment and share scheme. Box Fin1, CAL7/8 completed, Income over £100,000 PA reduced to Nil, Enterprise Investment Scheme relief EIS, &amp; Social Investment Tax Relief SITR</t>
  </si>
  <si>
    <t>Customer has not paid enough tax to ‘cover’ / 'frank' the Gift Aid tax repaid to the charity and has MAT as recipient; Scotish</t>
  </si>
  <si>
    <t>savings in SR_band from PA available</t>
  </si>
  <si>
    <t>Test for AIL11.1 &amp; AIL11.2 Overseas pension charge; Relief for Finance Costs (Landlord Loan Interest Relief)</t>
  </si>
  <si>
    <t>Various FPS with CGT and Property, Higher and Additional Rates , no bal BR against gains; FPS Relief for Finance Costs (Landlord Loan Interest Relief)</t>
  </si>
  <si>
    <t>Various FPS boxes with NIC deferred FPS24. HR and AHR; FPS Relief for Finance Costs (Landlord Loan Interest Relief)</t>
  </si>
  <si>
    <t>CGT as test case 157 but no balance BR band; FPS Relief for Finance Costs (Landlord Loan Interest Relief)</t>
  </si>
  <si>
    <t xml:space="preserve">No PAYE tax paid but Small Debt coded (STR 19) </t>
  </si>
  <si>
    <t>Relief for residential finance costs not included in box 17</t>
  </si>
  <si>
    <t>Student Loan repayment SL, Employment, Lump Sum and  Foreign divs; FOR Relief for Finance Costs (Landlord Loan Interest Relief)</t>
  </si>
  <si>
    <t>RAR, Annuities, trade union death benefit, widows and orphan relief. Foreign divs. Trust income. FOR Relief for Finance Costs (Landlord Loan Interest Relief)</t>
  </si>
  <si>
    <t>Kitchen sink, multiple sources, PA reduced to Nil,Losses, RAR, TRU &amp; FOR Relief for Finance Costs (Landlord Loan Interest Relief)</t>
  </si>
  <si>
    <t>Higher rate, Class 4 NIC,  Reduced PA income over £100,000; FOR Relief for Finance Costs (Landlord Loan Interest Relief)</t>
  </si>
  <si>
    <t>Income from EEA and UK lettings with Income from land and property abroad; FOR Relief for Finance Costs (Landlord Loan Interest Relief)</t>
  </si>
  <si>
    <t>test case 24</t>
  </si>
  <si>
    <t>test case 33</t>
  </si>
  <si>
    <t>test case 45</t>
  </si>
  <si>
    <t>test case 46</t>
  </si>
  <si>
    <t>test case 47</t>
  </si>
  <si>
    <t>test case 53</t>
  </si>
  <si>
    <t>test case 79</t>
  </si>
  <si>
    <t>test case 108</t>
  </si>
  <si>
    <t>test case 136</t>
  </si>
  <si>
    <t>test case 179</t>
  </si>
  <si>
    <t>test case 20 vs test case 219</t>
  </si>
  <si>
    <t>L84 changed to "7.5% tax treated as paid on dividends from UK companies (not repayable)"</t>
  </si>
  <si>
    <t>c5.56c changed from "c5.1 minus c5.54a" to "lower of SR_band (£5,000) and (((c5.1 minus c5.54a) + SR_band (£5,000)) minus c5.3)"</t>
  </si>
  <si>
    <t>c24.3a</t>
  </si>
  <si>
    <t>c24.4a</t>
  </si>
  <si>
    <t>c24.15a</t>
  </si>
  <si>
    <t>Total finance costs</t>
  </si>
  <si>
    <t>new box c24.3a "from FPS41.1"</t>
  </si>
  <si>
    <t>new box c24.3a "from FPS63.1"</t>
  </si>
  <si>
    <t>new box c24.15a "c24.1 + c24.3a + c24.4a + c24.6 + c24.9 + c24.10"</t>
  </si>
  <si>
    <t>L67 changed to c24.15a</t>
  </si>
  <si>
    <t>To show restricted amount</t>
  </si>
  <si>
    <t>£up (for each FOR)</t>
  </si>
  <si>
    <t>c24.4 £up (for each FPS) added</t>
  </si>
  <si>
    <t>c24.5 £up (for each FPS) added</t>
  </si>
  <si>
    <t>c24.6 changed to "Total all instances (FOR24.1)</t>
  </si>
  <si>
    <t>c24.7 changed to "Total all instances (FOR24)</t>
  </si>
  <si>
    <t>If NRD 1 = Y calculate c12.22 and c12.23</t>
  </si>
  <si>
    <t>c12.22 and c12.23 equal zero</t>
  </si>
  <si>
    <t>The following 2 boxes are calculated at stage 29 (Income tax for non residents (c91 boxes))</t>
  </si>
  <si>
    <t>c21.10 changed from "c21.9 x Ldiv_rate (10%)" to c21.9 x DivBR_rate (7.5%)</t>
  </si>
  <si>
    <t>Total Income Tax due</t>
  </si>
  <si>
    <t>Total Class 2 National Insurance contributions due</t>
  </si>
  <si>
    <t>Changes v1.6.1</t>
  </si>
  <si>
    <t xml:space="preserve">rows with multiple options (or lines) split out </t>
  </si>
  <si>
    <t>Income Tax, Capital Gains Tax, and Class 2 National Insurance contributions due</t>
  </si>
  <si>
    <t>Employment, Foreign and Partnership income. Losses from FPS20 set against other income; balance BR to CGT; FPS Relief for Finance Costs (Landlord Loan Interest Relief)</t>
  </si>
  <si>
    <t>changed to “if (box_NRD28 = Y, box_NRD29 = N, and box_NRD33 = N)
and (NRD34 + NRD35 is greater than 0 (zero))
if box_NRD31 = Y then c19.1 = Res_non_dom_High_ch (£60,000)
else
 if box_NRD32 = Y then c19.1 = Res_non_dom_ch (£30,000)
else”
c19.1 = 0 (zero)
end if
end if
end if</t>
  </si>
  <si>
    <t>Second Finance Act</t>
  </si>
  <si>
    <t>c91.34d changed from "lower of (c8.19 + c8.21 + c8.23) x DivBR_rate (7.5%) and INC4 x DivBR_rate (7.5%)" to "INC4 x DivBR_rate (7.5%)"</t>
  </si>
  <si>
    <t>c12.12  text above cell changed to "…(c25.56 minus c25.57)" to match formula/requirements</t>
  </si>
  <si>
    <t>c5.85 text above cell changed to match formula</t>
  </si>
  <si>
    <t>c91.35 changed to "c91.31a + c91.34a + c91.34b + c91.34c +c91.34d"</t>
  </si>
  <si>
    <t>c5.56c1 changed from "(c5.56b minus c5.56c) x BR_rate (20%)" to 
"if c5.56b &gt; 0 (zero) and c5.56b minus c5.56c = 0 (zero)
c5.56c1 = 0.01
else
c5.56c1 = (c5.56b minus c5.56c) x BR_rate (20%)
end if</t>
  </si>
  <si>
    <t>if c3a.1 = 2 and</t>
  </si>
  <si>
    <t>c7.13 changed from "if SHR_rate (40%) &lt;= HR_rate (40%)
c7.13 = c6.21 + c6.55
else
c7.13 = c6.9 + c6.43
end if" to
"if SHR_rate (40%) &lt; HR_rate (40%)
c7.13 = c6.9 + c6.43
else
c7.13 = c6.21 + c6.55
end if"</t>
  </si>
  <si>
    <t>c7.15 changed from "if SHR_rate (40%) &lt;= HR_rate (40%)
c7.15 = c7.14 x (HR_rate minus BR_rate) (20%)
else
c7.15 = c7.14 x (SHR_rate minus SBR_rate) (20%)
end if" to
"if SHR_rate (40%) &lt; HR_rate (40%)
c7.15 = c7.14 x (SHR_rate minus SBR_rate) (20%)
else
c7.15 = c7.14 x (HR_rate minus BR_rate) (20%)
end if"</t>
  </si>
  <si>
    <t xml:space="preserve">c10.5 changed to "If NRD1 = N
c10.5 = 0 (zero)
else
c10.5 = INC4 x DivBR_rate (7.5%)
</t>
  </si>
  <si>
    <t>Changes v1.7.0</t>
  </si>
  <si>
    <t>c12.22 &amp; c12.23 IF statement reinstated</t>
  </si>
  <si>
    <t xml:space="preserve">L74 - relief-on-qual-distn entered in cell </t>
  </si>
  <si>
    <t>c18.58 "Copy to" changed to "copy c18.56 + c18.57 + c18.58 to box c9.35"</t>
  </si>
  <si>
    <t>IF statement - TRU26 changed to TRU25 and FOR13.1 added</t>
  </si>
  <si>
    <t>c4.29 formula deleted</t>
  </si>
  <si>
    <t>c4.32 formula deleted</t>
  </si>
  <si>
    <t>c21.4 formula deleted</t>
  </si>
  <si>
    <t>c21.3 formula deleted</t>
  </si>
  <si>
    <t>c5.58d formula deleted</t>
  </si>
  <si>
    <t>IF(AND(tax_charged&gt;IT_after_allces,IT_after_gift_aid&gt;IT_after_allces),1,0)</t>
  </si>
  <si>
    <t>CGTax</t>
  </si>
  <si>
    <t>IRCX/SA3202_interface</t>
  </si>
  <si>
    <t>L79 CGTax 9.35 added</t>
  </si>
  <si>
    <t>missing brackets added to text above c3a.2 and c3a.3</t>
  </si>
  <si>
    <t>63.1</t>
  </si>
  <si>
    <t>41.1</t>
  </si>
  <si>
    <t>FPS63.1</t>
  </si>
  <si>
    <t>FPS41.1</t>
  </si>
  <si>
    <t>63A, 41A 24A changed to 63.1, 41.1 and 24.1</t>
  </si>
  <si>
    <t>PRO45 deleted</t>
  </si>
  <si>
    <t xml:space="preserve">FPS63A and FPS41A 24A changed to FPS63.1 and FPS41.1 </t>
  </si>
  <si>
    <t>c10.4 changed rate to 7.5%</t>
  </si>
  <si>
    <t>Components: YPD=2, INC-A=15, REL-A=8, FIN=1, Emp-A=12, DoB =not present</t>
  </si>
  <si>
    <t>Components: YPD=1, INC-A=17, INC-B=12, DoB =17/11/1978</t>
  </si>
  <si>
    <t>Components: YPD=1, INC-A=4, INC-C=1, REL-B=1, FIN=1, SSE=2, PRO=1, DoB =17/11/1978</t>
  </si>
  <si>
    <t>Components: YPD=1, INC-A=18, INC-B=13, REL-B=1, FIN=1, DoB =17/11/1978</t>
  </si>
  <si>
    <t>Components: YPD=1, INC-A=1, INC-B=1, REL-A=9, REL-B=1, FIN=1, Emp-A=7, PRO=1, CAL=4, DoB =03/06/1934, NIC exempt</t>
  </si>
  <si>
    <t>Components: YPD=1, INC-A=19, INC-B=9, INC-C=6, FIN=1, DoB =03/06/1934</t>
  </si>
  <si>
    <t>Components: YPD=2, INC-A=1, INC-B=1, REL-C=1, FIN=1, PRO=11, DoB =17/11/1978</t>
  </si>
  <si>
    <t>Components: YPD=1, INC-A=23, INC-B=1, FIN=1, Emp-A=8, DoB =17/11/1978</t>
  </si>
  <si>
    <t>Components: YPD=1, INC-A=20, FIN=1, Emp-A=13, DoB =17/11/1978</t>
  </si>
  <si>
    <t>Components: YPD=1, INC-A=21, FIN=1, Emp-A=14, DoB =17/11/1978</t>
  </si>
  <si>
    <t>Components: YPD=1, INC-A=22, INC-B=14, INC-C=1, REL-C=1, FIN=1, DoB =not present</t>
  </si>
  <si>
    <t>Components: YPD=2, INC-A=8, FIN=1, ASE-A=1, Emp-A=1, CGT=4, DoB =17/11/1978</t>
  </si>
  <si>
    <t>Components: YPD=2, INC-A=5, INC-B=2, REL-B=2, MAT=4, FIN=1, AOI-C=3, SSE=2, CGT=13, DoB =17/11/1978</t>
  </si>
  <si>
    <t>Components: YPD=1, INC-A=1, MAT=1, FIN=1, Emp-A=13, SSE=3, NI2=6, DoB =not present, NIC2 voluntary</t>
  </si>
  <si>
    <t>Components: YPD=1, FIN=1, AIL=9, Emp-A=11, FOR=4, DoB =not present</t>
  </si>
  <si>
    <t>Changes v1.7.1</t>
  </si>
  <si>
    <t>FSE=9 amount in FSE78 now exceeds amount in FSE77 - component changedtest case 197 was affected</t>
  </si>
  <si>
    <t>If present NRD7 must be present</t>
  </si>
  <si>
    <t>for component NRD=1 &amp; NRD=2 NRD7 changed from N to Y (new validation rule for 2017-18 - an entry in NRD8 should not be present if not NRD7</t>
  </si>
  <si>
    <t>Test case 6 DoB changed from 2 to 4 - to match STR_Tester</t>
  </si>
  <si>
    <t>Components: YPD=2, INC-A=10, INC-B=1, FIN=1, FSE=10, NI2=10, DoB =03/01/1955, NIC exempt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</si>
  <si>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</si>
  <si>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</si>
  <si>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</si>
  <si>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</si>
  <si>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</si>
  <si>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</si>
  <si>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r>
      <rPr>
        <b/>
        <sz val="8"/>
        <rFont val="Arial"/>
        <family val="2"/>
      </rPr>
      <t>a)</t>
    </r>
    <r>
      <rPr>
        <sz val="8"/>
        <rFont val="Arial"/>
        <family val="2"/>
      </rPr>
      <t xml:space="preserve"> Total of PRO5, PRO11, PRO20, PRO22, PRO23, PRO31 must not exceed £150,000 (Cash basis threshold) if PRO5.2 &amp; PRO20.2 &amp; PRO18 are absent
</t>
    </r>
    <r>
      <rPr>
        <b/>
        <sz val="8"/>
        <rFont val="Arial"/>
        <family val="2"/>
      </rPr>
      <t>b)</t>
    </r>
    <r>
      <rPr>
        <sz val="8"/>
        <rFont val="Arial"/>
        <family val="2"/>
      </rPr>
      <t xml:space="preserve"> Total of PRO20, PRO22, PRO23, PRO31 must not exceed £150,000 (Cash basis threshold) if PRO5.2 is absent but PRO18 is present
c</t>
    </r>
    <r>
      <rPr>
        <b/>
        <sz val="8"/>
        <rFont val="Arial"/>
        <family val="2"/>
      </rPr>
      <t xml:space="preserve">) </t>
    </r>
    <r>
      <rPr>
        <sz val="8"/>
        <rFont val="Arial"/>
        <family val="2"/>
      </rPr>
      <t>PRO20.1 must be less than or equal to the sum of PRO20 &amp; PRO31</t>
    </r>
  </si>
  <si>
    <r>
      <rPr>
        <b/>
        <sz val="8"/>
        <rFont val="Arial"/>
        <family val="2"/>
      </rPr>
      <t>a</t>
    </r>
    <r>
      <rPr>
        <sz val="8"/>
        <rFont val="Arial"/>
        <family val="2"/>
      </rPr>
      <t>) If present, must be less than or equal to £375,000</t>
    </r>
    <r>
      <rPr>
        <sz val="8"/>
        <color rgb="FFFF0000"/>
        <rFont val="Arial"/>
        <family val="2"/>
      </rPr>
      <t xml:space="preserve">*
</t>
    </r>
    <r>
      <rPr>
        <b/>
        <sz val="8"/>
        <color theme="1"/>
        <rFont val="Arial"/>
        <family val="2"/>
      </rPr>
      <t>b</t>
    </r>
    <r>
      <rPr>
        <sz val="8"/>
        <color theme="1"/>
        <rFont val="Arial"/>
        <family val="2"/>
      </rPr>
      <t>) If present, PRO5.2, PRO20.2 &amp; PRO18 must be absent</t>
    </r>
  </si>
  <si>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</si>
  <si>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</si>
  <si>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</si>
  <si>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</si>
  <si>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</si>
  <si>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</si>
  <si>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If entries in any of PRO24, PRO25, PR26, PRO27, PRO28, PRO2P, PRO30, PRO32, PRO34, PRO35, PRO36, PRO37, PRO41, PRO42 &amp; PRO44 then PRO20.1 must be absent</t>
  </si>
  <si>
    <t>5.1</t>
  </si>
  <si>
    <t>5.2</t>
  </si>
  <si>
    <t>20.2</t>
  </si>
  <si>
    <t>20.1</t>
  </si>
  <si>
    <t>PRO20.2 for components PRO=4, 5, 6, &amp; 8 changed to "Y"</t>
  </si>
  <si>
    <t>PRO5.1 &amp; PRO5.2 added x 2 and PRO201 &amp; PRO20.2 added</t>
  </si>
  <si>
    <t>PRO5.1 &amp; PRO5.2 x 2 and PRO201 &amp; PRO20.2 named &amp; other new boxes FPS41.1, FPS63.1. FPS_AF1, FPS_AF2, FOR13.1 named</t>
  </si>
  <si>
    <t>FOR14.1</t>
  </si>
  <si>
    <t>FOR14.2</t>
  </si>
  <si>
    <t>Property income allowance</t>
  </si>
  <si>
    <t>FOR14.1 &amp; FOR14.2 added</t>
  </si>
  <si>
    <t>FOR14.2 for component FOR=8 changed to "Y"</t>
  </si>
  <si>
    <t>FOR14.1 &amp; FOR14.2 named</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</si>
  <si>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</si>
  <si>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</si>
  <si>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</si>
  <si>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</si>
  <si>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</si>
  <si>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</si>
  <si>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</si>
  <si>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</si>
  <si>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</si>
  <si>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</si>
  <si>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</si>
  <si>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NRD23.1, NRD23.2 &amp; NRD23.3 added</t>
  </si>
  <si>
    <t>NRD28 for component NRD=10 changed from "Y" to "N"</t>
  </si>
  <si>
    <t>NRD23.1, NRD23.2 &amp; NRD23.3 named</t>
  </si>
  <si>
    <t>23.1</t>
  </si>
  <si>
    <t>23.2</t>
  </si>
  <si>
    <t>23.3</t>
  </si>
  <si>
    <t>SSE10.1</t>
  </si>
  <si>
    <t>Trading income allowance</t>
  </si>
  <si>
    <t>If SSE23, SSE24 &amp; SSE25 are present, SSE10.1 must be absent</t>
  </si>
  <si>
    <t>a)Where SSE22 + SSE23 + SSE24 + SSE25 minus (SSE21 + SSE26 + SSE27) is positive or zero SSE32 must equal that sum. 
b)Cannot be negative.
c)If present, SSE10.1 must be absent</t>
  </si>
  <si>
    <t>FSE16.1</t>
  </si>
  <si>
    <t>a) If present must be less than or equal to £1000 (Trading allowance) 
b) If present FSE31, FSE46, FSE49, FSE50, FSE51, FSE52, FSE55, FSE56 &amp; FSE57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</si>
  <si>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FSE31 &amp; FSE46 are present, FSE16.1 must be absent</t>
    </r>
  </si>
  <si>
    <t>a)Equal to FSE49 + FSE50 + FSE51 + FSE52 + FSE55 + FSE56 
b)If FSE49, FSE50, FSE51, FSE52, FSE55, FSE56 &amp; FSE57 present, FSE16.1 must be absent</t>
  </si>
  <si>
    <t>FSE69 must be present if FSE16.1 &amp; FSE77 are present</t>
  </si>
  <si>
    <t>SSE10.1 &amp; FSE16.1 added</t>
  </si>
  <si>
    <t>10.1</t>
  </si>
  <si>
    <t>16.1</t>
  </si>
  <si>
    <t>SSE10.1 &amp; FSE16.1 named</t>
  </si>
  <si>
    <r>
      <t>a) If SSE20 is present and greater than zero and SSE9 is equal to or greater than £85,000, there must be an entry in at least one of SSE11 to SSE19 and SSE20 must equal the total of those boxes. 
b) If present, SSE10.1 must</t>
    </r>
    <r>
      <rPr>
        <sz val="8"/>
        <color rgb="FFFF0000"/>
        <rFont val="Arial"/>
        <family val="2"/>
      </rPr>
      <t xml:space="preserve"> </t>
    </r>
    <r>
      <rPr>
        <sz val="8"/>
        <rFont val="Arial"/>
        <family val="2"/>
      </rPr>
      <t>be absent</t>
    </r>
  </si>
  <si>
    <t>c6.18 changed from "lower of (c6.11 minus (c6.14 + c6.17)) and ((BR_band (£33,500) + c4.59) minus (c6.6 + c6.14 + c6.17))" to "lower of (c6.11 minus (c6.14 + c6.17)) and ((BR_band (£33,500) + c4.59) minus (c6.6 + c6.7 + c6.14 + c6.17))"</t>
  </si>
  <si>
    <t>Enhancement - Ordering of reliefs and allowances - Lump Sum versus Starting Rate Band</t>
  </si>
  <si>
    <t>Changes v1.8.0</t>
  </si>
  <si>
    <t>Update to component sheet in v1.7.1 changed NRD28 from "Y" to "N" - it was failing new validation rules for Finance Bill 2 changes. Further update in v1.8.0 because previous change meant NRD1 converted from "N" to "Y". Changed NRD1 to "N". No further changes</t>
  </si>
  <si>
    <t>2017-18: test case changed to Scottish.</t>
  </si>
  <si>
    <t>New test case 2017-18. Subsequent test cases moved down so 88 now at 89 etc. Changed to rUK in v1.8.0 because tc88 was exactly the same as tc87. One test case was to be Scottish and one rUK</t>
  </si>
  <si>
    <t>Property with loss from FL to c/f to lettings inc (PRO17), Dividends chargeable at Adiv_rate, Deficiency relief on both savings and dividends.</t>
  </si>
  <si>
    <t>Components: YPD=1, INC-A=8, REL-A=7, REL-B=4, FIN=1, AOI-B=7, AOR=5, FSE=2, NI2=4, PRO=7, DoB =17/11/1978</t>
  </si>
  <si>
    <t>Component for NRD=10 formula for NRD1 overwritten with "N". This is for test case 212 only.</t>
  </si>
  <si>
    <t>TEST CASE 206 but now with no Remittance Basis Charge for 17 of 20 years following FB2 of 2017-18</t>
  </si>
  <si>
    <t>Test case 88 YPD3 (Scottish) changed to YPD2 (rUK). Test case 87 and 88 were exactly same - one should have been rUK and one Scottish.</t>
  </si>
  <si>
    <t>c5.56c1 changed from "if c5.56b &gt; 0 (zero) and c5.56b minus c5.56c = 0 (zero)
c5.56c1 = 0.01
else
c5.56c1 = (c5.56b minus c5.56c) x BR_rate (20%)
end if" to
"if c5.56b &gt; 0 (zero) and c5.56b minus c5.56c = 0 (zero)
c5.56c1 = 0.01 minus c5.50
else
c5.56c1 = (c5.56b minus c5.56c) x BR_rate (20%)
end if"</t>
  </si>
  <si>
    <t>Changes v1.9.0</t>
  </si>
  <si>
    <t>Changes v1.9.1</t>
  </si>
  <si>
    <t>c10.4 changed back to Ldiv_rate 10% as v1.7.0 change missed from requirements</t>
  </si>
  <si>
    <t>Changes v1.10.0</t>
  </si>
  <si>
    <t>c10.5 "pdown" added</t>
  </si>
  <si>
    <t>c7.9, c7.13 and c7.15 formulae changed so zero returned when UK customer</t>
  </si>
  <si>
    <t>Enter the number of years you’ve been resident in the UK in the previous 20 years</t>
  </si>
  <si>
    <t>test cases failing validation</t>
  </si>
  <si>
    <t>Test cases: 110, 201, 37, 47, 84</t>
  </si>
  <si>
    <t>error on the tc_template page of the MTR Tester in cell T14 (SSE10.1), which references cell B14 of page C3 (SSE11) rather than cell B13 of page C3 (SSE10.1).</t>
  </si>
  <si>
    <t>Test cases: 100, 103, 108, 131, 178, 179, 197, 35, 67, 78, 86, 98</t>
  </si>
  <si>
    <t xml:space="preserve">Test case 212 </t>
  </si>
  <si>
    <t>Changes to PRO5.2 so match to PRO20.2 where PRO5-19 completed</t>
  </si>
  <si>
    <t>[NRD30] is present so at least one of [NRD23.1] and [NRD23.2] must be present.' Test case criteria 10 changed</t>
  </si>
  <si>
    <t>Changes v1.10.1</t>
  </si>
  <si>
    <t xml:space="preserve">NRD23.3 fails the following validation: '19.00' is not a valid value for 'integer'. NRD23.3 is 19 on the C8C9C10 page, which would be a valid integer entry, but it is converted to 19.00 on the tc_template page in error. The tc_template was updated
</t>
  </si>
  <si>
    <t>Test case 179</t>
  </si>
  <si>
    <t>Where both an occurrence of [FOR14] and a [PRO5-19] with [PRO5] and [PRO18] present, the value of [FOR14.2] and the value of [PRO5.2] from that occurrence of [PRO5-19] must be the same.' (validation constraint {{1029}})</t>
  </si>
  <si>
    <t>test case calculation</t>
  </si>
  <si>
    <t>IF statement changed to "If PRO44 + TRU25 + FOR13.1 + total all instances (FPS41.1 + FPS63.1 +
FOR24.1) = 0 (zero)
set c24.1 to c24.17 to zero
else"</t>
  </si>
  <si>
    <t>c6.52 changed to "lower of (c6.45 minus (c6.48 + c6.51)) and
((BR_band (£33,500) + c4.59) minus
(c6.6 + c6.7 +  c6.14 + c6.17 + c6.18 + 
c6.26 + c6.40 + c6.41 + c6.48 + c6.51))"</t>
  </si>
  <si>
    <t>c24.7 = sum of FOR24 for each instance. The calc spec states "If any box in this stage is minus substitute zero" for stage 24. The MTR Tester cell formula for c24.7 can return a negative number, since FOR24 can be negative and the cell formula does not prevent a negative number from being returned. This has caused some of the test cases to diverge from the expected values. For example, in test case 209, c24.7 is calculated by the MTR Tester to be -2277, whereas c24.7 should return zero according to the calc spec. Formula updated.</t>
  </si>
  <si>
    <t>Test cases 209, 210, 211, &amp; 212</t>
  </si>
  <si>
    <t>Changes v1.10.2</t>
  </si>
  <si>
    <t xml:space="preserve">Test cases 131, 178, &amp; 179 </t>
  </si>
  <si>
    <t>Pre-validation rule: 'Where both an occurrence of [FOR14] and a [PRO5-19] with [PRO5] and [PRO18] present, the value of [FOR14.2] and the value of [PRO5.2] from that occurrence of [PRO5-19] must be the same.' (validation constraint {{1029}}). Test case criteria 8 changed for PRO5.2 (both instances) &amp; PRO20.2 changed to remove Y to match FOR</t>
  </si>
  <si>
    <t>Test cases are invalid against the schematron: '[PRO32] must not be present if [PRO20.2] is absent'(validation constraint {{1000}}). Test case criteria 8 changed for PRO32 from £1,000 to £0 and PRO29 changed from £2,000 to £3,000 to compensate and not change the test cases results.</t>
  </si>
  <si>
    <t>If this goes beyond this line you will need to change the Range at the end of the 'Sub test_this_case()' as shown below</t>
  </si>
  <si>
    <t>'Write Test case sheet</t>
  </si>
  <si>
    <t>Sheets("tc_template").Range("A1:BJ77").Copy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</si>
  <si>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</si>
  <si>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</si>
  <si>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</si>
  <si>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</si>
  <si>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</si>
  <si>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</si>
  <si>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</si>
  <si>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</si>
  <si>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</si>
  <si>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</si>
  <si>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There was an error on the tc_template in cell BA28 (TRU25), which referenced cell B27 of page C7 (TRU26) rather than cell B26 of page C7 (TRU25).</t>
  </si>
  <si>
    <t>test case 47.</t>
  </si>
  <si>
    <t>There was a discrepancy between the calc spec and the MTR Tester for the result of test case 6. (This test case was not present for the 2016-17 calculator). FSE96, FSE99, FSE100 &amp; FSE101 completed so expected boxes completed - including Class 4 Exempt tick box</t>
  </si>
  <si>
    <t>c15</t>
  </si>
  <si>
    <t>c15.21 changed from "if box MCA3 = Y or box MCA4 = Y
c15.21 = c15.15 minus c15.20
else
if box MCA6 = Y or box MCA7 = Y
c15.21 = c15.20
else
c15.21 = 0 (zero)
end if
end if" to
"if box MCA1 is present
c15.21 = c15.15 minus c15.20
else
if box MCA8 is present
c15.21 = c15.20
else
c15.21 = 0 (zero)
end if
end if"</t>
  </si>
  <si>
    <t>Change required to readable text only. Formula in cell unchanged. Test cases: 8, 47, 52, 57, 65, 67, 71, 73, 75, 77, 149, 172.</t>
  </si>
  <si>
    <t>c25.27 £down added</t>
  </si>
  <si>
    <t>c7.11 and c7.15 formulae updated</t>
  </si>
  <si>
    <t>L79 fixed so now displays correctly</t>
  </si>
  <si>
    <t>Selected  = 0/0/0</t>
  </si>
  <si>
    <t>Selected  = 0</t>
  </si>
  <si>
    <t>Test case 203</t>
  </si>
  <si>
    <t>Selected  = 0/2/0</t>
  </si>
  <si>
    <t>Selected  = 9</t>
  </si>
  <si>
    <t>Selected  = 6</t>
  </si>
  <si>
    <t>Selected  = 2/11/0</t>
  </si>
  <si>
    <t>02/02/2014</t>
  </si>
  <si>
    <t>Changes v1.10.3</t>
  </si>
  <si>
    <t>PRO43 formula entered in cell M65</t>
  </si>
  <si>
    <t>test case</t>
  </si>
  <si>
    <t>CL1</t>
  </si>
  <si>
    <t>EMPCL1 and MORCL1 changed to CL1 to reflect naming conventions in this section</t>
  </si>
  <si>
    <t>SA411144</t>
  </si>
  <si>
    <t xml:space="preserve">FSE58 - figure in cell k102 deleted as no longer in use </t>
  </si>
  <si>
    <t>c13</t>
  </si>
  <si>
    <t>c13.8 formula corrected</t>
  </si>
  <si>
    <t xml:space="preserve">FSE58 - crossed through and formula deleted as no longer in use </t>
  </si>
  <si>
    <t>Version E1.10.3</t>
  </si>
  <si>
    <t>last revised 12/12/17</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</si>
</sst>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6" formatCode="&quot;£&quot;#,##0;[Red]\-&quot;£&quot;#,##0"/>
    <numFmt numFmtId="7" formatCode="&quot;£&quot;#,##0.00;\-&quot;£&quot;#,##0.00"/>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_ ;\-#,##0\ "/>
    <numFmt numFmtId="166" formatCode="#,##0.00_ ;\-#,##0.00\ "/>
    <numFmt numFmtId="167" formatCode="0.000"/>
    <numFmt numFmtId="168" formatCode="0.0000"/>
    <numFmt numFmtId="169" formatCode="_-* #,##0_-;\-* #,##0_-;_-* &quot;-&quot;??_-;_-@_-"/>
    <numFmt numFmtId="170" formatCode="0.0%"/>
    <numFmt numFmtId="171" formatCode="&quot;£&quot;#,##0.00"/>
    <numFmt numFmtId="172" formatCode="&quot;£&quot;#,##0"/>
    <numFmt numFmtId="173" formatCode="0.00_ ;\-0.00\ "/>
    <numFmt numFmtId="174" formatCode="dd/mm/yyyy;@"/>
    <numFmt numFmtId="175" formatCode="0.00;[Red]0.00"/>
    <numFmt numFmtId="176" formatCode="0;[Red]0"/>
    <numFmt numFmtId="177" formatCode="0.00000000000000"/>
    <numFmt numFmtId="178" formatCode="0.0000000000"/>
    <numFmt numFmtId="179" formatCode="0_ ;\-0\ "/>
    <numFmt numFmtId="180" formatCode="0.0000000000000"/>
    <numFmt numFmtId="181" formatCode="0.000000000"/>
  </numFmts>
  <fonts count="182"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sz val="8"/>
      <color indexed="9"/>
      <name val="Arial"/>
      <family val="2"/>
    </font>
    <font>
      <u/>
      <sz val="10"/>
      <name val="Arial"/>
      <family val="2"/>
    </font>
    <font>
      <sz val="10"/>
      <name val="Times New Roman"/>
      <family val="1"/>
    </font>
    <font>
      <b/>
      <sz val="10"/>
      <color indexed="9"/>
      <name val="Arial"/>
      <family val="2"/>
    </font>
    <font>
      <b/>
      <sz val="8"/>
      <color indexed="9"/>
      <name val="Arial"/>
      <family val="2"/>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9"/>
      <color indexed="8"/>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sz val="9"/>
      <color indexed="40"/>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u/>
      <sz val="9"/>
      <color indexed="10"/>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u/>
      <sz val="9"/>
      <color rgb="FFFF0000"/>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rgb="FFFF000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8"/>
      <color indexed="17"/>
      <name val="Arial"/>
      <family val="2"/>
    </font>
    <font>
      <strike/>
      <sz val="9"/>
      <color indexed="10"/>
      <name val="Arial"/>
      <family val="2"/>
    </font>
    <font>
      <b/>
      <sz val="12"/>
      <color rgb="FFFF0000"/>
      <name val="Arial"/>
      <family val="2"/>
    </font>
    <font>
      <sz val="9"/>
      <color rgb="FF339966"/>
      <name val="Arial"/>
      <family val="2"/>
    </font>
    <font>
      <i/>
      <sz val="9"/>
      <color theme="0" tint="-0.499984740745262"/>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b/>
      <u/>
      <sz val="9"/>
      <color rgb="FFFF0000"/>
      <name val="Arial"/>
      <family val="2"/>
    </font>
    <font>
      <sz val="10"/>
      <color theme="0" tint="-0.499984740745262"/>
      <name val="Arial"/>
      <family val="2"/>
    </font>
    <font>
      <b/>
      <sz val="16"/>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i/>
      <sz val="10"/>
      <color rgb="FFFF0000"/>
      <name val="Arial"/>
      <family val="2"/>
    </font>
    <font>
      <b/>
      <sz val="10"/>
      <color rgb="FFFF0000"/>
      <name val="Arial"/>
      <family val="2"/>
    </font>
    <font>
      <i/>
      <sz val="10"/>
      <color rgb="FF339966"/>
      <name val="Arial"/>
      <family val="2"/>
    </font>
    <font>
      <sz val="9"/>
      <color rgb="FF000080"/>
      <name val="Arial"/>
      <family val="2"/>
    </font>
    <font>
      <b/>
      <strike/>
      <sz val="9"/>
      <color indexed="21"/>
      <name val="Arial"/>
      <family val="2"/>
    </font>
    <font>
      <i/>
      <sz val="10"/>
      <color rgb="FF000000"/>
      <name val="Arial"/>
      <family val="2"/>
    </font>
    <font>
      <b/>
      <i/>
      <sz val="10"/>
      <color rgb="FF00000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strike/>
      <sz val="9"/>
      <color rgb="FF008080"/>
      <name val="Arial"/>
      <family val="2"/>
    </font>
    <font>
      <b/>
      <strike/>
      <sz val="9"/>
      <color indexed="18"/>
      <name val="Arial"/>
      <family val="2"/>
    </font>
    <font>
      <b/>
      <strike/>
      <sz val="9"/>
      <color theme="0" tint="-0.34998626667073579"/>
      <name val="Arial"/>
      <family val="2"/>
    </font>
    <font>
      <strike/>
      <sz val="8"/>
      <color indexed="12"/>
      <name val="Arial"/>
      <family val="2"/>
    </font>
    <font>
      <sz val="10"/>
      <color rgb="FF339966"/>
      <name val="Arial"/>
      <family val="2"/>
    </font>
    <font>
      <sz val="8"/>
      <color rgb="FF0000FF"/>
      <name val="Arial"/>
      <family val="2"/>
    </font>
    <font>
      <b/>
      <sz val="8"/>
      <color theme="1"/>
      <name val="Arial"/>
      <family val="2"/>
    </font>
    <font>
      <sz val="8"/>
      <color theme="1"/>
      <name val="Arial"/>
      <family val="2"/>
    </font>
  </fonts>
  <fills count="36">
    <fill>
      <patternFill patternType="none"/>
    </fill>
    <fill>
      <patternFill patternType="gray125"/>
    </fill>
    <fill>
      <patternFill patternType="solid">
        <fgColor indexed="57"/>
        <bgColor indexed="64"/>
      </patternFill>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8"/>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indexed="43"/>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D9E848"/>
        <bgColor indexed="64"/>
      </patternFill>
    </fill>
    <fill>
      <patternFill patternType="solid">
        <fgColor theme="0" tint="-0.249977111117893"/>
        <bgColor indexed="64"/>
      </patternFill>
    </fill>
    <fill>
      <patternFill patternType="solid">
        <fgColor rgb="FF00B0F0"/>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rgb="FFFF0000"/>
        <bgColor indexed="64"/>
      </patternFill>
    </fill>
    <fill>
      <patternFill patternType="solid">
        <fgColor rgb="FFFFFF99"/>
        <bgColor rgb="FF000000"/>
      </patternFill>
    </fill>
    <fill>
      <patternFill patternType="solid">
        <fgColor theme="0" tint="-0.34998626667073579"/>
        <bgColor indexed="64"/>
      </patternFill>
    </fill>
    <fill>
      <patternFill patternType="solid">
        <fgColor rgb="FFFFFF66"/>
        <bgColor indexed="64"/>
      </patternFill>
    </fill>
    <fill>
      <patternFill patternType="solid">
        <fgColor rgb="FFFFC000"/>
        <bgColor indexed="64"/>
      </patternFill>
    </fill>
    <fill>
      <patternFill patternType="solid">
        <fgColor theme="0" tint="-0.14999847407452621"/>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38"/>
      </left>
      <right/>
      <top style="thin">
        <color indexed="38"/>
      </top>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indexed="64"/>
      </left>
      <right style="medium">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thin">
        <color indexed="64"/>
      </left>
      <right style="medium">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top/>
      <bottom style="mediumDashDotDot">
        <color indexed="64"/>
      </bottom>
      <diagonal/>
    </border>
    <border>
      <left/>
      <right/>
      <top style="mediumDashDotDot">
        <color indexed="64"/>
      </top>
      <bottom style="thin">
        <color auto="1"/>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0" fontId="39"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cellStyleXfs>
  <cellXfs count="3896">
    <xf numFmtId="0" fontId="0" fillId="0" borderId="0" xfId="0"/>
    <xf numFmtId="0" fontId="0" fillId="0" borderId="0" xfId="0" applyBorder="1"/>
    <xf numFmtId="0" fontId="5" fillId="0" borderId="0" xfId="0" applyFont="1" applyBorder="1"/>
    <xf numFmtId="0" fontId="0" fillId="0" borderId="1" xfId="0" applyBorder="1"/>
    <xf numFmtId="0" fontId="5" fillId="0" borderId="0" xfId="0" applyFont="1" applyFill="1"/>
    <xf numFmtId="0" fontId="7" fillId="0" borderId="0" xfId="0" applyFont="1"/>
    <xf numFmtId="0" fontId="5" fillId="0" borderId="0" xfId="0" applyFont="1"/>
    <xf numFmtId="0" fontId="0" fillId="0" borderId="0" xfId="0" applyFill="1"/>
    <xf numFmtId="0" fontId="0" fillId="0" borderId="0" xfId="0" applyAlignment="1">
      <alignment horizontal="right"/>
    </xf>
    <xf numFmtId="2" fontId="0" fillId="0" borderId="1" xfId="0" applyNumberFormat="1" applyBorder="1"/>
    <xf numFmtId="0" fontId="7" fillId="0" borderId="0" xfId="0" applyFont="1" applyAlignment="1">
      <alignment horizontal="right"/>
    </xf>
    <xf numFmtId="0" fontId="13" fillId="0" borderId="0" xfId="0" applyFont="1" applyBorder="1" applyAlignment="1"/>
    <xf numFmtId="0" fontId="13" fillId="0" borderId="0" xfId="0" applyFont="1" applyAlignment="1"/>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0" fillId="0" borderId="1" xfId="0" applyBorder="1" applyProtection="1">
      <protection locked="0"/>
    </xf>
    <xf numFmtId="0" fontId="10" fillId="0" borderId="0" xfId="0" applyFont="1" applyAlignment="1"/>
    <xf numFmtId="0" fontId="7" fillId="0" borderId="0" xfId="0" applyFont="1" applyFill="1" applyBorder="1" applyAlignment="1"/>
    <xf numFmtId="3" fontId="4" fillId="0" borderId="1" xfId="0" applyNumberFormat="1" applyFont="1" applyFill="1" applyBorder="1" applyProtection="1">
      <protection locked="0"/>
    </xf>
    <xf numFmtId="0" fontId="0" fillId="0" borderId="1" xfId="0" applyFill="1" applyBorder="1" applyProtection="1">
      <protection locked="0"/>
    </xf>
    <xf numFmtId="0" fontId="10" fillId="0" borderId="0" xfId="0" applyFont="1"/>
    <xf numFmtId="0" fontId="10" fillId="0" borderId="0" xfId="0" applyFont="1" applyFill="1"/>
    <xf numFmtId="0" fontId="5" fillId="2" borderId="4" xfId="0" applyFont="1" applyFill="1" applyBorder="1" applyAlignment="1">
      <alignment horizontal="center"/>
    </xf>
    <xf numFmtId="1" fontId="15" fillId="2" borderId="0" xfId="0" applyNumberFormat="1" applyFont="1" applyFill="1" applyBorder="1" applyAlignment="1">
      <alignment horizontal="right"/>
    </xf>
    <xf numFmtId="0" fontId="5" fillId="0" borderId="2" xfId="0" applyFont="1" applyFill="1" applyBorder="1" applyAlignment="1">
      <alignment horizontal="center"/>
    </xf>
    <xf numFmtId="0" fontId="5" fillId="0" borderId="3" xfId="0" applyFont="1" applyFill="1" applyBorder="1" applyAlignment="1">
      <alignment horizontal="center"/>
    </xf>
    <xf numFmtId="0" fontId="5" fillId="0" borderId="4" xfId="0" applyFont="1" applyFill="1" applyBorder="1" applyAlignment="1">
      <alignment horizontal="center"/>
    </xf>
    <xf numFmtId="0" fontId="14" fillId="2" borderId="5" xfId="0" applyFont="1" applyFill="1" applyBorder="1"/>
    <xf numFmtId="0" fontId="15" fillId="2" borderId="2" xfId="0" applyFont="1" applyFill="1" applyBorder="1" applyAlignment="1">
      <alignment horizontal="center"/>
    </xf>
    <xf numFmtId="0" fontId="15" fillId="2" borderId="3" xfId="0" applyFont="1" applyFill="1" applyBorder="1" applyAlignment="1">
      <alignment horizontal="center"/>
    </xf>
    <xf numFmtId="0" fontId="15" fillId="2" borderId="4" xfId="0" applyFont="1" applyFill="1" applyBorder="1" applyAlignment="1">
      <alignment horizontal="center"/>
    </xf>
    <xf numFmtId="0" fontId="0" fillId="0" borderId="0" xfId="0" applyProtection="1">
      <protection locked="0"/>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Fill="1" applyBorder="1"/>
    <xf numFmtId="0" fontId="0" fillId="0" borderId="0" xfId="0" applyAlignment="1">
      <alignment horizontal="left"/>
    </xf>
    <xf numFmtId="0" fontId="4" fillId="0" borderId="0" xfId="0" applyFont="1"/>
    <xf numFmtId="0" fontId="4" fillId="0" borderId="0" xfId="0" applyFont="1" applyBorder="1"/>
    <xf numFmtId="0" fontId="4" fillId="0" borderId="0" xfId="0" applyFont="1" applyFill="1" applyBorder="1" applyAlignment="1">
      <alignment horizontal="left"/>
    </xf>
    <xf numFmtId="0" fontId="4" fillId="0" borderId="0" xfId="0" applyFont="1" applyFill="1" applyBorder="1"/>
    <xf numFmtId="0" fontId="4" fillId="0" borderId="0" xfId="0" applyFont="1" applyFill="1" applyBorder="1" applyAlignment="1">
      <alignment horizontal="right"/>
    </xf>
    <xf numFmtId="3" fontId="0" fillId="0" borderId="1" xfId="0" applyNumberFormat="1" applyBorder="1"/>
    <xf numFmtId="0" fontId="0" fillId="3" borderId="1" xfId="0" applyFill="1" applyBorder="1"/>
    <xf numFmtId="1" fontId="10" fillId="3" borderId="1" xfId="0" applyNumberFormat="1" applyFont="1" applyFill="1" applyBorder="1"/>
    <xf numFmtId="0" fontId="17" fillId="0" borderId="1" xfId="0" applyFont="1" applyBorder="1"/>
    <xf numFmtId="0" fontId="5" fillId="0" borderId="2" xfId="0" applyFont="1" applyBorder="1"/>
    <xf numFmtId="0" fontId="23" fillId="0" borderId="3" xfId="0" applyFont="1" applyBorder="1"/>
    <xf numFmtId="0" fontId="5" fillId="0" borderId="3" xfId="0" applyFont="1" applyBorder="1"/>
    <xf numFmtId="0" fontId="17" fillId="0" borderId="3" xfId="0" applyFont="1" applyBorder="1"/>
    <xf numFmtId="0" fontId="23" fillId="0" borderId="4" xfId="0" applyFont="1" applyBorder="1" applyAlignment="1">
      <alignment horizontal="right"/>
    </xf>
    <xf numFmtId="0" fontId="5" fillId="0" borderId="4" xfId="0" applyFont="1" applyBorder="1"/>
    <xf numFmtId="0" fontId="23" fillId="0" borderId="3" xfId="0" applyFont="1" applyBorder="1" applyAlignment="1">
      <alignment horizontal="right"/>
    </xf>
    <xf numFmtId="0" fontId="17" fillId="0" borderId="2" xfId="0" applyFont="1" applyBorder="1"/>
    <xf numFmtId="0" fontId="17" fillId="0" borderId="4" xfId="0" applyFont="1" applyBorder="1"/>
    <xf numFmtId="0" fontId="5" fillId="0" borderId="0" xfId="0" applyFont="1" applyBorder="1" applyAlignment="1">
      <alignment horizontal="center"/>
    </xf>
    <xf numFmtId="0" fontId="4" fillId="0" borderId="0" xfId="0" applyFont="1" applyFill="1" applyBorder="1" applyAlignment="1">
      <alignment horizontal="center"/>
    </xf>
    <xf numFmtId="0" fontId="8" fillId="0" borderId="0" xfId="0" applyFont="1" applyFill="1" applyBorder="1"/>
    <xf numFmtId="169" fontId="4" fillId="0" borderId="0" xfId="1" applyNumberFormat="1" applyFont="1" applyFill="1" applyBorder="1"/>
    <xf numFmtId="0" fontId="5" fillId="4" borderId="1" xfId="0" applyFont="1" applyFill="1" applyBorder="1" applyProtection="1">
      <protection locked="0"/>
    </xf>
    <xf numFmtId="1" fontId="11" fillId="2" borderId="0" xfId="0" applyNumberFormat="1" applyFont="1" applyFill="1" applyBorder="1" applyAlignment="1">
      <alignment horizontal="right" wrapText="1"/>
    </xf>
    <xf numFmtId="1" fontId="5" fillId="0" borderId="0" xfId="0" applyNumberFormat="1" applyFont="1" applyFill="1" applyBorder="1" applyAlignment="1">
      <alignment horizontal="right" wrapText="1"/>
    </xf>
    <xf numFmtId="0" fontId="5" fillId="0" borderId="1" xfId="0" applyFont="1" applyFill="1" applyBorder="1"/>
    <xf numFmtId="2" fontId="5" fillId="0" borderId="1" xfId="0" applyNumberFormat="1" applyFont="1" applyFill="1" applyBorder="1"/>
    <xf numFmtId="0" fontId="0" fillId="5" borderId="0" xfId="0" applyFill="1"/>
    <xf numFmtId="0" fontId="7" fillId="5" borderId="0" xfId="0" applyFont="1" applyFill="1" applyProtection="1"/>
    <xf numFmtId="0" fontId="0" fillId="5" borderId="0" xfId="0" applyFill="1" applyBorder="1"/>
    <xf numFmtId="0" fontId="5" fillId="5" borderId="0" xfId="0" applyFont="1" applyFill="1" applyBorder="1"/>
    <xf numFmtId="0" fontId="0" fillId="5" borderId="0" xfId="0" applyFill="1" applyProtection="1"/>
    <xf numFmtId="0" fontId="0" fillId="5" borderId="0" xfId="0" applyFill="1" applyAlignment="1" applyProtection="1">
      <alignment horizontal="right"/>
    </xf>
    <xf numFmtId="0" fontId="4" fillId="5" borderId="0" xfId="0" applyFont="1" applyFill="1" applyBorder="1" applyProtection="1"/>
    <xf numFmtId="0" fontId="18" fillId="5" borderId="0" xfId="0" applyFont="1" applyFill="1" applyAlignment="1">
      <alignment horizontal="right"/>
    </xf>
    <xf numFmtId="0" fontId="19" fillId="5" borderId="0" xfId="0" applyFont="1" applyFill="1" applyBorder="1" applyProtection="1"/>
    <xf numFmtId="0" fontId="0" fillId="4" borderId="7" xfId="0" applyFill="1" applyBorder="1"/>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5" borderId="0" xfId="0" applyFill="1" applyProtection="1">
      <protection locked="0"/>
    </xf>
    <xf numFmtId="1" fontId="5" fillId="5" borderId="0" xfId="0" applyNumberFormat="1" applyFont="1" applyFill="1" applyBorder="1" applyProtection="1">
      <protection locked="0"/>
    </xf>
    <xf numFmtId="1" fontId="5" fillId="5" borderId="9" xfId="0" applyNumberFormat="1" applyFont="1" applyFill="1" applyBorder="1" applyProtection="1">
      <protection locked="0"/>
    </xf>
    <xf numFmtId="0" fontId="6" fillId="5" borderId="0" xfId="0" applyFont="1" applyFill="1" applyProtection="1">
      <protection locked="0"/>
    </xf>
    <xf numFmtId="0" fontId="4" fillId="5" borderId="0" xfId="0" applyFont="1" applyFill="1" applyProtection="1"/>
    <xf numFmtId="0" fontId="4" fillId="5" borderId="0" xfId="0" applyFont="1" applyFill="1" applyAlignment="1" applyProtection="1">
      <alignment horizontal="right"/>
    </xf>
    <xf numFmtId="8" fontId="4" fillId="0" borderId="0" xfId="0" applyNumberFormat="1" applyFont="1" applyFill="1" applyBorder="1" applyAlignment="1">
      <alignment horizontal="left"/>
    </xf>
    <xf numFmtId="8" fontId="8" fillId="0" borderId="0" xfId="0" applyNumberFormat="1" applyFont="1" applyFill="1" applyBorder="1" applyAlignment="1"/>
    <xf numFmtId="0" fontId="4" fillId="0" borderId="0" xfId="0" applyFont="1" applyBorder="1" applyAlignment="1">
      <alignment horizontal="right"/>
    </xf>
    <xf numFmtId="0" fontId="4" fillId="0" borderId="0" xfId="0" applyFont="1" applyAlignment="1">
      <alignment horizontal="right"/>
    </xf>
    <xf numFmtId="0" fontId="4" fillId="0" borderId="0" xfId="0" applyFont="1" applyAlignment="1">
      <alignment horizontal="left"/>
    </xf>
    <xf numFmtId="0" fontId="8" fillId="0" borderId="0" xfId="0" applyFont="1" applyFill="1" applyBorder="1" applyAlignment="1"/>
    <xf numFmtId="0" fontId="30" fillId="0" borderId="0" xfId="0" applyFont="1"/>
    <xf numFmtId="0" fontId="8" fillId="0" borderId="0" xfId="0" applyFont="1" applyAlignment="1">
      <alignment horizontal="left"/>
    </xf>
    <xf numFmtId="0" fontId="7" fillId="0" borderId="13" xfId="0" applyFont="1" applyFill="1" applyBorder="1" applyAlignment="1"/>
    <xf numFmtId="0" fontId="4" fillId="0" borderId="0" xfId="0" applyFont="1" applyFill="1" applyBorder="1" applyAlignment="1"/>
    <xf numFmtId="0" fontId="6" fillId="0" borderId="1" xfId="0" applyFont="1" applyFill="1" applyBorder="1" applyAlignment="1">
      <alignment horizontal="center" wrapText="1"/>
    </xf>
    <xf numFmtId="3" fontId="5" fillId="0" borderId="1" xfId="0" applyNumberFormat="1" applyFont="1" applyFill="1" applyBorder="1"/>
    <xf numFmtId="1" fontId="5" fillId="0" borderId="1" xfId="0" applyNumberFormat="1" applyFont="1" applyFill="1" applyBorder="1"/>
    <xf numFmtId="0" fontId="4" fillId="0" borderId="0" xfId="0" applyFont="1" applyFill="1" applyBorder="1" applyAlignment="1">
      <alignment horizontal="left" indent="2"/>
    </xf>
    <xf numFmtId="0" fontId="8" fillId="0" borderId="14" xfId="0" applyFont="1" applyFill="1" applyBorder="1" applyAlignment="1"/>
    <xf numFmtId="3" fontId="4" fillId="0" borderId="0" xfId="0" applyNumberFormat="1" applyFont="1" applyFill="1" applyBorder="1" applyAlignment="1"/>
    <xf numFmtId="0" fontId="4" fillId="0" borderId="0" xfId="0" quotePrefix="1" applyFont="1" applyFill="1" applyBorder="1" applyAlignment="1">
      <alignment horizontal="right"/>
    </xf>
    <xf numFmtId="166" fontId="4" fillId="0" borderId="0" xfId="1" applyNumberFormat="1" applyFont="1" applyFill="1" applyBorder="1" applyAlignment="1"/>
    <xf numFmtId="0" fontId="4" fillId="0" borderId="0" xfId="0" quotePrefix="1" applyFont="1" applyAlignment="1">
      <alignment horizontal="center"/>
    </xf>
    <xf numFmtId="0" fontId="7" fillId="0" borderId="15" xfId="0" applyFont="1" applyFill="1" applyBorder="1" applyAlignment="1"/>
    <xf numFmtId="0" fontId="4" fillId="0" borderId="0" xfId="0" applyFont="1" applyFill="1" applyAlignment="1"/>
    <xf numFmtId="0" fontId="33" fillId="0" borderId="0" xfId="0" applyFont="1" applyFill="1" applyBorder="1" applyAlignment="1"/>
    <xf numFmtId="0" fontId="4" fillId="0" borderId="0" xfId="0" applyFont="1" applyFill="1" applyAlignment="1">
      <alignment horizontal="right"/>
    </xf>
    <xf numFmtId="0" fontId="4" fillId="0" borderId="0" xfId="0" applyFont="1" applyFill="1" applyAlignment="1">
      <alignment horizontal="left"/>
    </xf>
    <xf numFmtId="0" fontId="32" fillId="0" borderId="0" xfId="0" applyFont="1" applyFill="1" applyBorder="1" applyAlignment="1"/>
    <xf numFmtId="0" fontId="27" fillId="0" borderId="1" xfId="0" applyFont="1" applyFill="1" applyBorder="1" applyAlignment="1">
      <alignment horizontal="right"/>
    </xf>
    <xf numFmtId="3" fontId="4" fillId="0" borderId="1" xfId="0" applyNumberFormat="1" applyFont="1" applyBorder="1" applyProtection="1"/>
    <xf numFmtId="3" fontId="4" fillId="0" borderId="0" xfId="0" applyNumberFormat="1" applyFont="1" applyProtection="1"/>
    <xf numFmtId="0" fontId="4" fillId="0" borderId="0" xfId="0" applyFont="1" applyProtection="1"/>
    <xf numFmtId="0" fontId="4" fillId="0" borderId="1" xfId="0" applyFont="1" applyBorder="1" applyProtection="1">
      <protection locked="0"/>
    </xf>
    <xf numFmtId="0" fontId="4" fillId="0" borderId="1" xfId="0" applyFont="1" applyBorder="1"/>
    <xf numFmtId="3" fontId="4" fillId="0" borderId="1" xfId="0" applyNumberFormat="1" applyFont="1" applyBorder="1"/>
    <xf numFmtId="1" fontId="4" fillId="0" borderId="0" xfId="2" applyNumberFormat="1" applyFont="1" applyFill="1" applyBorder="1"/>
    <xf numFmtId="44" fontId="4" fillId="0" borderId="0" xfId="2" applyFont="1" applyFill="1" applyBorder="1" applyAlignment="1">
      <alignment horizontal="right"/>
    </xf>
    <xf numFmtId="0" fontId="4" fillId="0" borderId="17" xfId="0" applyFont="1" applyFill="1" applyBorder="1"/>
    <xf numFmtId="0" fontId="4" fillId="0" borderId="1" xfId="0" applyFont="1" applyFill="1" applyBorder="1"/>
    <xf numFmtId="1" fontId="4" fillId="0" borderId="1" xfId="2" applyNumberFormat="1" applyFont="1" applyFill="1" applyBorder="1"/>
    <xf numFmtId="1" fontId="4" fillId="0" borderId="0" xfId="2" applyNumberFormat="1" applyFont="1" applyFill="1" applyBorder="1" applyAlignment="1">
      <alignment horizontal="right"/>
    </xf>
    <xf numFmtId="1" fontId="4" fillId="0" borderId="1" xfId="0" applyNumberFormat="1" applyFont="1" applyFill="1" applyBorder="1"/>
    <xf numFmtId="169" fontId="4" fillId="0" borderId="1" xfId="1" applyNumberFormat="1" applyFont="1" applyFill="1" applyBorder="1"/>
    <xf numFmtId="2" fontId="4" fillId="0" borderId="16" xfId="0" applyNumberFormat="1" applyFont="1" applyFill="1" applyBorder="1"/>
    <xf numFmtId="0" fontId="35" fillId="0" borderId="0" xfId="0" applyFont="1" applyFill="1" applyBorder="1" applyAlignment="1">
      <alignment horizontal="center"/>
    </xf>
    <xf numFmtId="0" fontId="35" fillId="0" borderId="0" xfId="0" applyFont="1" applyFill="1" applyBorder="1"/>
    <xf numFmtId="1" fontId="4" fillId="0" borderId="1" xfId="2" applyNumberFormat="1" applyFont="1" applyFill="1" applyBorder="1" applyProtection="1">
      <protection locked="0"/>
    </xf>
    <xf numFmtId="3" fontId="4" fillId="0" borderId="1" xfId="2" applyNumberFormat="1" applyFont="1" applyFill="1" applyBorder="1"/>
    <xf numFmtId="2" fontId="4" fillId="0" borderId="1" xfId="2" applyNumberFormat="1" applyFont="1" applyFill="1" applyBorder="1"/>
    <xf numFmtId="166" fontId="4" fillId="0" borderId="1" xfId="0" applyNumberFormat="1" applyFont="1" applyFill="1" applyBorder="1"/>
    <xf numFmtId="1" fontId="4" fillId="0" borderId="16" xfId="0" applyNumberFormat="1" applyFont="1" applyFill="1" applyBorder="1"/>
    <xf numFmtId="0" fontId="2" fillId="0" borderId="0" xfId="0" applyFont="1" applyFill="1" applyBorder="1"/>
    <xf numFmtId="44" fontId="4" fillId="0" borderId="0" xfId="0" applyNumberFormat="1" applyFont="1" applyFill="1" applyBorder="1"/>
    <xf numFmtId="0" fontId="8" fillId="0" borderId="0" xfId="0" applyFont="1"/>
    <xf numFmtId="2" fontId="8" fillId="0" borderId="0" xfId="0" applyNumberFormat="1" applyFont="1" applyFill="1" applyBorder="1" applyAlignment="1">
      <alignment horizontal="left"/>
    </xf>
    <xf numFmtId="2" fontId="4" fillId="0" borderId="0" xfId="0" applyNumberFormat="1" applyFont="1" applyFill="1" applyBorder="1" applyAlignment="1">
      <alignment horizontal="left"/>
    </xf>
    <xf numFmtId="2" fontId="8" fillId="0" borderId="0" xfId="0" applyNumberFormat="1" applyFont="1" applyFill="1" applyBorder="1"/>
    <xf numFmtId="2" fontId="4" fillId="0" borderId="0" xfId="0" applyNumberFormat="1" applyFont="1" applyFill="1" applyBorder="1"/>
    <xf numFmtId="2" fontId="4" fillId="0" borderId="0" xfId="0" applyNumberFormat="1" applyFont="1" applyFill="1"/>
    <xf numFmtId="2" fontId="4" fillId="0" borderId="0" xfId="0" applyNumberFormat="1" applyFont="1" applyFill="1" applyBorder="1" applyAlignment="1">
      <alignment horizontal="right"/>
    </xf>
    <xf numFmtId="2" fontId="4" fillId="0" borderId="1" xfId="0" applyNumberFormat="1" applyFont="1" applyFill="1" applyBorder="1"/>
    <xf numFmtId="0" fontId="37" fillId="0" borderId="0" xfId="0" applyFont="1" applyFill="1" applyBorder="1"/>
    <xf numFmtId="0" fontId="4" fillId="0" borderId="0" xfId="0" applyFont="1" applyFill="1"/>
    <xf numFmtId="0" fontId="4" fillId="0" borderId="1" xfId="0" applyFont="1" applyFill="1" applyBorder="1" applyProtection="1">
      <protection locked="0"/>
    </xf>
    <xf numFmtId="0" fontId="4" fillId="0" borderId="0" xfId="0" applyFont="1" applyFill="1" applyProtection="1"/>
    <xf numFmtId="0" fontId="4" fillId="5" borderId="0" xfId="0" applyFont="1" applyFill="1" applyAlignment="1" applyProtection="1">
      <alignment horizontal="center"/>
    </xf>
    <xf numFmtId="0" fontId="4" fillId="0" borderId="0" xfId="0" applyFont="1" applyAlignment="1" applyProtection="1">
      <alignment horizontal="center"/>
    </xf>
    <xf numFmtId="0" fontId="4" fillId="0" borderId="2" xfId="0" applyFont="1" applyBorder="1" applyAlignment="1" applyProtection="1">
      <alignment horizontal="right"/>
    </xf>
    <xf numFmtId="0" fontId="4" fillId="0" borderId="0" xfId="0" applyFont="1" applyAlignment="1" applyProtection="1">
      <alignment horizontal="right"/>
    </xf>
    <xf numFmtId="1" fontId="4" fillId="0" borderId="0" xfId="0" applyNumberFormat="1" applyFont="1" applyFill="1" applyBorder="1" applyAlignment="1">
      <alignment horizontal="right"/>
    </xf>
    <xf numFmtId="3" fontId="5" fillId="0" borderId="1" xfId="2" applyNumberFormat="1" applyFont="1" applyBorder="1" applyProtection="1">
      <protection locked="0"/>
    </xf>
    <xf numFmtId="3" fontId="5" fillId="0" borderId="1" xfId="2" applyNumberFormat="1" applyFont="1" applyFill="1" applyBorder="1" applyProtection="1">
      <protection locked="0"/>
    </xf>
    <xf numFmtId="3" fontId="5" fillId="5" borderId="9" xfId="0" applyNumberFormat="1" applyFont="1" applyFill="1" applyBorder="1" applyProtection="1">
      <protection locked="0"/>
    </xf>
    <xf numFmtId="3" fontId="5" fillId="0" borderId="16" xfId="2" applyNumberFormat="1" applyFont="1" applyFill="1" applyBorder="1" applyProtection="1">
      <protection locked="0"/>
    </xf>
    <xf numFmtId="3" fontId="5" fillId="0" borderId="16" xfId="2" applyNumberFormat="1" applyFont="1" applyBorder="1" applyProtection="1">
      <protection locked="0"/>
    </xf>
    <xf numFmtId="3" fontId="5" fillId="5" borderId="0" xfId="0" applyNumberFormat="1" applyFont="1" applyFill="1" applyBorder="1" applyProtection="1">
      <protection locked="0"/>
    </xf>
    <xf numFmtId="3" fontId="5" fillId="0" borderId="1" xfId="0" applyNumberFormat="1" applyFont="1" applyFill="1" applyBorder="1" applyProtection="1">
      <protection locked="0"/>
    </xf>
    <xf numFmtId="3" fontId="0" fillId="5" borderId="0" xfId="0" applyNumberFormat="1" applyFill="1" applyProtection="1">
      <protection locked="0"/>
    </xf>
    <xf numFmtId="0" fontId="2" fillId="6" borderId="1" xfId="0" applyFont="1" applyFill="1" applyBorder="1" applyAlignment="1" applyProtection="1">
      <alignment horizontal="center"/>
      <protection locked="0"/>
    </xf>
    <xf numFmtId="0" fontId="40" fillId="0" borderId="0" xfId="0" applyFont="1" applyProtection="1"/>
    <xf numFmtId="0" fontId="40" fillId="5" borderId="0" xfId="0" applyFont="1" applyFill="1" applyProtection="1"/>
    <xf numFmtId="0" fontId="40" fillId="0" borderId="0" xfId="0" applyFont="1" applyFill="1" applyProtection="1"/>
    <xf numFmtId="0" fontId="40" fillId="4" borderId="0" xfId="0" applyFont="1" applyFill="1" applyBorder="1" applyProtection="1"/>
    <xf numFmtId="0" fontId="41" fillId="4" borderId="0" xfId="0" applyFont="1" applyFill="1" applyBorder="1" applyAlignment="1" applyProtection="1">
      <alignment horizontal="left"/>
    </xf>
    <xf numFmtId="0" fontId="41" fillId="0" borderId="18" xfId="0" applyFont="1" applyFill="1" applyBorder="1" applyAlignment="1" applyProtection="1">
      <alignment horizontal="center"/>
    </xf>
    <xf numFmtId="0" fontId="40" fillId="4" borderId="0" xfId="0" applyFont="1" applyFill="1" applyBorder="1" applyAlignment="1" applyProtection="1">
      <alignment horizontal="left"/>
    </xf>
    <xf numFmtId="0" fontId="41" fillId="0" borderId="18" xfId="0" quotePrefix="1" applyFont="1" applyFill="1" applyBorder="1" applyAlignment="1" applyProtection="1">
      <alignment horizontal="center"/>
    </xf>
    <xf numFmtId="0" fontId="42" fillId="4" borderId="0" xfId="0" applyFont="1" applyFill="1" applyBorder="1" applyAlignment="1" applyProtection="1">
      <alignment horizontal="right"/>
    </xf>
    <xf numFmtId="3" fontId="40" fillId="0" borderId="18" xfId="0" applyNumberFormat="1" applyFont="1" applyBorder="1" applyProtection="1">
      <protection locked="0"/>
    </xf>
    <xf numFmtId="3" fontId="40" fillId="0" borderId="18" xfId="0" applyNumberFormat="1" applyFont="1" applyFill="1" applyBorder="1" applyProtection="1">
      <protection locked="0"/>
    </xf>
    <xf numFmtId="0" fontId="40" fillId="4" borderId="0" xfId="0" applyFont="1" applyFill="1" applyBorder="1" applyAlignment="1" applyProtection="1">
      <alignment horizontal="right"/>
    </xf>
    <xf numFmtId="0" fontId="42" fillId="4" borderId="0" xfId="0" applyFont="1" applyFill="1" applyBorder="1" applyAlignment="1" applyProtection="1">
      <alignment horizontal="center"/>
    </xf>
    <xf numFmtId="0" fontId="42" fillId="4" borderId="0" xfId="0" applyFont="1" applyFill="1" applyBorder="1" applyProtection="1"/>
    <xf numFmtId="0" fontId="9" fillId="4" borderId="0" xfId="0" applyFont="1" applyFill="1" applyBorder="1" applyProtection="1"/>
    <xf numFmtId="0" fontId="40" fillId="5" borderId="0" xfId="0" applyFont="1" applyFill="1" applyAlignment="1" applyProtection="1">
      <alignment horizontal="right"/>
    </xf>
    <xf numFmtId="0" fontId="41" fillId="4" borderId="19" xfId="0" applyFont="1" applyFill="1" applyBorder="1" applyProtection="1"/>
    <xf numFmtId="0" fontId="40" fillId="4" borderId="20" xfId="0" applyFont="1" applyFill="1" applyBorder="1" applyProtection="1"/>
    <xf numFmtId="0" fontId="40" fillId="4" borderId="21" xfId="0" applyFont="1" applyFill="1" applyBorder="1" applyProtection="1"/>
    <xf numFmtId="0" fontId="40" fillId="4" borderId="22" xfId="0" applyFont="1" applyFill="1" applyBorder="1" applyProtection="1"/>
    <xf numFmtId="0" fontId="40" fillId="4" borderId="23" xfId="0" applyFont="1" applyFill="1" applyBorder="1" applyProtection="1"/>
    <xf numFmtId="0" fontId="42" fillId="4" borderId="22" xfId="0" applyFont="1" applyFill="1" applyBorder="1" applyAlignment="1" applyProtection="1">
      <alignment horizontal="right"/>
    </xf>
    <xf numFmtId="0" fontId="40" fillId="4" borderId="22" xfId="0" applyFont="1" applyFill="1" applyBorder="1" applyAlignment="1" applyProtection="1">
      <alignment horizontal="right"/>
    </xf>
    <xf numFmtId="0" fontId="42" fillId="4" borderId="22" xfId="0" applyFont="1" applyFill="1" applyBorder="1" applyProtection="1"/>
    <xf numFmtId="0" fontId="40" fillId="4" borderId="24" xfId="0" applyFont="1" applyFill="1" applyBorder="1" applyProtection="1"/>
    <xf numFmtId="0" fontId="40" fillId="4" borderId="25" xfId="0" applyFont="1" applyFill="1" applyBorder="1" applyProtection="1"/>
    <xf numFmtId="0" fontId="40" fillId="4" borderId="26" xfId="0" applyFont="1" applyFill="1" applyBorder="1" applyProtection="1"/>
    <xf numFmtId="0" fontId="8" fillId="0" borderId="18" xfId="0" applyFont="1" applyFill="1" applyBorder="1" applyAlignment="1" applyProtection="1">
      <alignment horizontal="center"/>
    </xf>
    <xf numFmtId="3" fontId="4" fillId="0" borderId="18" xfId="0" applyNumberFormat="1" applyFont="1" applyBorder="1" applyProtection="1">
      <protection locked="0"/>
    </xf>
    <xf numFmtId="2" fontId="4" fillId="0" borderId="18" xfId="0" applyNumberFormat="1" applyFont="1" applyBorder="1" applyProtection="1">
      <protection locked="0"/>
    </xf>
    <xf numFmtId="0" fontId="4" fillId="0" borderId="18" xfId="0" applyFont="1" applyBorder="1" applyProtection="1">
      <protection locked="0"/>
    </xf>
    <xf numFmtId="0" fontId="8" fillId="0" borderId="28" xfId="0" applyFont="1" applyFill="1" applyBorder="1" applyAlignment="1" applyProtection="1">
      <alignment horizontal="center"/>
    </xf>
    <xf numFmtId="3" fontId="4" fillId="0" borderId="28" xfId="0" applyNumberFormat="1" applyFont="1" applyBorder="1" applyProtection="1">
      <protection locked="0"/>
    </xf>
    <xf numFmtId="0" fontId="8" fillId="0" borderId="28" xfId="0" quotePrefix="1" applyFont="1" applyFill="1" applyBorder="1" applyAlignment="1" applyProtection="1">
      <alignment horizontal="center"/>
    </xf>
    <xf numFmtId="3" fontId="0" fillId="0" borderId="28" xfId="0" applyNumberFormat="1" applyBorder="1" applyProtection="1">
      <protection locked="0"/>
    </xf>
    <xf numFmtId="0" fontId="41" fillId="4" borderId="0" xfId="0" applyFont="1" applyFill="1" applyBorder="1" applyAlignment="1" applyProtection="1">
      <alignment horizontal="right"/>
    </xf>
    <xf numFmtId="0" fontId="41" fillId="4" borderId="0" xfId="0" applyFont="1" applyFill="1" applyBorder="1" applyProtection="1"/>
    <xf numFmtId="1" fontId="40" fillId="4" borderId="0" xfId="0" applyNumberFormat="1" applyFont="1" applyFill="1" applyBorder="1" applyProtection="1"/>
    <xf numFmtId="0" fontId="7" fillId="0" borderId="1" xfId="0" applyFont="1" applyFill="1" applyBorder="1" applyAlignment="1">
      <alignment horizontal="center"/>
    </xf>
    <xf numFmtId="0" fontId="41" fillId="4" borderId="20" xfId="0" applyFont="1" applyFill="1" applyBorder="1" applyAlignment="1" applyProtection="1">
      <alignment horizontal="right"/>
    </xf>
    <xf numFmtId="0" fontId="40" fillId="0" borderId="18" xfId="0" applyFont="1" applyFill="1" applyBorder="1" applyProtection="1">
      <protection locked="0"/>
    </xf>
    <xf numFmtId="2" fontId="40" fillId="0" borderId="18" xfId="0" applyNumberFormat="1" applyFont="1" applyFill="1" applyBorder="1" applyProtection="1">
      <protection locked="0"/>
    </xf>
    <xf numFmtId="0" fontId="41" fillId="4" borderId="22" xfId="0" applyFont="1" applyFill="1" applyBorder="1" applyProtection="1"/>
    <xf numFmtId="0" fontId="40" fillId="0" borderId="0" xfId="0" applyFont="1"/>
    <xf numFmtId="0" fontId="4" fillId="4" borderId="0" xfId="0" applyFont="1" applyFill="1" applyBorder="1" applyProtection="1"/>
    <xf numFmtId="0" fontId="8" fillId="4" borderId="22" xfId="0" applyFont="1" applyFill="1" applyBorder="1" applyProtection="1"/>
    <xf numFmtId="3" fontId="0" fillId="0" borderId="18" xfId="0" applyNumberFormat="1" applyBorder="1" applyProtection="1">
      <protection locked="0"/>
    </xf>
    <xf numFmtId="2" fontId="4" fillId="0" borderId="18" xfId="0" applyNumberFormat="1" applyFont="1" applyFill="1" applyBorder="1" applyProtection="1">
      <protection locked="0"/>
    </xf>
    <xf numFmtId="0" fontId="8" fillId="4" borderId="19" xfId="0" applyFont="1" applyFill="1" applyBorder="1" applyProtection="1"/>
    <xf numFmtId="0" fontId="8" fillId="4" borderId="24" xfId="0" applyFont="1" applyFill="1" applyBorder="1" applyProtection="1"/>
    <xf numFmtId="0" fontId="41" fillId="4" borderId="25" xfId="0" applyFont="1" applyFill="1" applyBorder="1" applyProtection="1"/>
    <xf numFmtId="0" fontId="41" fillId="4" borderId="25" xfId="0" applyFont="1" applyFill="1" applyBorder="1" applyAlignment="1" applyProtection="1">
      <alignment horizontal="right"/>
    </xf>
    <xf numFmtId="0" fontId="4" fillId="4" borderId="0" xfId="0" applyFont="1" applyFill="1"/>
    <xf numFmtId="0" fontId="40" fillId="4" borderId="0" xfId="0" applyFont="1" applyFill="1"/>
    <xf numFmtId="0" fontId="4" fillId="7" borderId="0" xfId="0" applyFont="1" applyFill="1"/>
    <xf numFmtId="0" fontId="40" fillId="5" borderId="0" xfId="0" applyFont="1" applyFill="1" applyAlignment="1" applyProtection="1">
      <alignment horizontal="center"/>
    </xf>
    <xf numFmtId="0" fontId="40" fillId="4" borderId="20" xfId="0" applyFont="1" applyFill="1" applyBorder="1" applyAlignment="1" applyProtection="1">
      <alignment horizontal="center"/>
    </xf>
    <xf numFmtId="0" fontId="40" fillId="4" borderId="0" xfId="0" applyFont="1" applyFill="1" applyBorder="1" applyAlignment="1" applyProtection="1">
      <alignment horizontal="center"/>
    </xf>
    <xf numFmtId="0" fontId="40" fillId="4" borderId="25" xfId="0" applyFont="1" applyFill="1" applyBorder="1" applyAlignment="1" applyProtection="1">
      <alignment horizontal="center"/>
    </xf>
    <xf numFmtId="0" fontId="40" fillId="0" borderId="0" xfId="0" applyFont="1" applyAlignment="1">
      <alignment horizontal="center"/>
    </xf>
    <xf numFmtId="0" fontId="8" fillId="0" borderId="18" xfId="0" quotePrefix="1" applyFont="1" applyFill="1" applyBorder="1" applyAlignment="1">
      <alignment horizontal="center"/>
    </xf>
    <xf numFmtId="169" fontId="4" fillId="0" borderId="18" xfId="1" applyNumberFormat="1" applyFont="1" applyBorder="1" applyProtection="1">
      <protection locked="0"/>
    </xf>
    <xf numFmtId="0" fontId="40" fillId="0" borderId="0" xfId="0" applyFont="1" applyFill="1" applyProtection="1">
      <protection locked="0"/>
    </xf>
    <xf numFmtId="164" fontId="40" fillId="4" borderId="0" xfId="0" applyNumberFormat="1" applyFont="1" applyFill="1" applyBorder="1" applyAlignment="1" applyProtection="1">
      <alignment horizontal="right"/>
    </xf>
    <xf numFmtId="0" fontId="41" fillId="4" borderId="0" xfId="0" applyFont="1" applyFill="1" applyBorder="1" applyAlignment="1" applyProtection="1">
      <alignment horizontal="center"/>
    </xf>
    <xf numFmtId="0" fontId="40" fillId="5" borderId="0" xfId="0" applyFont="1" applyFill="1" applyBorder="1" applyProtection="1"/>
    <xf numFmtId="1" fontId="40" fillId="4" borderId="0" xfId="0" applyNumberFormat="1" applyFont="1" applyFill="1" applyBorder="1" applyAlignment="1" applyProtection="1">
      <alignment horizontal="left"/>
    </xf>
    <xf numFmtId="1" fontId="41" fillId="0" borderId="18" xfId="0" quotePrefix="1" applyNumberFormat="1" applyFont="1" applyFill="1" applyBorder="1" applyAlignment="1" applyProtection="1">
      <alignment horizontal="center"/>
    </xf>
    <xf numFmtId="0" fontId="45" fillId="4" borderId="19" xfId="0" applyFont="1" applyFill="1" applyBorder="1" applyProtection="1"/>
    <xf numFmtId="0" fontId="41" fillId="4" borderId="22" xfId="0" applyFont="1" applyFill="1" applyBorder="1" applyAlignment="1" applyProtection="1">
      <alignment horizontal="center"/>
    </xf>
    <xf numFmtId="164" fontId="40" fillId="4" borderId="22" xfId="0" applyNumberFormat="1" applyFont="1" applyFill="1" applyBorder="1" applyAlignment="1" applyProtection="1">
      <alignment horizontal="center"/>
    </xf>
    <xf numFmtId="1" fontId="40" fillId="4" borderId="22" xfId="0" applyNumberFormat="1" applyFont="1" applyFill="1" applyBorder="1" applyAlignment="1" applyProtection="1">
      <alignment horizontal="center"/>
    </xf>
    <xf numFmtId="0" fontId="40" fillId="4" borderId="22" xfId="0" applyFont="1" applyFill="1" applyBorder="1" applyAlignment="1" applyProtection="1">
      <alignment horizontal="center"/>
    </xf>
    <xf numFmtId="164" fontId="40" fillId="4" borderId="25" xfId="0" applyNumberFormat="1" applyFont="1" applyFill="1" applyBorder="1" applyAlignment="1" applyProtection="1">
      <alignment horizontal="right"/>
    </xf>
    <xf numFmtId="0" fontId="40" fillId="4" borderId="25" xfId="0" applyFont="1" applyFill="1" applyBorder="1" applyAlignment="1" applyProtection="1">
      <alignment horizontal="left"/>
    </xf>
    <xf numFmtId="1" fontId="40" fillId="4" borderId="26" xfId="0" applyNumberFormat="1" applyFont="1" applyFill="1" applyBorder="1" applyProtection="1"/>
    <xf numFmtId="0" fontId="4" fillId="4" borderId="0" xfId="0" applyFont="1" applyFill="1" applyBorder="1" applyAlignment="1" applyProtection="1">
      <alignment horizontal="center"/>
    </xf>
    <xf numFmtId="0" fontId="8" fillId="4" borderId="0" xfId="0" applyFont="1" applyFill="1" applyBorder="1"/>
    <xf numFmtId="0" fontId="4" fillId="4" borderId="0" xfId="0" applyFont="1" applyFill="1" applyBorder="1" applyAlignment="1">
      <alignment horizontal="center"/>
    </xf>
    <xf numFmtId="0" fontId="4" fillId="4" borderId="0" xfId="0" applyFont="1" applyFill="1" applyBorder="1"/>
    <xf numFmtId="0" fontId="4" fillId="4" borderId="0" xfId="0" applyFont="1" applyFill="1" applyBorder="1" applyAlignment="1">
      <alignment horizontal="right"/>
    </xf>
    <xf numFmtId="0" fontId="4" fillId="4" borderId="0" xfId="0" applyFont="1" applyFill="1" applyBorder="1" applyAlignment="1">
      <alignment horizontal="left"/>
    </xf>
    <xf numFmtId="0" fontId="4" fillId="4" borderId="0" xfId="0" quotePrefix="1" applyFont="1" applyFill="1" applyBorder="1" applyAlignment="1">
      <alignment horizontal="right"/>
    </xf>
    <xf numFmtId="0" fontId="4" fillId="4" borderId="0" xfId="0" applyFont="1" applyFill="1" applyBorder="1" applyAlignment="1" applyProtection="1">
      <alignment horizontal="right"/>
    </xf>
    <xf numFmtId="0" fontId="8" fillId="0" borderId="18" xfId="0" applyFont="1" applyFill="1" applyBorder="1" applyAlignment="1">
      <alignment horizontal="center"/>
    </xf>
    <xf numFmtId="0" fontId="4" fillId="0" borderId="18" xfId="0" applyFont="1" applyFill="1" applyBorder="1" applyProtection="1">
      <protection locked="0"/>
    </xf>
    <xf numFmtId="0" fontId="4" fillId="4" borderId="20" xfId="0" applyFont="1" applyFill="1" applyBorder="1" applyProtection="1"/>
    <xf numFmtId="0" fontId="4" fillId="4" borderId="20" xfId="0" applyFont="1" applyFill="1" applyBorder="1" applyAlignment="1" applyProtection="1">
      <alignment horizontal="center"/>
    </xf>
    <xf numFmtId="0" fontId="8" fillId="4" borderId="20" xfId="0" applyFont="1" applyFill="1" applyBorder="1" applyProtection="1"/>
    <xf numFmtId="0" fontId="4" fillId="4" borderId="22" xfId="0" applyFont="1" applyFill="1" applyBorder="1" applyProtection="1"/>
    <xf numFmtId="0" fontId="4" fillId="4" borderId="23" xfId="0" applyFont="1" applyFill="1" applyBorder="1" applyProtection="1"/>
    <xf numFmtId="0" fontId="4" fillId="4" borderId="23" xfId="0" applyFont="1" applyFill="1" applyBorder="1"/>
    <xf numFmtId="0" fontId="4" fillId="4" borderId="24" xfId="0" applyFont="1" applyFill="1" applyBorder="1" applyProtection="1"/>
    <xf numFmtId="0" fontId="4" fillId="4" borderId="25" xfId="0" applyFont="1" applyFill="1" applyBorder="1" applyProtection="1"/>
    <xf numFmtId="0" fontId="4" fillId="4" borderId="26" xfId="0" applyFont="1" applyFill="1" applyBorder="1" applyProtection="1"/>
    <xf numFmtId="0" fontId="41" fillId="4" borderId="23" xfId="0" applyFont="1" applyFill="1" applyBorder="1" applyAlignment="1" applyProtection="1">
      <alignment horizontal="left"/>
    </xf>
    <xf numFmtId="0" fontId="43" fillId="4" borderId="23" xfId="0" applyFont="1" applyFill="1" applyBorder="1" applyAlignment="1" applyProtection="1">
      <alignment horizontal="left"/>
    </xf>
    <xf numFmtId="2" fontId="0" fillId="0" borderId="18" xfId="0" applyNumberFormat="1" applyBorder="1" applyProtection="1">
      <protection locked="0"/>
    </xf>
    <xf numFmtId="0" fontId="4" fillId="8" borderId="0" xfId="0" applyFont="1" applyFill="1" applyBorder="1" applyProtection="1"/>
    <xf numFmtId="0" fontId="4" fillId="8" borderId="0" xfId="0" applyFont="1" applyFill="1" applyBorder="1" applyAlignment="1" applyProtection="1">
      <alignment horizontal="right"/>
    </xf>
    <xf numFmtId="0" fontId="4" fillId="8" borderId="0" xfId="0" applyFont="1" applyFill="1" applyBorder="1" applyAlignment="1" applyProtection="1">
      <alignment horizontal="left"/>
    </xf>
    <xf numFmtId="3" fontId="4" fillId="0" borderId="18" xfId="0" applyNumberFormat="1" applyFont="1" applyFill="1" applyBorder="1" applyProtection="1">
      <protection locked="0"/>
    </xf>
    <xf numFmtId="3" fontId="4" fillId="0" borderId="18" xfId="0" applyNumberFormat="1" applyFont="1" applyFill="1" applyBorder="1" applyAlignment="1" applyProtection="1">
      <protection locked="0"/>
    </xf>
    <xf numFmtId="0" fontId="8" fillId="8" borderId="19" xfId="0" applyFont="1" applyFill="1" applyBorder="1" applyAlignment="1" applyProtection="1">
      <alignment horizontal="left"/>
    </xf>
    <xf numFmtId="0" fontId="4" fillId="8" borderId="20" xfId="0" applyFont="1" applyFill="1" applyBorder="1" applyProtection="1"/>
    <xf numFmtId="0" fontId="4" fillId="8" borderId="20" xfId="0" applyFont="1" applyFill="1" applyBorder="1" applyAlignment="1" applyProtection="1">
      <alignment horizontal="right"/>
    </xf>
    <xf numFmtId="0" fontId="4" fillId="8" borderId="23" xfId="0" applyFont="1" applyFill="1" applyBorder="1" applyProtection="1"/>
    <xf numFmtId="0" fontId="4" fillId="8" borderId="23" xfId="0" applyFont="1" applyFill="1" applyBorder="1" applyAlignment="1" applyProtection="1">
      <alignment horizontal="right"/>
    </xf>
    <xf numFmtId="0" fontId="4" fillId="8" borderId="25" xfId="0" applyFont="1" applyFill="1" applyBorder="1" applyProtection="1"/>
    <xf numFmtId="0" fontId="4" fillId="8" borderId="26" xfId="0" applyFont="1" applyFill="1" applyBorder="1" applyProtection="1"/>
    <xf numFmtId="0" fontId="4" fillId="8" borderId="23" xfId="0" applyFont="1" applyFill="1" applyBorder="1" applyAlignment="1" applyProtection="1">
      <alignment horizontal="left"/>
    </xf>
    <xf numFmtId="0" fontId="4" fillId="0" borderId="18" xfId="0" applyFont="1" applyFill="1" applyBorder="1" applyAlignment="1" applyProtection="1">
      <alignment horizontal="center"/>
    </xf>
    <xf numFmtId="0" fontId="4" fillId="8" borderId="22" xfId="0" applyFont="1" applyFill="1" applyBorder="1" applyAlignment="1" applyProtection="1">
      <alignment horizontal="center"/>
    </xf>
    <xf numFmtId="0" fontId="4" fillId="8" borderId="0" xfId="0" applyFont="1" applyFill="1" applyBorder="1" applyAlignment="1" applyProtection="1">
      <alignment horizontal="center"/>
    </xf>
    <xf numFmtId="3" fontId="4" fillId="8" borderId="23" xfId="0" applyNumberFormat="1" applyFont="1" applyFill="1" applyBorder="1" applyProtection="1"/>
    <xf numFmtId="3" fontId="4" fillId="8" borderId="26" xfId="0" applyNumberFormat="1" applyFont="1" applyFill="1" applyBorder="1" applyProtection="1"/>
    <xf numFmtId="0" fontId="4" fillId="8" borderId="20" xfId="0" applyFont="1" applyFill="1" applyBorder="1" applyAlignment="1" applyProtection="1">
      <alignment horizontal="center"/>
    </xf>
    <xf numFmtId="0" fontId="4" fillId="8" borderId="25" xfId="0" applyFont="1" applyFill="1" applyBorder="1" applyAlignment="1" applyProtection="1">
      <alignment horizontal="center"/>
    </xf>
    <xf numFmtId="0" fontId="4" fillId="0" borderId="1" xfId="0" applyFont="1" applyBorder="1" applyAlignment="1" applyProtection="1">
      <alignment horizontal="right"/>
    </xf>
    <xf numFmtId="0" fontId="4" fillId="8" borderId="24" xfId="0" applyFont="1" applyFill="1" applyBorder="1" applyAlignment="1" applyProtection="1">
      <alignment horizontal="center"/>
    </xf>
    <xf numFmtId="2" fontId="40" fillId="0" borderId="18" xfId="0" applyNumberFormat="1" applyFont="1" applyBorder="1" applyProtection="1">
      <protection locked="0"/>
    </xf>
    <xf numFmtId="0" fontId="8" fillId="8" borderId="22" xfId="0" applyFont="1" applyFill="1" applyBorder="1" applyAlignment="1" applyProtection="1">
      <alignment horizontal="left"/>
    </xf>
    <xf numFmtId="0" fontId="4" fillId="8" borderId="23" xfId="0" applyFont="1" applyFill="1" applyBorder="1" applyAlignment="1" applyProtection="1">
      <alignment horizontal="center"/>
    </xf>
    <xf numFmtId="0" fontId="4" fillId="8" borderId="22" xfId="0" applyFont="1" applyFill="1" applyBorder="1" applyAlignment="1" applyProtection="1">
      <alignment horizontal="left"/>
    </xf>
    <xf numFmtId="0" fontId="4" fillId="8" borderId="24" xfId="0" applyFont="1" applyFill="1" applyBorder="1" applyAlignment="1" applyProtection="1">
      <alignment horizontal="left"/>
    </xf>
    <xf numFmtId="0" fontId="4" fillId="8" borderId="26" xfId="0" applyFont="1" applyFill="1" applyBorder="1" applyAlignment="1" applyProtection="1">
      <alignment horizontal="center"/>
    </xf>
    <xf numFmtId="0" fontId="4" fillId="0" borderId="0" xfId="0" applyFont="1" applyFill="1" applyProtection="1">
      <protection locked="0"/>
    </xf>
    <xf numFmtId="0" fontId="4" fillId="4" borderId="0" xfId="0" applyFont="1" applyFill="1" applyBorder="1" applyAlignment="1" applyProtection="1">
      <alignment horizontal="left"/>
    </xf>
    <xf numFmtId="0" fontId="4" fillId="4" borderId="0" xfId="0" applyFont="1" applyFill="1" applyBorder="1" applyProtection="1">
      <protection locked="0"/>
    </xf>
    <xf numFmtId="0" fontId="8" fillId="4" borderId="19" xfId="0" applyFont="1" applyFill="1" applyBorder="1" applyAlignment="1" applyProtection="1">
      <alignment horizontal="left"/>
    </xf>
    <xf numFmtId="0" fontId="4" fillId="4" borderId="22" xfId="0" applyFont="1" applyFill="1" applyBorder="1" applyAlignment="1" applyProtection="1">
      <alignment horizontal="center"/>
    </xf>
    <xf numFmtId="0" fontId="4" fillId="4" borderId="23" xfId="0" applyFont="1" applyFill="1" applyBorder="1" applyAlignment="1" applyProtection="1">
      <alignment horizontal="right"/>
    </xf>
    <xf numFmtId="0" fontId="4" fillId="4" borderId="24" xfId="0" applyFont="1" applyFill="1" applyBorder="1" applyAlignment="1" applyProtection="1">
      <alignment horizontal="center"/>
    </xf>
    <xf numFmtId="0" fontId="4" fillId="4" borderId="25" xfId="0" applyFont="1" applyFill="1" applyBorder="1" applyAlignment="1" applyProtection="1">
      <alignment horizontal="left"/>
    </xf>
    <xf numFmtId="0" fontId="4" fillId="0" borderId="18" xfId="0" quotePrefix="1" applyFont="1" applyFill="1" applyBorder="1" applyAlignment="1" applyProtection="1">
      <alignment horizontal="center"/>
    </xf>
    <xf numFmtId="0" fontId="7" fillId="4" borderId="19" xfId="0" applyFont="1" applyFill="1" applyBorder="1" applyProtection="1"/>
    <xf numFmtId="0" fontId="4" fillId="4" borderId="22" xfId="0" applyFont="1" applyFill="1" applyBorder="1" applyAlignment="1" applyProtection="1">
      <alignment horizontal="right"/>
    </xf>
    <xf numFmtId="0" fontId="4" fillId="4" borderId="25" xfId="0" applyFont="1" applyFill="1" applyBorder="1" applyAlignment="1" applyProtection="1">
      <alignment horizontal="right"/>
    </xf>
    <xf numFmtId="0" fontId="4" fillId="4" borderId="26" xfId="0" applyFont="1" applyFill="1" applyBorder="1" applyAlignment="1" applyProtection="1">
      <alignment horizontal="right"/>
    </xf>
    <xf numFmtId="0" fontId="4" fillId="4" borderId="19" xfId="0" applyFont="1" applyFill="1" applyBorder="1" applyProtection="1"/>
    <xf numFmtId="0" fontId="4" fillId="4" borderId="24" xfId="0" applyFont="1" applyFill="1" applyBorder="1" applyAlignment="1" applyProtection="1">
      <alignment horizontal="right"/>
    </xf>
    <xf numFmtId="3" fontId="4" fillId="0" borderId="18" xfId="2" applyNumberFormat="1" applyFont="1" applyFill="1" applyBorder="1" applyAlignment="1" applyProtection="1">
      <alignment horizontal="right"/>
      <protection locked="0"/>
    </xf>
    <xf numFmtId="0" fontId="4" fillId="4" borderId="23" xfId="0" applyFont="1" applyFill="1" applyBorder="1" applyAlignment="1" applyProtection="1">
      <alignment horizontal="left"/>
    </xf>
    <xf numFmtId="3" fontId="4" fillId="4" borderId="25" xfId="0" applyNumberFormat="1" applyFont="1" applyFill="1" applyBorder="1" applyProtection="1"/>
    <xf numFmtId="0" fontId="40" fillId="0" borderId="0" xfId="0" applyFont="1" applyFill="1" applyBorder="1" applyProtection="1"/>
    <xf numFmtId="0" fontId="41" fillId="0" borderId="0" xfId="0" applyFont="1" applyFill="1" applyBorder="1" applyProtection="1"/>
    <xf numFmtId="0" fontId="41" fillId="8" borderId="22" xfId="0" applyFont="1" applyFill="1" applyBorder="1" applyAlignment="1" applyProtection="1">
      <alignment horizontal="left"/>
    </xf>
    <xf numFmtId="0" fontId="40" fillId="8" borderId="0" xfId="0" applyFont="1" applyFill="1" applyBorder="1" applyAlignment="1" applyProtection="1">
      <alignment horizontal="center"/>
    </xf>
    <xf numFmtId="0" fontId="40" fillId="8" borderId="23" xfId="0" applyFont="1" applyFill="1" applyBorder="1" applyAlignment="1" applyProtection="1">
      <alignment horizontal="center"/>
    </xf>
    <xf numFmtId="3" fontId="40" fillId="0" borderId="0" xfId="0" applyNumberFormat="1" applyFont="1" applyFill="1" applyBorder="1" applyProtection="1"/>
    <xf numFmtId="3" fontId="40" fillId="0" borderId="0" xfId="2" applyNumberFormat="1" applyFont="1" applyFill="1" applyBorder="1" applyAlignment="1" applyProtection="1">
      <alignment horizontal="right"/>
    </xf>
    <xf numFmtId="0" fontId="40" fillId="0" borderId="0" xfId="0" applyFont="1" applyFill="1" applyBorder="1" applyAlignment="1" applyProtection="1">
      <alignment horizontal="left"/>
    </xf>
    <xf numFmtId="2" fontId="40" fillId="0" borderId="0" xfId="0" applyNumberFormat="1" applyFont="1" applyFill="1" applyBorder="1" applyProtection="1"/>
    <xf numFmtId="0" fontId="40" fillId="0" borderId="0" xfId="0" applyFont="1" applyBorder="1" applyProtection="1"/>
    <xf numFmtId="0" fontId="40" fillId="8" borderId="0" xfId="0" applyFont="1" applyFill="1" applyBorder="1" applyAlignment="1" applyProtection="1">
      <alignment horizontal="left"/>
    </xf>
    <xf numFmtId="0" fontId="7" fillId="8" borderId="19" xfId="0" applyFont="1" applyFill="1" applyBorder="1" applyAlignment="1" applyProtection="1">
      <alignment horizontal="left"/>
    </xf>
    <xf numFmtId="0" fontId="40" fillId="8" borderId="20" xfId="0" applyFont="1" applyFill="1" applyBorder="1" applyAlignment="1" applyProtection="1">
      <alignment horizontal="center"/>
    </xf>
    <xf numFmtId="0" fontId="40" fillId="8" borderId="21" xfId="0" applyFont="1" applyFill="1" applyBorder="1" applyAlignment="1" applyProtection="1">
      <alignment horizontal="center"/>
    </xf>
    <xf numFmtId="0" fontId="40" fillId="8" borderId="22" xfId="0" applyFont="1" applyFill="1" applyBorder="1" applyAlignment="1" applyProtection="1">
      <alignment horizontal="left"/>
    </xf>
    <xf numFmtId="0" fontId="40" fillId="8" borderId="22" xfId="0" applyFont="1" applyFill="1" applyBorder="1" applyAlignment="1" applyProtection="1">
      <alignment horizontal="center"/>
    </xf>
    <xf numFmtId="0" fontId="40" fillId="8" borderId="24" xfId="0" applyFont="1" applyFill="1" applyBorder="1" applyAlignment="1" applyProtection="1">
      <alignment horizontal="center"/>
    </xf>
    <xf numFmtId="0" fontId="40" fillId="8" borderId="25" xfId="0" applyFont="1" applyFill="1" applyBorder="1" applyAlignment="1" applyProtection="1">
      <alignment horizontal="center"/>
    </xf>
    <xf numFmtId="0" fontId="40" fillId="8" borderId="26" xfId="0" applyFont="1" applyFill="1" applyBorder="1" applyAlignment="1" applyProtection="1">
      <alignment horizontal="center"/>
    </xf>
    <xf numFmtId="3" fontId="40" fillId="0" borderId="18" xfId="2" applyNumberFormat="1" applyFont="1" applyFill="1" applyBorder="1" applyProtection="1">
      <protection locked="0"/>
    </xf>
    <xf numFmtId="0" fontId="35" fillId="5" borderId="0" xfId="0" applyFont="1" applyFill="1" applyBorder="1" applyAlignment="1" applyProtection="1">
      <alignment vertical="top"/>
    </xf>
    <xf numFmtId="0" fontId="4" fillId="5" borderId="0" xfId="0" applyFont="1" applyFill="1" applyAlignment="1" applyProtection="1">
      <alignment horizontal="left"/>
    </xf>
    <xf numFmtId="0" fontId="40" fillId="8" borderId="20" xfId="0" applyFont="1" applyFill="1" applyBorder="1" applyAlignment="1" applyProtection="1">
      <alignment horizontal="left"/>
    </xf>
    <xf numFmtId="0" fontId="4" fillId="0" borderId="0" xfId="0" applyFont="1" applyAlignment="1" applyProtection="1">
      <alignment horizontal="left"/>
    </xf>
    <xf numFmtId="0" fontId="4" fillId="8" borderId="0" xfId="0" applyFont="1" applyFill="1" applyBorder="1" applyAlignment="1">
      <alignment horizontal="left"/>
    </xf>
    <xf numFmtId="0" fontId="40" fillId="0" borderId="18" xfId="0" applyFont="1" applyFill="1" applyBorder="1" applyAlignment="1" applyProtection="1">
      <alignment horizontal="center"/>
    </xf>
    <xf numFmtId="0" fontId="49" fillId="8" borderId="0" xfId="0" applyFont="1" applyFill="1" applyBorder="1" applyAlignment="1" applyProtection="1">
      <alignment horizontal="left"/>
    </xf>
    <xf numFmtId="0" fontId="8" fillId="0" borderId="18" xfId="0" quotePrefix="1" applyFont="1" applyFill="1" applyBorder="1" applyAlignment="1" applyProtection="1">
      <alignment horizontal="center"/>
    </xf>
    <xf numFmtId="0" fontId="7" fillId="8" borderId="22" xfId="0" applyFont="1" applyFill="1" applyBorder="1" applyAlignment="1" applyProtection="1">
      <alignment horizontal="left"/>
    </xf>
    <xf numFmtId="0" fontId="49" fillId="8" borderId="20" xfId="0" applyFont="1" applyFill="1" applyBorder="1" applyAlignment="1" applyProtection="1">
      <alignment horizontal="left"/>
    </xf>
    <xf numFmtId="0" fontId="49" fillId="8" borderId="20" xfId="0" applyFont="1" applyFill="1" applyBorder="1" applyAlignment="1" applyProtection="1">
      <alignment horizontal="center"/>
    </xf>
    <xf numFmtId="0" fontId="40" fillId="8" borderId="24" xfId="0" applyFont="1" applyFill="1" applyBorder="1" applyAlignment="1" applyProtection="1">
      <alignment horizontal="left"/>
    </xf>
    <xf numFmtId="0" fontId="40" fillId="8" borderId="25" xfId="0" applyFont="1" applyFill="1" applyBorder="1" applyAlignment="1" applyProtection="1">
      <alignment horizontal="left"/>
    </xf>
    <xf numFmtId="0" fontId="40" fillId="8" borderId="19" xfId="0" applyFont="1" applyFill="1" applyBorder="1" applyAlignment="1" applyProtection="1">
      <alignment horizontal="center"/>
    </xf>
    <xf numFmtId="0" fontId="53" fillId="8" borderId="22" xfId="0" applyFont="1" applyFill="1" applyBorder="1" applyAlignment="1" applyProtection="1">
      <alignment horizontal="left"/>
    </xf>
    <xf numFmtId="0" fontId="49" fillId="8" borderId="22" xfId="0" applyFont="1" applyFill="1" applyBorder="1" applyAlignment="1" applyProtection="1">
      <alignment horizontal="left"/>
    </xf>
    <xf numFmtId="0" fontId="4" fillId="8" borderId="0" xfId="0" applyFont="1" applyFill="1" applyProtection="1"/>
    <xf numFmtId="0" fontId="8" fillId="0" borderId="29" xfId="0" applyFont="1" applyFill="1" applyBorder="1" applyAlignment="1" applyProtection="1">
      <alignment horizontal="center"/>
    </xf>
    <xf numFmtId="0" fontId="50" fillId="8" borderId="22" xfId="0" applyFont="1" applyFill="1" applyBorder="1" applyAlignment="1" applyProtection="1">
      <alignment horizontal="left"/>
    </xf>
    <xf numFmtId="0" fontId="0" fillId="8" borderId="8" xfId="0" applyFill="1" applyBorder="1"/>
    <xf numFmtId="0" fontId="0" fillId="8" borderId="7" xfId="0" applyFill="1" applyBorder="1"/>
    <xf numFmtId="0" fontId="0" fillId="8" borderId="0" xfId="0" applyFill="1" applyBorder="1"/>
    <xf numFmtId="0" fontId="8" fillId="8" borderId="0" xfId="0" applyFont="1" applyFill="1" applyBorder="1"/>
    <xf numFmtId="0" fontId="0" fillId="8" borderId="10" xfId="0" applyFill="1" applyBorder="1"/>
    <xf numFmtId="0" fontId="38" fillId="8" borderId="9" xfId="0" applyFont="1" applyFill="1" applyBorder="1"/>
    <xf numFmtId="0" fontId="0" fillId="8" borderId="9" xfId="0" applyFill="1" applyBorder="1"/>
    <xf numFmtId="0" fontId="8" fillId="8" borderId="0" xfId="0" applyFont="1" applyFill="1" applyBorder="1" applyAlignment="1">
      <alignment horizontal="center"/>
    </xf>
    <xf numFmtId="0" fontId="7" fillId="8" borderId="9" xfId="0" applyFont="1" applyFill="1" applyBorder="1" applyAlignment="1">
      <alignment horizontal="center"/>
    </xf>
    <xf numFmtId="0" fontId="0" fillId="8" borderId="11" xfId="0" applyFill="1" applyBorder="1"/>
    <xf numFmtId="0" fontId="0" fillId="8" borderId="30" xfId="0" applyFill="1" applyBorder="1"/>
    <xf numFmtId="0" fontId="0" fillId="8" borderId="12" xfId="0" applyFill="1" applyBorder="1"/>
    <xf numFmtId="0" fontId="7" fillId="8" borderId="6" xfId="0" applyFont="1" applyFill="1" applyBorder="1"/>
    <xf numFmtId="0" fontId="51" fillId="8" borderId="0" xfId="0" applyFont="1" applyFill="1" applyBorder="1" applyAlignment="1">
      <alignment horizontal="center"/>
    </xf>
    <xf numFmtId="0" fontId="51" fillId="8" borderId="0" xfId="0" applyFont="1" applyFill="1" applyBorder="1" applyAlignment="1">
      <alignment horizontal="right"/>
    </xf>
    <xf numFmtId="0" fontId="54" fillId="8" borderId="9" xfId="0" applyFont="1" applyFill="1" applyBorder="1"/>
    <xf numFmtId="0" fontId="48" fillId="8" borderId="22" xfId="0" applyFont="1" applyFill="1" applyBorder="1" applyAlignment="1" applyProtection="1">
      <alignment horizontal="left"/>
    </xf>
    <xf numFmtId="0" fontId="45" fillId="8" borderId="19" xfId="0" applyFont="1" applyFill="1" applyBorder="1" applyAlignment="1" applyProtection="1">
      <alignment horizontal="left"/>
    </xf>
    <xf numFmtId="0" fontId="55" fillId="8" borderId="22" xfId="0" applyFont="1" applyFill="1" applyBorder="1" applyAlignment="1" applyProtection="1">
      <alignment horizontal="left"/>
    </xf>
    <xf numFmtId="44" fontId="40" fillId="4" borderId="0" xfId="2" applyFont="1" applyFill="1" applyBorder="1" applyAlignment="1" applyProtection="1">
      <alignment horizontal="right"/>
    </xf>
    <xf numFmtId="3" fontId="40" fillId="4" borderId="0" xfId="0" applyNumberFormat="1" applyFont="1" applyFill="1" applyBorder="1" applyProtection="1"/>
    <xf numFmtId="44" fontId="40" fillId="4" borderId="22" xfId="2" applyFont="1" applyFill="1" applyBorder="1" applyAlignment="1" applyProtection="1">
      <alignment horizontal="right"/>
    </xf>
    <xf numFmtId="0" fontId="40" fillId="0" borderId="1" xfId="0" applyFont="1" applyFill="1" applyBorder="1" applyProtection="1">
      <protection locked="0"/>
    </xf>
    <xf numFmtId="0" fontId="40" fillId="0" borderId="0" xfId="0" applyFont="1" applyFill="1" applyAlignment="1" applyProtection="1">
      <alignment horizontal="right"/>
    </xf>
    <xf numFmtId="0" fontId="40" fillId="0" borderId="1" xfId="0" applyFont="1" applyFill="1" applyBorder="1" applyProtection="1"/>
    <xf numFmtId="0" fontId="45" fillId="4" borderId="19" xfId="0" applyFont="1" applyFill="1" applyBorder="1" applyAlignment="1" applyProtection="1">
      <alignment horizontal="left"/>
    </xf>
    <xf numFmtId="0" fontId="40" fillId="4" borderId="20" xfId="0" applyFont="1" applyFill="1" applyBorder="1" applyAlignment="1" applyProtection="1">
      <alignment horizontal="right"/>
    </xf>
    <xf numFmtId="0" fontId="40" fillId="4" borderId="21" xfId="0" applyFont="1" applyFill="1" applyBorder="1" applyAlignment="1" applyProtection="1">
      <alignment horizontal="right"/>
    </xf>
    <xf numFmtId="0" fontId="48" fillId="4" borderId="22" xfId="0" applyFont="1" applyFill="1" applyBorder="1" applyProtection="1"/>
    <xf numFmtId="0" fontId="40" fillId="4" borderId="23" xfId="0" applyFont="1" applyFill="1" applyBorder="1" applyAlignment="1" applyProtection="1">
      <alignment horizontal="right"/>
    </xf>
    <xf numFmtId="0" fontId="4" fillId="4" borderId="22" xfId="0" applyFont="1" applyFill="1" applyBorder="1" applyAlignment="1" applyProtection="1">
      <alignment horizontal="left"/>
    </xf>
    <xf numFmtId="0" fontId="4" fillId="4" borderId="0" xfId="0" applyFont="1" applyFill="1" applyBorder="1" applyAlignment="1" applyProtection="1"/>
    <xf numFmtId="0" fontId="10" fillId="4" borderId="6" xfId="0" applyFont="1" applyFill="1" applyBorder="1" applyAlignment="1" applyProtection="1">
      <alignment horizontal="left"/>
    </xf>
    <xf numFmtId="0" fontId="0" fillId="4" borderId="8" xfId="0" applyFill="1" applyBorder="1"/>
    <xf numFmtId="0" fontId="0" fillId="4" borderId="0" xfId="0" applyFill="1" applyBorder="1"/>
    <xf numFmtId="0" fontId="7" fillId="4" borderId="0" xfId="0" applyFont="1" applyFill="1" applyBorder="1" applyProtection="1"/>
    <xf numFmtId="0" fontId="7" fillId="4" borderId="0" xfId="0" applyFont="1" applyFill="1" applyBorder="1" applyAlignment="1" applyProtection="1">
      <alignment horizontal="left"/>
    </xf>
    <xf numFmtId="0" fontId="0" fillId="4" borderId="0" xfId="0" applyFill="1" applyBorder="1" applyProtection="1">
      <protection locked="0"/>
    </xf>
    <xf numFmtId="0" fontId="0" fillId="4" borderId="30" xfId="0" applyFill="1" applyBorder="1"/>
    <xf numFmtId="1" fontId="4" fillId="4" borderId="0" xfId="0" applyNumberFormat="1" applyFont="1" applyFill="1" applyBorder="1" applyAlignment="1" applyProtection="1">
      <alignment horizontal="left"/>
    </xf>
    <xf numFmtId="1" fontId="40" fillId="4" borderId="20" xfId="0" applyNumberFormat="1" applyFont="1" applyFill="1" applyBorder="1" applyProtection="1"/>
    <xf numFmtId="2" fontId="40" fillId="4" borderId="0" xfId="0" applyNumberFormat="1" applyFont="1" applyFill="1" applyBorder="1" applyProtection="1"/>
    <xf numFmtId="1" fontId="4" fillId="4" borderId="0" xfId="0" applyNumberFormat="1" applyFont="1" applyFill="1" applyBorder="1" applyAlignment="1" applyProtection="1">
      <alignment horizontal="right"/>
    </xf>
    <xf numFmtId="0" fontId="8" fillId="8" borderId="22" xfId="0" applyFont="1" applyFill="1" applyBorder="1" applyAlignment="1" applyProtection="1">
      <alignment horizontal="center"/>
    </xf>
    <xf numFmtId="0" fontId="8" fillId="8" borderId="24" xfId="0" applyFont="1" applyFill="1" applyBorder="1" applyAlignment="1" applyProtection="1">
      <alignment horizontal="center"/>
    </xf>
    <xf numFmtId="0" fontId="8" fillId="8" borderId="0" xfId="0" applyFont="1" applyFill="1" applyBorder="1" applyAlignment="1" applyProtection="1">
      <alignment horizontal="center"/>
    </xf>
    <xf numFmtId="0" fontId="8" fillId="8" borderId="25" xfId="0" applyFont="1" applyFill="1" applyBorder="1" applyAlignment="1" applyProtection="1">
      <alignment horizontal="center"/>
    </xf>
    <xf numFmtId="0" fontId="8" fillId="8" borderId="20" xfId="0" applyFont="1" applyFill="1" applyBorder="1" applyAlignment="1" applyProtection="1">
      <alignment horizontal="center"/>
    </xf>
    <xf numFmtId="0" fontId="8" fillId="8" borderId="0" xfId="0" applyFont="1" applyFill="1" applyBorder="1" applyProtection="1"/>
    <xf numFmtId="0" fontId="8" fillId="8" borderId="25" xfId="0" applyFont="1" applyFill="1" applyBorder="1" applyProtection="1"/>
    <xf numFmtId="0" fontId="8" fillId="8" borderId="20" xfId="0" applyFont="1" applyFill="1" applyBorder="1" applyProtection="1"/>
    <xf numFmtId="1" fontId="4" fillId="0" borderId="16" xfId="2" applyNumberFormat="1" applyFont="1" applyFill="1" applyBorder="1"/>
    <xf numFmtId="1" fontId="4" fillId="0" borderId="0" xfId="0" applyNumberFormat="1" applyFont="1" applyFill="1" applyBorder="1"/>
    <xf numFmtId="1" fontId="4" fillId="0" borderId="0" xfId="0" applyNumberFormat="1" applyFont="1" applyFill="1" applyBorder="1" applyAlignment="1">
      <alignment horizontal="left"/>
    </xf>
    <xf numFmtId="1" fontId="56" fillId="0" borderId="0" xfId="2" applyNumberFormat="1" applyFont="1" applyFill="1" applyBorder="1" applyAlignment="1">
      <alignment horizontal="right"/>
    </xf>
    <xf numFmtId="1" fontId="4" fillId="0" borderId="0" xfId="0" applyNumberFormat="1" applyFont="1"/>
    <xf numFmtId="1" fontId="4" fillId="0" borderId="0" xfId="0" applyNumberFormat="1" applyFont="1" applyFill="1"/>
    <xf numFmtId="0" fontId="58" fillId="5" borderId="0" xfId="0" applyFont="1" applyFill="1" applyProtection="1"/>
    <xf numFmtId="1" fontId="8" fillId="0" borderId="28" xfId="0" quotePrefix="1" applyNumberFormat="1" applyFont="1" applyFill="1" applyBorder="1" applyAlignment="1" applyProtection="1">
      <alignment horizontal="center"/>
    </xf>
    <xf numFmtId="1" fontId="8" fillId="0" borderId="18" xfId="0" quotePrefix="1" applyNumberFormat="1" applyFont="1" applyFill="1" applyBorder="1" applyAlignment="1" applyProtection="1">
      <alignment horizontal="center"/>
    </xf>
    <xf numFmtId="171" fontId="4" fillId="0" borderId="0" xfId="0" applyNumberFormat="1" applyFont="1" applyFill="1" applyAlignment="1">
      <alignment horizontal="right"/>
    </xf>
    <xf numFmtId="1" fontId="4" fillId="0" borderId="0" xfId="0" applyNumberFormat="1" applyFont="1" applyFill="1" applyBorder="1" applyAlignment="1">
      <alignment horizontal="center"/>
    </xf>
    <xf numFmtId="0" fontId="40" fillId="0" borderId="0" xfId="0" applyFont="1" applyAlignment="1">
      <alignment horizontal="left"/>
    </xf>
    <xf numFmtId="0" fontId="40" fillId="0" borderId="2" xfId="0" applyFont="1" applyBorder="1" applyAlignment="1">
      <alignment horizontal="center"/>
    </xf>
    <xf numFmtId="0" fontId="40" fillId="0" borderId="4" xfId="0" applyFont="1" applyBorder="1" applyAlignment="1">
      <alignment horizontal="center"/>
    </xf>
    <xf numFmtId="0" fontId="40" fillId="0" borderId="0" xfId="0" applyFont="1" applyBorder="1"/>
    <xf numFmtId="0" fontId="40" fillId="0" borderId="1" xfId="0" applyFont="1" applyFill="1" applyBorder="1"/>
    <xf numFmtId="0" fontId="40" fillId="0" borderId="0" xfId="0" applyFont="1" applyFill="1"/>
    <xf numFmtId="1" fontId="40" fillId="0" borderId="1" xfId="0" quotePrefix="1" applyNumberFormat="1" applyFont="1" applyFill="1" applyBorder="1"/>
    <xf numFmtId="1" fontId="40" fillId="0" borderId="1" xfId="0" applyNumberFormat="1" applyFont="1" applyFill="1" applyBorder="1"/>
    <xf numFmtId="0" fontId="40" fillId="0" borderId="0" xfId="0" applyFont="1" applyFill="1" applyBorder="1"/>
    <xf numFmtId="1" fontId="40" fillId="0" borderId="0" xfId="0" applyNumberFormat="1" applyFont="1" applyFill="1"/>
    <xf numFmtId="1" fontId="40" fillId="0" borderId="0" xfId="0" applyNumberFormat="1" applyFont="1" applyFill="1" applyAlignment="1">
      <alignment horizontal="right"/>
    </xf>
    <xf numFmtId="2" fontId="4" fillId="0" borderId="0" xfId="0" applyNumberFormat="1" applyFont="1" applyFill="1" applyBorder="1" applyAlignment="1"/>
    <xf numFmtId="3" fontId="4" fillId="0" borderId="1" xfId="0" applyNumberFormat="1" applyFont="1" applyFill="1" applyBorder="1"/>
    <xf numFmtId="2" fontId="8" fillId="0" borderId="0" xfId="0" applyNumberFormat="1" applyFont="1" applyFill="1" applyBorder="1" applyAlignment="1">
      <alignment horizontal="right"/>
    </xf>
    <xf numFmtId="3" fontId="4" fillId="0" borderId="0" xfId="0" applyNumberFormat="1" applyFont="1" applyFill="1" applyBorder="1"/>
    <xf numFmtId="1" fontId="2" fillId="4" borderId="20" xfId="0" applyNumberFormat="1" applyFont="1" applyFill="1" applyBorder="1" applyProtection="1"/>
    <xf numFmtId="1" fontId="4" fillId="4" borderId="20" xfId="0" applyNumberFormat="1" applyFont="1" applyFill="1" applyBorder="1" applyProtection="1"/>
    <xf numFmtId="1" fontId="4" fillId="4" borderId="20" xfId="0" applyNumberFormat="1" applyFont="1" applyFill="1" applyBorder="1" applyAlignment="1" applyProtection="1">
      <alignment horizontal="left"/>
    </xf>
    <xf numFmtId="2" fontId="4" fillId="4" borderId="20" xfId="0" applyNumberFormat="1" applyFont="1" applyFill="1" applyBorder="1" applyProtection="1"/>
    <xf numFmtId="0" fontId="55" fillId="4" borderId="22" xfId="0" applyFont="1" applyFill="1" applyBorder="1" applyProtection="1"/>
    <xf numFmtId="43" fontId="40" fillId="0" borderId="18" xfId="1" applyFont="1" applyBorder="1" applyProtection="1">
      <protection locked="0"/>
    </xf>
    <xf numFmtId="172" fontId="4" fillId="0" borderId="0" xfId="0" applyNumberFormat="1" applyFont="1" applyFill="1"/>
    <xf numFmtId="171" fontId="4" fillId="0" borderId="0" xfId="0" applyNumberFormat="1" applyFont="1" applyFill="1" applyBorder="1" applyAlignment="1">
      <alignment horizontal="right"/>
    </xf>
    <xf numFmtId="0" fontId="30" fillId="0" borderId="0" xfId="0" applyFont="1" applyFill="1"/>
    <xf numFmtId="171" fontId="4" fillId="0" borderId="0" xfId="0" applyNumberFormat="1" applyFont="1" applyFill="1"/>
    <xf numFmtId="0" fontId="4" fillId="0" borderId="0" xfId="0" applyFont="1" applyFill="1" applyAlignment="1">
      <alignment horizontal="center"/>
    </xf>
    <xf numFmtId="0" fontId="5" fillId="0" borderId="0" xfId="0" applyFont="1" applyFill="1" applyBorder="1" applyAlignment="1"/>
    <xf numFmtId="0" fontId="4" fillId="0" borderId="13" xfId="0" applyFont="1" applyFill="1" applyBorder="1" applyAlignment="1"/>
    <xf numFmtId="171" fontId="4" fillId="0" borderId="14" xfId="0" applyNumberFormat="1" applyFont="1" applyFill="1" applyBorder="1" applyAlignment="1">
      <alignment horizontal="right"/>
    </xf>
    <xf numFmtId="0" fontId="5" fillId="0" borderId="17" xfId="0" applyFont="1" applyFill="1" applyBorder="1" applyAlignment="1"/>
    <xf numFmtId="0" fontId="16" fillId="0" borderId="1" xfId="0" applyFont="1" applyFill="1" applyBorder="1" applyAlignment="1"/>
    <xf numFmtId="9" fontId="5" fillId="0" borderId="1" xfId="4" applyFont="1" applyFill="1" applyBorder="1"/>
    <xf numFmtId="2" fontId="4" fillId="0" borderId="0" xfId="0" applyNumberFormat="1" applyFont="1" applyFill="1" applyAlignment="1">
      <alignment horizontal="right"/>
    </xf>
    <xf numFmtId="2" fontId="4" fillId="0" borderId="27" xfId="0" applyNumberFormat="1" applyFont="1" applyFill="1" applyBorder="1"/>
    <xf numFmtId="2" fontId="4" fillId="0" borderId="0" xfId="0" applyNumberFormat="1" applyFont="1" applyFill="1" applyAlignment="1"/>
    <xf numFmtId="1" fontId="4" fillId="0" borderId="1" xfId="0" applyNumberFormat="1" applyFont="1" applyFill="1" applyBorder="1" applyProtection="1">
      <protection locked="0"/>
    </xf>
    <xf numFmtId="0" fontId="40" fillId="0" borderId="0" xfId="0" applyFont="1" applyFill="1" applyAlignment="1">
      <alignment horizontal="center"/>
    </xf>
    <xf numFmtId="0" fontId="4" fillId="0" borderId="16" xfId="0" applyFont="1" applyFill="1" applyBorder="1"/>
    <xf numFmtId="2" fontId="4" fillId="0" borderId="1" xfId="0" applyNumberFormat="1" applyFont="1" applyFill="1" applyBorder="1" applyProtection="1"/>
    <xf numFmtId="1" fontId="8" fillId="0" borderId="0" xfId="0" applyNumberFormat="1" applyFont="1" applyFill="1" applyBorder="1" applyAlignment="1">
      <alignment horizontal="right"/>
    </xf>
    <xf numFmtId="1" fontId="8" fillId="0" borderId="0" xfId="0" applyNumberFormat="1" applyFont="1" applyFill="1" applyBorder="1" applyAlignment="1">
      <alignment horizontal="left"/>
    </xf>
    <xf numFmtId="2" fontId="4" fillId="0" borderId="0" xfId="0" applyNumberFormat="1" applyFont="1" applyFill="1" applyBorder="1" applyProtection="1"/>
    <xf numFmtId="2" fontId="4" fillId="0" borderId="2" xfId="0" applyNumberFormat="1" applyFont="1" applyFill="1" applyBorder="1"/>
    <xf numFmtId="0" fontId="40" fillId="0" borderId="0" xfId="0" applyFont="1" applyAlignment="1">
      <alignment horizontal="right"/>
    </xf>
    <xf numFmtId="0" fontId="8" fillId="0" borderId="17" xfId="0" applyFont="1" applyFill="1" applyBorder="1" applyAlignment="1">
      <alignment horizontal="left"/>
    </xf>
    <xf numFmtId="1" fontId="8" fillId="0" borderId="28" xfId="0" applyNumberFormat="1" applyFont="1" applyFill="1" applyBorder="1" applyAlignment="1" applyProtection="1">
      <alignment horizontal="center"/>
    </xf>
    <xf numFmtId="1" fontId="8" fillId="0" borderId="18" xfId="0" applyNumberFormat="1" applyFont="1" applyFill="1" applyBorder="1" applyAlignment="1" applyProtection="1">
      <alignment horizontal="center"/>
    </xf>
    <xf numFmtId="1" fontId="41" fillId="0" borderId="18" xfId="0" applyNumberFormat="1" applyFont="1" applyFill="1" applyBorder="1" applyAlignment="1" applyProtection="1">
      <alignment horizontal="center"/>
    </xf>
    <xf numFmtId="0" fontId="56" fillId="4" borderId="21" xfId="0" applyFont="1" applyFill="1" applyBorder="1" applyAlignment="1" applyProtection="1">
      <alignment horizontal="right"/>
    </xf>
    <xf numFmtId="1" fontId="8" fillId="4" borderId="22" xfId="0" applyNumberFormat="1" applyFont="1" applyFill="1" applyBorder="1" applyProtection="1"/>
    <xf numFmtId="0" fontId="40" fillId="4" borderId="24" xfId="0" applyFont="1" applyFill="1" applyBorder="1" applyAlignment="1" applyProtection="1">
      <alignment horizontal="center"/>
    </xf>
    <xf numFmtId="1" fontId="41" fillId="4" borderId="19" xfId="0" applyNumberFormat="1" applyFont="1" applyFill="1" applyBorder="1" applyAlignment="1" applyProtection="1">
      <alignment horizontal="left"/>
    </xf>
    <xf numFmtId="0" fontId="56" fillId="8" borderId="21" xfId="0" applyFont="1" applyFill="1" applyBorder="1" applyAlignment="1" applyProtection="1">
      <alignment horizontal="right"/>
    </xf>
    <xf numFmtId="1" fontId="4" fillId="0" borderId="18" xfId="0" quotePrefix="1" applyNumberFormat="1" applyFont="1" applyFill="1" applyBorder="1" applyAlignment="1" applyProtection="1">
      <alignment horizontal="center"/>
    </xf>
    <xf numFmtId="1" fontId="4" fillId="0" borderId="18" xfId="0" applyNumberFormat="1" applyFont="1" applyFill="1" applyBorder="1" applyAlignment="1" applyProtection="1">
      <alignment horizontal="center"/>
    </xf>
    <xf numFmtId="0" fontId="56" fillId="8" borderId="20" xfId="0" applyFont="1" applyFill="1" applyBorder="1" applyAlignment="1" applyProtection="1">
      <alignment horizontal="right"/>
    </xf>
    <xf numFmtId="1" fontId="40" fillId="4" borderId="22" xfId="0" applyNumberFormat="1" applyFont="1" applyFill="1" applyBorder="1" applyProtection="1"/>
    <xf numFmtId="1" fontId="55" fillId="4" borderId="22" xfId="0" applyNumberFormat="1" applyFont="1" applyFill="1" applyBorder="1" applyProtection="1"/>
    <xf numFmtId="1" fontId="8" fillId="4" borderId="0" xfId="0" applyNumberFormat="1" applyFont="1" applyFill="1" applyBorder="1" applyAlignment="1" applyProtection="1">
      <alignment horizontal="center"/>
    </xf>
    <xf numFmtId="1" fontId="8" fillId="4" borderId="19" xfId="0" applyNumberFormat="1" applyFont="1" applyFill="1" applyBorder="1" applyProtection="1"/>
    <xf numFmtId="0" fontId="40" fillId="5" borderId="0" xfId="0" applyFont="1" applyFill="1" applyAlignment="1" applyProtection="1"/>
    <xf numFmtId="1" fontId="56" fillId="4" borderId="21" xfId="0" applyNumberFormat="1" applyFont="1" applyFill="1" applyBorder="1" applyAlignment="1" applyProtection="1">
      <alignment horizontal="right"/>
    </xf>
    <xf numFmtId="1" fontId="4" fillId="9" borderId="0" xfId="0" applyNumberFormat="1" applyFont="1" applyFill="1" applyBorder="1"/>
    <xf numFmtId="1" fontId="4" fillId="9" borderId="0" xfId="0" applyNumberFormat="1" applyFont="1" applyFill="1" applyBorder="1" applyAlignment="1">
      <alignment horizontal="right"/>
    </xf>
    <xf numFmtId="0" fontId="4" fillId="0" borderId="27" xfId="0" applyFont="1" applyFill="1" applyBorder="1"/>
    <xf numFmtId="0" fontId="4" fillId="0" borderId="0" xfId="1" applyNumberFormat="1" applyFont="1" applyFill="1" applyBorder="1"/>
    <xf numFmtId="0" fontId="4" fillId="0" borderId="0" xfId="1" applyNumberFormat="1" applyFont="1" applyFill="1" applyBorder="1" applyAlignment="1">
      <alignment horizontal="left"/>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Alignment="1">
      <alignment horizontal="center"/>
    </xf>
    <xf numFmtId="0" fontId="4" fillId="0" borderId="0" xfId="0" applyFont="1" applyFill="1" applyAlignment="1" applyProtection="1">
      <alignment horizontal="right"/>
    </xf>
    <xf numFmtId="0" fontId="2" fillId="6" borderId="5" xfId="0" applyFont="1" applyFill="1" applyBorder="1" applyAlignment="1">
      <alignment horizontal="center"/>
    </xf>
    <xf numFmtId="0" fontId="4" fillId="5" borderId="0" xfId="0" applyFont="1" applyFill="1"/>
    <xf numFmtId="0" fontId="3" fillId="6" borderId="1" xfId="0" applyFont="1" applyFill="1" applyBorder="1" applyAlignment="1" applyProtection="1">
      <alignment horizontal="right"/>
      <protection locked="0"/>
    </xf>
    <xf numFmtId="0" fontId="3" fillId="6" borderId="1" xfId="0" applyFont="1" applyFill="1" applyBorder="1" applyAlignment="1" applyProtection="1">
      <alignment horizontal="center"/>
      <protection locked="0"/>
    </xf>
    <xf numFmtId="0" fontId="4" fillId="5" borderId="0" xfId="0" applyFont="1" applyFill="1" applyProtection="1">
      <protection locked="0"/>
    </xf>
    <xf numFmtId="43" fontId="2" fillId="6" borderId="1" xfId="1" applyFont="1" applyFill="1" applyBorder="1" applyAlignment="1" applyProtection="1">
      <alignment horizontal="center"/>
      <protection locked="0"/>
    </xf>
    <xf numFmtId="0" fontId="8" fillId="5" borderId="0" xfId="0" quotePrefix="1" applyFont="1" applyFill="1" applyAlignment="1" applyProtection="1">
      <alignment horizontal="center"/>
      <protection locked="0"/>
    </xf>
    <xf numFmtId="0" fontId="8" fillId="5" borderId="0" xfId="0" applyFont="1" applyFill="1" applyBorder="1" applyAlignment="1">
      <alignment horizontal="right"/>
    </xf>
    <xf numFmtId="0" fontId="8" fillId="5" borderId="0" xfId="0" applyFont="1" applyFill="1"/>
    <xf numFmtId="3" fontId="4" fillId="5" borderId="0" xfId="0" applyNumberFormat="1" applyFont="1" applyFill="1" applyBorder="1" applyProtection="1">
      <protection locked="0"/>
    </xf>
    <xf numFmtId="0" fontId="4" fillId="5" borderId="0" xfId="0" applyFont="1" applyFill="1" applyBorder="1" applyAlignment="1" applyProtection="1">
      <alignment horizontal="right"/>
      <protection locked="0"/>
    </xf>
    <xf numFmtId="0" fontId="8" fillId="5" borderId="0" xfId="0" applyFont="1" applyFill="1" applyAlignment="1">
      <alignment horizontal="right"/>
    </xf>
    <xf numFmtId="43" fontId="4" fillId="5" borderId="0" xfId="0" applyNumberFormat="1" applyFont="1" applyFill="1"/>
    <xf numFmtId="169" fontId="4" fillId="9" borderId="1" xfId="1" applyNumberFormat="1" applyFont="1" applyFill="1" applyBorder="1"/>
    <xf numFmtId="169" fontId="4" fillId="9" borderId="1" xfId="1" applyNumberFormat="1" applyFont="1" applyFill="1" applyBorder="1" applyAlignment="1"/>
    <xf numFmtId="169" fontId="4" fillId="9" borderId="1" xfId="1" applyNumberFormat="1" applyFont="1" applyFill="1" applyBorder="1" applyAlignment="1">
      <alignment horizontal="right"/>
    </xf>
    <xf numFmtId="1" fontId="4" fillId="0" borderId="9" xfId="0" applyNumberFormat="1" applyFont="1" applyFill="1" applyBorder="1"/>
    <xf numFmtId="0" fontId="4" fillId="9" borderId="0" xfId="0" applyFont="1" applyFill="1" applyBorder="1"/>
    <xf numFmtId="1" fontId="4" fillId="9" borderId="9" xfId="0" applyNumberFormat="1" applyFont="1" applyFill="1" applyBorder="1"/>
    <xf numFmtId="0" fontId="4" fillId="0" borderId="0" xfId="0" applyFont="1" applyBorder="1" applyAlignment="1" applyProtection="1">
      <alignment horizontal="right"/>
    </xf>
    <xf numFmtId="0" fontId="4" fillId="0" borderId="0" xfId="0" applyFont="1" applyBorder="1" applyProtection="1"/>
    <xf numFmtId="3" fontId="4" fillId="0" borderId="0" xfId="0" applyNumberFormat="1" applyFont="1" applyBorder="1" applyProtection="1"/>
    <xf numFmtId="0" fontId="17" fillId="0" borderId="0" xfId="0" applyFont="1" applyBorder="1"/>
    <xf numFmtId="0" fontId="5" fillId="4" borderId="4" xfId="0" applyFont="1" applyFill="1" applyBorder="1" applyProtection="1">
      <protection locked="0"/>
    </xf>
    <xf numFmtId="3" fontId="5" fillId="0" borderId="3" xfId="0" applyNumberFormat="1" applyFont="1" applyBorder="1" applyAlignment="1">
      <alignment horizontal="center"/>
    </xf>
    <xf numFmtId="0" fontId="62" fillId="0" borderId="2" xfId="0" applyFont="1" applyBorder="1" applyAlignment="1">
      <alignment horizontal="center"/>
    </xf>
    <xf numFmtId="2" fontId="5" fillId="0" borderId="3" xfId="0" applyNumberFormat="1" applyFont="1" applyBorder="1" applyAlignment="1">
      <alignment horizontal="center"/>
    </xf>
    <xf numFmtId="0" fontId="62" fillId="0" borderId="3" xfId="0" applyFont="1" applyBorder="1" applyAlignment="1">
      <alignment horizontal="center"/>
    </xf>
    <xf numFmtId="0" fontId="62" fillId="0" borderId="3" xfId="0" applyFont="1" applyFill="1" applyBorder="1" applyAlignment="1">
      <alignment horizontal="center"/>
    </xf>
    <xf numFmtId="0" fontId="62" fillId="0" borderId="2" xfId="0" applyFont="1" applyFill="1" applyBorder="1" applyAlignment="1">
      <alignment horizontal="center"/>
    </xf>
    <xf numFmtId="3" fontId="5" fillId="0" borderId="3" xfId="0" applyNumberFormat="1" applyFont="1" applyFill="1" applyBorder="1" applyAlignment="1">
      <alignment horizontal="center"/>
    </xf>
    <xf numFmtId="2" fontId="5" fillId="0" borderId="3" xfId="0" applyNumberFormat="1" applyFont="1" applyFill="1" applyBorder="1" applyAlignment="1">
      <alignment horizontal="center"/>
    </xf>
    <xf numFmtId="0" fontId="5" fillId="0" borderId="3" xfId="0" applyNumberFormat="1" applyFont="1" applyFill="1" applyBorder="1" applyAlignment="1">
      <alignment horizontal="center"/>
    </xf>
    <xf numFmtId="0" fontId="5" fillId="0" borderId="3" xfId="0" applyNumberFormat="1" applyFont="1" applyBorder="1" applyAlignment="1">
      <alignment horizontal="center"/>
    </xf>
    <xf numFmtId="1" fontId="5" fillId="0" borderId="3" xfId="0" applyNumberFormat="1" applyFont="1" applyBorder="1" applyAlignment="1">
      <alignment horizontal="center"/>
    </xf>
    <xf numFmtId="14" fontId="40" fillId="5" borderId="0" xfId="0" applyNumberFormat="1" applyFont="1" applyFill="1" applyProtection="1"/>
    <xf numFmtId="0" fontId="40" fillId="4" borderId="0" xfId="0" applyFont="1" applyFill="1" applyBorder="1"/>
    <xf numFmtId="43" fontId="40" fillId="4" borderId="0" xfId="1" applyFont="1" applyFill="1" applyBorder="1"/>
    <xf numFmtId="1" fontId="9" fillId="4" borderId="0" xfId="0" applyNumberFormat="1" applyFont="1" applyFill="1" applyBorder="1" applyProtection="1"/>
    <xf numFmtId="43" fontId="40" fillId="0" borderId="18" xfId="1" applyFont="1" applyFill="1" applyBorder="1" applyProtection="1"/>
    <xf numFmtId="0" fontId="40" fillId="4" borderId="19" xfId="0" applyFont="1" applyFill="1" applyBorder="1" applyProtection="1"/>
    <xf numFmtId="1" fontId="9" fillId="4" borderId="22" xfId="0" applyNumberFormat="1" applyFont="1" applyFill="1" applyBorder="1" applyProtection="1"/>
    <xf numFmtId="0" fontId="40" fillId="4" borderId="23" xfId="0" applyFont="1" applyFill="1" applyBorder="1"/>
    <xf numFmtId="0" fontId="40" fillId="4" borderId="22" xfId="0" applyFont="1" applyFill="1" applyBorder="1"/>
    <xf numFmtId="1" fontId="40" fillId="4" borderId="22" xfId="0" applyNumberFormat="1" applyFont="1" applyFill="1" applyBorder="1" applyAlignment="1" applyProtection="1">
      <alignment horizontal="left"/>
    </xf>
    <xf numFmtId="1" fontId="9" fillId="4" borderId="24" xfId="0" applyNumberFormat="1" applyFont="1" applyFill="1" applyBorder="1" applyProtection="1"/>
    <xf numFmtId="1" fontId="9" fillId="4" borderId="25" xfId="0" applyNumberFormat="1" applyFont="1" applyFill="1" applyBorder="1" applyProtection="1"/>
    <xf numFmtId="0" fontId="40" fillId="4" borderId="25" xfId="0" applyFont="1" applyFill="1" applyBorder="1"/>
    <xf numFmtId="0" fontId="40" fillId="4" borderId="26" xfId="0" applyFont="1" applyFill="1" applyBorder="1"/>
    <xf numFmtId="0" fontId="63" fillId="5" borderId="0" xfId="0" applyFont="1" applyFill="1" applyBorder="1" applyAlignment="1">
      <alignment horizontal="center"/>
    </xf>
    <xf numFmtId="0" fontId="8" fillId="5" borderId="0" xfId="0" applyFont="1" applyFill="1" applyProtection="1"/>
    <xf numFmtId="1" fontId="4" fillId="0" borderId="1" xfId="0" applyNumberFormat="1" applyFont="1" applyBorder="1" applyProtection="1">
      <protection locked="0"/>
    </xf>
    <xf numFmtId="14" fontId="4" fillId="0" borderId="1" xfId="0" applyNumberFormat="1" applyFont="1" applyFill="1" applyBorder="1" applyProtection="1">
      <protection locked="0"/>
    </xf>
    <xf numFmtId="0" fontId="4" fillId="5" borderId="19" xfId="0" applyFont="1" applyFill="1" applyBorder="1"/>
    <xf numFmtId="0" fontId="64" fillId="5" borderId="19" xfId="0" applyFont="1" applyFill="1" applyBorder="1"/>
    <xf numFmtId="0" fontId="4" fillId="5" borderId="20" xfId="0" applyFont="1" applyFill="1" applyBorder="1"/>
    <xf numFmtId="0" fontId="4" fillId="5" borderId="21" xfId="0" applyFont="1" applyFill="1" applyBorder="1"/>
    <xf numFmtId="0" fontId="4" fillId="5" borderId="22" xfId="0" applyFont="1" applyFill="1" applyBorder="1"/>
    <xf numFmtId="0" fontId="4" fillId="5" borderId="0" xfId="0" applyFont="1" applyFill="1" applyBorder="1"/>
    <xf numFmtId="0" fontId="4" fillId="5" borderId="23" xfId="0" applyFont="1" applyFill="1" applyBorder="1"/>
    <xf numFmtId="0" fontId="4" fillId="5" borderId="24" xfId="0" applyFont="1" applyFill="1" applyBorder="1"/>
    <xf numFmtId="0" fontId="4" fillId="5" borderId="26" xfId="0" applyFont="1" applyFill="1" applyBorder="1"/>
    <xf numFmtId="0" fontId="4" fillId="5" borderId="25" xfId="0" applyFont="1" applyFill="1" applyBorder="1"/>
    <xf numFmtId="0" fontId="4" fillId="0" borderId="0" xfId="0" applyFont="1" applyProtection="1">
      <protection locked="0"/>
    </xf>
    <xf numFmtId="0" fontId="4" fillId="4" borderId="6" xfId="0" applyFont="1" applyFill="1" applyBorder="1"/>
    <xf numFmtId="0" fontId="4" fillId="4" borderId="9" xfId="0" applyFont="1" applyFill="1" applyBorder="1"/>
    <xf numFmtId="0" fontId="4" fillId="4" borderId="11" xfId="0" applyFont="1" applyFill="1" applyBorder="1"/>
    <xf numFmtId="0" fontId="52" fillId="8" borderId="0" xfId="0" applyFont="1" applyFill="1" applyBorder="1"/>
    <xf numFmtId="0" fontId="52" fillId="8" borderId="0" xfId="0" applyFont="1" applyFill="1" applyBorder="1" applyAlignment="1">
      <alignment vertical="center"/>
    </xf>
    <xf numFmtId="0" fontId="51" fillId="8" borderId="6" xfId="0" applyFont="1" applyFill="1" applyBorder="1" applyProtection="1"/>
    <xf numFmtId="0" fontId="51" fillId="8" borderId="8" xfId="0" applyFont="1" applyFill="1" applyBorder="1" applyProtection="1"/>
    <xf numFmtId="0" fontId="4" fillId="8" borderId="8" xfId="0" applyFont="1" applyFill="1" applyBorder="1"/>
    <xf numFmtId="0" fontId="4" fillId="8" borderId="7" xfId="0" applyFont="1" applyFill="1" applyBorder="1"/>
    <xf numFmtId="0" fontId="4" fillId="8" borderId="9" xfId="0" applyFont="1" applyFill="1" applyBorder="1"/>
    <xf numFmtId="0" fontId="4" fillId="8" borderId="0" xfId="0" applyFont="1" applyFill="1" applyBorder="1"/>
    <xf numFmtId="0" fontId="8" fillId="8" borderId="0" xfId="0" applyFont="1" applyFill="1" applyBorder="1" applyAlignment="1" applyProtection="1">
      <alignment horizontal="left"/>
    </xf>
    <xf numFmtId="0" fontId="4" fillId="8" borderId="10" xfId="0" applyFont="1" applyFill="1" applyBorder="1"/>
    <xf numFmtId="0" fontId="8" fillId="0" borderId="1" xfId="0" applyFont="1" applyFill="1" applyBorder="1" applyAlignment="1">
      <alignment horizontal="center"/>
    </xf>
    <xf numFmtId="0" fontId="51" fillId="8" borderId="0" xfId="0" applyFont="1" applyFill="1" applyBorder="1" applyAlignment="1" applyProtection="1">
      <alignment horizontal="left"/>
    </xf>
    <xf numFmtId="0" fontId="51" fillId="8" borderId="0" xfId="0" applyFont="1" applyFill="1" applyBorder="1" applyProtection="1"/>
    <xf numFmtId="0" fontId="51" fillId="8" borderId="0" xfId="0" applyFont="1" applyFill="1" applyBorder="1" applyAlignment="1">
      <alignment horizontal="left"/>
    </xf>
    <xf numFmtId="0" fontId="4" fillId="3" borderId="1" xfId="0" applyFont="1" applyFill="1" applyBorder="1"/>
    <xf numFmtId="0" fontId="4" fillId="8" borderId="11" xfId="0" applyFont="1" applyFill="1" applyBorder="1"/>
    <xf numFmtId="0" fontId="4" fillId="8" borderId="30" xfId="0" applyFont="1" applyFill="1" applyBorder="1"/>
    <xf numFmtId="0" fontId="4" fillId="8" borderId="12" xfId="0" applyFont="1" applyFill="1" applyBorder="1"/>
    <xf numFmtId="0" fontId="56" fillId="5" borderId="0" xfId="0" applyFont="1" applyFill="1" applyAlignment="1">
      <alignment horizontal="right"/>
    </xf>
    <xf numFmtId="0" fontId="54" fillId="5" borderId="0" xfId="0" applyFont="1" applyFill="1" applyAlignment="1">
      <alignment horizontal="left"/>
    </xf>
    <xf numFmtId="1" fontId="4" fillId="3" borderId="1" xfId="0" applyNumberFormat="1" applyFont="1" applyFill="1" applyBorder="1"/>
    <xf numFmtId="0" fontId="40" fillId="0" borderId="18" xfId="0" applyFont="1" applyFill="1" applyBorder="1" applyAlignment="1" applyProtection="1">
      <protection locked="0"/>
    </xf>
    <xf numFmtId="0" fontId="58" fillId="5" borderId="0" xfId="0" applyFont="1" applyFill="1" applyBorder="1" applyAlignment="1">
      <alignment horizontal="left"/>
    </xf>
    <xf numFmtId="0" fontId="36" fillId="5" borderId="0" xfId="0" applyFont="1" applyFill="1"/>
    <xf numFmtId="0" fontId="36" fillId="5" borderId="0" xfId="0" applyFont="1" applyFill="1" applyAlignment="1">
      <alignment horizontal="center" vertical="top"/>
    </xf>
    <xf numFmtId="0" fontId="36" fillId="5" borderId="0" xfId="0" applyFont="1" applyFill="1" applyBorder="1" applyAlignment="1">
      <alignment horizontal="center"/>
    </xf>
    <xf numFmtId="0" fontId="66" fillId="5" borderId="23" xfId="0" applyFont="1" applyFill="1" applyBorder="1"/>
    <xf numFmtId="1" fontId="0" fillId="0" borderId="0" xfId="0" applyNumberFormat="1" applyFill="1" applyBorder="1"/>
    <xf numFmtId="0" fontId="0" fillId="0" borderId="0" xfId="0" applyFill="1" applyBorder="1" applyAlignment="1">
      <alignment horizontal="right"/>
    </xf>
    <xf numFmtId="0" fontId="0" fillId="0" borderId="0" xfId="0" applyFill="1" applyBorder="1" applyAlignment="1">
      <alignment horizontal="left"/>
    </xf>
    <xf numFmtId="0" fontId="10" fillId="0" borderId="0" xfId="0" applyFont="1" applyFill="1" applyBorder="1" applyAlignment="1"/>
    <xf numFmtId="0" fontId="40" fillId="0" borderId="2" xfId="0" applyFont="1" applyBorder="1"/>
    <xf numFmtId="0" fontId="40" fillId="0" borderId="4" xfId="0" applyFont="1" applyBorder="1"/>
    <xf numFmtId="0" fontId="0" fillId="0" borderId="1" xfId="0" applyFill="1" applyBorder="1"/>
    <xf numFmtId="0" fontId="0" fillId="0" borderId="2" xfId="0" applyFill="1" applyBorder="1"/>
    <xf numFmtId="0" fontId="0" fillId="0" borderId="4" xfId="0" applyFill="1" applyBorder="1"/>
    <xf numFmtId="0" fontId="0" fillId="0" borderId="1" xfId="0" applyFill="1" applyBorder="1" applyAlignment="1">
      <alignment horizontal="right"/>
    </xf>
    <xf numFmtId="1" fontId="0" fillId="0" borderId="1" xfId="0" applyNumberFormat="1" applyFill="1" applyBorder="1"/>
    <xf numFmtId="43" fontId="0" fillId="0" borderId="31" xfId="0" applyNumberFormat="1" applyFill="1" applyBorder="1" applyProtection="1">
      <protection locked="0"/>
    </xf>
    <xf numFmtId="0" fontId="40" fillId="10" borderId="1" xfId="0" applyFont="1" applyFill="1" applyBorder="1" applyAlignment="1">
      <alignment horizontal="center"/>
    </xf>
    <xf numFmtId="0" fontId="40" fillId="10" borderId="2" xfId="0" applyFont="1" applyFill="1" applyBorder="1" applyAlignment="1">
      <alignment horizontal="center"/>
    </xf>
    <xf numFmtId="2" fontId="40" fillId="0" borderId="0" xfId="0" applyNumberFormat="1" applyFont="1" applyBorder="1"/>
    <xf numFmtId="0" fontId="4" fillId="0" borderId="0" xfId="0" applyFont="1" applyFill="1" applyAlignment="1" applyProtection="1">
      <alignment horizontal="center"/>
    </xf>
    <xf numFmtId="49" fontId="4" fillId="0" borderId="0" xfId="0" applyNumberFormat="1" applyFont="1" applyFill="1" applyProtection="1"/>
    <xf numFmtId="1" fontId="5" fillId="0" borderId="3" xfId="0" applyNumberFormat="1" applyFont="1" applyFill="1" applyBorder="1" applyAlignment="1">
      <alignment horizontal="center"/>
    </xf>
    <xf numFmtId="1" fontId="5" fillId="0" borderId="4" xfId="0" applyNumberFormat="1" applyFont="1" applyFill="1" applyBorder="1" applyAlignment="1">
      <alignment horizontal="center"/>
    </xf>
    <xf numFmtId="2" fontId="5" fillId="0" borderId="4" xfId="0" applyNumberFormat="1" applyFont="1" applyFill="1" applyBorder="1" applyAlignment="1">
      <alignment horizontal="center"/>
    </xf>
    <xf numFmtId="2" fontId="5" fillId="0" borderId="4" xfId="0" applyNumberFormat="1" applyFont="1" applyBorder="1" applyAlignment="1">
      <alignment horizontal="center"/>
    </xf>
    <xf numFmtId="0" fontId="40" fillId="0" borderId="0" xfId="0" applyFont="1" applyProtection="1">
      <protection locked="0"/>
    </xf>
    <xf numFmtId="0" fontId="5" fillId="10" borderId="1" xfId="0" applyFont="1" applyFill="1" applyBorder="1" applyProtection="1"/>
    <xf numFmtId="0" fontId="23" fillId="0" borderId="1" xfId="0" applyFont="1" applyBorder="1" applyProtection="1"/>
    <xf numFmtId="0" fontId="20" fillId="0" borderId="1" xfId="0" applyFont="1" applyBorder="1" applyProtection="1"/>
    <xf numFmtId="0" fontId="5" fillId="0" borderId="0" xfId="0" applyFont="1" applyProtection="1"/>
    <xf numFmtId="0" fontId="17" fillId="0" borderId="0" xfId="0" applyFont="1" applyBorder="1" applyProtection="1"/>
    <xf numFmtId="0" fontId="5" fillId="0" borderId="1" xfId="0" applyFont="1" applyBorder="1" applyProtection="1"/>
    <xf numFmtId="0" fontId="5" fillId="0" borderId="0" xfId="0" applyFont="1" applyBorder="1" applyProtection="1"/>
    <xf numFmtId="0" fontId="69" fillId="0" borderId="0" xfId="0" applyFont="1"/>
    <xf numFmtId="0" fontId="68" fillId="0" borderId="0" xfId="0" applyFont="1"/>
    <xf numFmtId="0" fontId="68" fillId="0" borderId="0" xfId="0" applyFont="1" applyAlignment="1" applyProtection="1"/>
    <xf numFmtId="0" fontId="56" fillId="0" borderId="0" xfId="0" applyFont="1" applyProtection="1"/>
    <xf numFmtId="49" fontId="56" fillId="0" borderId="32" xfId="0" applyNumberFormat="1" applyFont="1" applyFill="1" applyBorder="1" applyAlignment="1" applyProtection="1">
      <alignment horizontal="center"/>
    </xf>
    <xf numFmtId="2" fontId="4" fillId="0" borderId="16" xfId="0" applyNumberFormat="1" applyFont="1" applyFill="1" applyBorder="1" applyAlignment="1" applyProtection="1">
      <alignment horizontal="center"/>
    </xf>
    <xf numFmtId="49" fontId="56" fillId="0" borderId="0" xfId="0" applyNumberFormat="1" applyFont="1" applyFill="1" applyProtection="1"/>
    <xf numFmtId="49" fontId="56" fillId="0" borderId="33" xfId="0" applyNumberFormat="1" applyFont="1" applyFill="1" applyBorder="1" applyAlignment="1" applyProtection="1">
      <alignment horizontal="center"/>
    </xf>
    <xf numFmtId="49" fontId="56" fillId="0" borderId="0" xfId="0" applyNumberFormat="1" applyFont="1" applyFill="1" applyBorder="1" applyAlignment="1" applyProtection="1">
      <alignment horizontal="center"/>
    </xf>
    <xf numFmtId="0" fontId="4" fillId="5" borderId="0" xfId="0" applyFont="1" applyFill="1" applyBorder="1" applyAlignment="1" applyProtection="1">
      <alignment horizontal="right"/>
    </xf>
    <xf numFmtId="0" fontId="36" fillId="5" borderId="0" xfId="0" applyFont="1" applyFill="1" applyBorder="1" applyProtection="1"/>
    <xf numFmtId="0" fontId="36" fillId="5" borderId="0" xfId="0" applyFont="1" applyFill="1" applyProtection="1"/>
    <xf numFmtId="0" fontId="36" fillId="5" borderId="0" xfId="0" applyFont="1" applyFill="1" applyBorder="1" applyAlignment="1" applyProtection="1">
      <alignment horizontal="left" indent="2"/>
    </xf>
    <xf numFmtId="0" fontId="65" fillId="5" borderId="0" xfId="0" applyFont="1" applyFill="1" applyProtection="1"/>
    <xf numFmtId="0" fontId="4" fillId="0" borderId="4" xfId="0" applyFont="1" applyFill="1" applyBorder="1" applyProtection="1">
      <protection locked="0"/>
    </xf>
    <xf numFmtId="0" fontId="4" fillId="0" borderId="0" xfId="0" applyFont="1" applyBorder="1" applyProtection="1">
      <protection locked="0"/>
    </xf>
    <xf numFmtId="0" fontId="62" fillId="0" borderId="0" xfId="0" applyFont="1" applyAlignment="1" applyProtection="1">
      <alignment horizontal="right"/>
    </xf>
    <xf numFmtId="0" fontId="4" fillId="5" borderId="1" xfId="0" applyFont="1" applyFill="1" applyBorder="1" applyProtection="1"/>
    <xf numFmtId="0" fontId="36" fillId="5" borderId="30" xfId="0" applyFont="1" applyFill="1" applyBorder="1" applyAlignment="1" applyProtection="1">
      <alignment horizontal="left"/>
    </xf>
    <xf numFmtId="0" fontId="5" fillId="5" borderId="1" xfId="0" applyFont="1" applyFill="1" applyBorder="1" applyProtection="1"/>
    <xf numFmtId="0" fontId="5" fillId="5" borderId="16" xfId="0" applyFont="1" applyFill="1" applyBorder="1" applyProtection="1"/>
    <xf numFmtId="0" fontId="4" fillId="5" borderId="4" xfId="0" applyFont="1" applyFill="1" applyBorder="1" applyProtection="1"/>
    <xf numFmtId="7" fontId="40" fillId="0" borderId="1" xfId="0" applyNumberFormat="1" applyFont="1" applyFill="1" applyBorder="1" applyProtection="1">
      <protection locked="0"/>
    </xf>
    <xf numFmtId="0" fontId="4" fillId="0" borderId="0" xfId="0" applyFont="1" applyFill="1" applyBorder="1" applyAlignment="1">
      <alignment wrapText="1"/>
    </xf>
    <xf numFmtId="0" fontId="40" fillId="10" borderId="1" xfId="0" applyFont="1" applyFill="1" applyBorder="1"/>
    <xf numFmtId="1" fontId="5" fillId="0" borderId="4" xfId="0" applyNumberFormat="1" applyFont="1" applyBorder="1" applyAlignment="1">
      <alignment horizontal="center"/>
    </xf>
    <xf numFmtId="0" fontId="36" fillId="5" borderId="0" xfId="0" applyFont="1" applyFill="1" applyBorder="1" applyAlignment="1" applyProtection="1">
      <alignment horizontal="right"/>
    </xf>
    <xf numFmtId="0" fontId="71" fillId="5" borderId="0" xfId="0" applyFont="1" applyFill="1" applyBorder="1" applyAlignment="1" applyProtection="1">
      <alignment horizontal="right"/>
    </xf>
    <xf numFmtId="0" fontId="4" fillId="0" borderId="0" xfId="0" applyFont="1" applyFill="1" applyBorder="1" applyAlignment="1" applyProtection="1">
      <alignment horizontal="center"/>
    </xf>
    <xf numFmtId="2" fontId="4" fillId="0" borderId="0" xfId="0" applyNumberFormat="1" applyFont="1" applyFill="1" applyBorder="1" applyAlignment="1" applyProtection="1">
      <alignment horizontal="center"/>
    </xf>
    <xf numFmtId="0" fontId="4" fillId="5" borderId="20" xfId="0" applyFont="1" applyFill="1" applyBorder="1" applyProtection="1"/>
    <xf numFmtId="0" fontId="4" fillId="5" borderId="21" xfId="0" applyFont="1" applyFill="1" applyBorder="1" applyProtection="1"/>
    <xf numFmtId="0" fontId="4" fillId="5" borderId="22" xfId="0" applyFont="1" applyFill="1" applyBorder="1" applyAlignment="1" applyProtection="1">
      <alignment horizontal="right"/>
    </xf>
    <xf numFmtId="0" fontId="4" fillId="5" borderId="23" xfId="0" applyFont="1" applyFill="1" applyBorder="1" applyProtection="1"/>
    <xf numFmtId="0" fontId="71" fillId="5" borderId="22" xfId="0" applyFont="1" applyFill="1" applyBorder="1" applyAlignment="1" applyProtection="1">
      <alignment horizontal="right"/>
    </xf>
    <xf numFmtId="0" fontId="4" fillId="5" borderId="22" xfId="0" applyFont="1" applyFill="1" applyBorder="1" applyProtection="1"/>
    <xf numFmtId="0" fontId="4" fillId="5" borderId="24" xfId="0" applyFont="1" applyFill="1" applyBorder="1" applyProtection="1"/>
    <xf numFmtId="0" fontId="4" fillId="5" borderId="25" xfId="0" applyFont="1" applyFill="1" applyBorder="1" applyProtection="1"/>
    <xf numFmtId="0" fontId="4" fillId="5" borderId="26" xfId="0" applyFont="1" applyFill="1" applyBorder="1" applyProtection="1"/>
    <xf numFmtId="0" fontId="36" fillId="5" borderId="22" xfId="0" applyFont="1" applyFill="1" applyBorder="1" applyAlignment="1" applyProtection="1">
      <alignment horizontal="right"/>
    </xf>
    <xf numFmtId="0" fontId="71" fillId="5" borderId="24" xfId="0" applyFont="1" applyFill="1" applyBorder="1" applyAlignment="1" applyProtection="1">
      <alignment horizontal="right"/>
    </xf>
    <xf numFmtId="0" fontId="36" fillId="5" borderId="25" xfId="0" applyFont="1" applyFill="1" applyBorder="1" applyAlignment="1" applyProtection="1">
      <alignment horizontal="right"/>
    </xf>
    <xf numFmtId="1" fontId="4" fillId="5" borderId="0" xfId="0" applyNumberFormat="1" applyFont="1" applyFill="1" applyBorder="1" applyAlignment="1" applyProtection="1">
      <alignment horizontal="right"/>
    </xf>
    <xf numFmtId="0" fontId="40" fillId="5" borderId="22" xfId="0" applyFont="1" applyFill="1" applyBorder="1" applyAlignment="1" applyProtection="1">
      <alignment horizontal="right"/>
    </xf>
    <xf numFmtId="0" fontId="58" fillId="5" borderId="19" xfId="0" applyFont="1" applyFill="1" applyBorder="1" applyProtection="1"/>
    <xf numFmtId="0" fontId="40" fillId="5" borderId="20" xfId="0" applyFont="1" applyFill="1" applyBorder="1" applyProtection="1"/>
    <xf numFmtId="0" fontId="40" fillId="5" borderId="21" xfId="0" applyFont="1" applyFill="1" applyBorder="1" applyProtection="1"/>
    <xf numFmtId="0" fontId="40" fillId="5" borderId="0" xfId="0" applyFont="1" applyFill="1" applyBorder="1" applyAlignment="1" applyProtection="1">
      <alignment horizontal="right"/>
    </xf>
    <xf numFmtId="0" fontId="40" fillId="5" borderId="23" xfId="0" applyFont="1" applyFill="1" applyBorder="1" applyProtection="1"/>
    <xf numFmtId="0" fontId="40" fillId="5" borderId="22" xfId="0" applyFont="1" applyFill="1" applyBorder="1" applyProtection="1"/>
    <xf numFmtId="0" fontId="58" fillId="5" borderId="22" xfId="0" applyFont="1" applyFill="1" applyBorder="1" applyProtection="1"/>
    <xf numFmtId="0" fontId="40" fillId="5" borderId="24" xfId="0" applyFont="1" applyFill="1" applyBorder="1" applyProtection="1"/>
    <xf numFmtId="0" fontId="40" fillId="5" borderId="25" xfId="0" applyFont="1" applyFill="1" applyBorder="1" applyProtection="1"/>
    <xf numFmtId="0" fontId="40" fillId="5" borderId="26" xfId="0" applyFont="1" applyFill="1" applyBorder="1" applyProtection="1"/>
    <xf numFmtId="1" fontId="40" fillId="5" borderId="0" xfId="0" applyNumberFormat="1" applyFont="1" applyFill="1" applyBorder="1" applyAlignment="1" applyProtection="1">
      <alignment horizontal="right"/>
    </xf>
    <xf numFmtId="0" fontId="36" fillId="5" borderId="0" xfId="0" applyFont="1" applyFill="1" applyBorder="1" applyAlignment="1" applyProtection="1">
      <alignment horizontal="right" vertical="top"/>
    </xf>
    <xf numFmtId="0" fontId="17" fillId="0" borderId="6" xfId="0" applyFont="1" applyBorder="1"/>
    <xf numFmtId="0" fontId="23" fillId="0" borderId="9" xfId="0" applyFont="1" applyBorder="1"/>
    <xf numFmtId="0" fontId="17" fillId="0" borderId="9" xfId="0" applyFont="1" applyBorder="1"/>
    <xf numFmtId="0" fontId="5" fillId="0" borderId="11" xfId="0" applyFont="1" applyBorder="1"/>
    <xf numFmtId="0" fontId="5" fillId="0" borderId="10" xfId="0" applyFont="1" applyBorder="1" applyAlignment="1">
      <alignment horizontal="center"/>
    </xf>
    <xf numFmtId="0" fontId="62" fillId="0" borderId="34" xfId="0" applyFont="1" applyBorder="1" applyAlignment="1">
      <alignment horizontal="center"/>
    </xf>
    <xf numFmtId="0" fontId="62" fillId="0" borderId="35" xfId="0" applyFont="1" applyBorder="1" applyAlignment="1">
      <alignment horizontal="center"/>
    </xf>
    <xf numFmtId="0" fontId="5" fillId="0" borderId="36" xfId="0" applyFont="1" applyBorder="1"/>
    <xf numFmtId="0" fontId="62" fillId="0" borderId="37" xfId="0" applyFont="1" applyBorder="1" applyAlignment="1">
      <alignment horizontal="center"/>
    </xf>
    <xf numFmtId="0" fontId="5" fillId="0" borderId="38" xfId="0" applyFont="1" applyBorder="1" applyAlignment="1">
      <alignment horizontal="center"/>
    </xf>
    <xf numFmtId="0" fontId="5" fillId="0" borderId="39" xfId="0" applyFont="1" applyBorder="1" applyAlignment="1">
      <alignment horizontal="center"/>
    </xf>
    <xf numFmtId="0" fontId="62"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10" borderId="42" xfId="0" applyFont="1" applyFill="1" applyBorder="1" applyAlignment="1">
      <alignment horizontal="center"/>
    </xf>
    <xf numFmtId="0" fontId="5" fillId="10" borderId="43" xfId="0" applyFont="1" applyFill="1" applyBorder="1" applyAlignment="1">
      <alignment horizontal="center"/>
    </xf>
    <xf numFmtId="0" fontId="36" fillId="5" borderId="0" xfId="0" applyFont="1" applyFill="1" applyBorder="1" applyAlignment="1">
      <alignment horizontal="left"/>
    </xf>
    <xf numFmtId="0" fontId="40" fillId="10" borderId="0" xfId="0" applyFont="1" applyFill="1"/>
    <xf numFmtId="2" fontId="4" fillId="10" borderId="16" xfId="0" applyNumberFormat="1" applyFont="1" applyFill="1" applyBorder="1" applyAlignment="1" applyProtection="1">
      <alignment horizontal="center"/>
    </xf>
    <xf numFmtId="0" fontId="4" fillId="10" borderId="16" xfId="0" applyFont="1" applyFill="1" applyBorder="1" applyAlignment="1" applyProtection="1">
      <alignment horizontal="center"/>
    </xf>
    <xf numFmtId="1" fontId="4" fillId="10" borderId="16" xfId="0" applyNumberFormat="1" applyFont="1" applyFill="1" applyBorder="1" applyAlignment="1" applyProtection="1">
      <alignment horizontal="center"/>
    </xf>
    <xf numFmtId="2" fontId="4" fillId="10" borderId="1" xfId="0" applyNumberFormat="1" applyFont="1" applyFill="1" applyBorder="1" applyAlignment="1" applyProtection="1">
      <alignment horizontal="center"/>
    </xf>
    <xf numFmtId="0" fontId="40" fillId="10" borderId="0" xfId="0" applyFont="1" applyFill="1" applyAlignment="1">
      <alignment horizontal="center"/>
    </xf>
    <xf numFmtId="0" fontId="40" fillId="4" borderId="1" xfId="0" applyFont="1" applyFill="1" applyBorder="1" applyAlignment="1">
      <alignment horizontal="center"/>
    </xf>
    <xf numFmtId="0" fontId="41" fillId="10" borderId="1" xfId="0" applyFont="1" applyFill="1" applyBorder="1" applyAlignment="1" applyProtection="1">
      <alignment horizontal="center"/>
    </xf>
    <xf numFmtId="0" fontId="41" fillId="10" borderId="1" xfId="0" applyFont="1" applyFill="1" applyBorder="1" applyAlignment="1" applyProtection="1">
      <alignment horizontal="center"/>
      <protection locked="0"/>
    </xf>
    <xf numFmtId="0" fontId="4" fillId="0" borderId="0" xfId="0" applyFont="1" applyAlignment="1">
      <alignment horizontal="left" indent="1"/>
    </xf>
    <xf numFmtId="0" fontId="30" fillId="0" borderId="0" xfId="0" applyFont="1" applyAlignment="1">
      <alignment horizontal="left" indent="1"/>
    </xf>
    <xf numFmtId="0" fontId="4" fillId="0" borderId="0" xfId="0" quotePrefix="1" applyFont="1"/>
    <xf numFmtId="0" fontId="30" fillId="0" borderId="0" xfId="0" quotePrefix="1" applyFont="1"/>
    <xf numFmtId="4" fontId="0" fillId="0" borderId="1" xfId="0" applyNumberFormat="1" applyFill="1" applyBorder="1" applyProtection="1">
      <protection locked="0"/>
    </xf>
    <xf numFmtId="3" fontId="0" fillId="0" borderId="1" xfId="0" applyNumberFormat="1" applyFill="1" applyBorder="1" applyProtection="1">
      <protection locked="0"/>
    </xf>
    <xf numFmtId="4" fontId="4" fillId="0" borderId="0" xfId="0" applyNumberFormat="1" applyFont="1" applyBorder="1" applyProtection="1">
      <protection locked="0"/>
    </xf>
    <xf numFmtId="0" fontId="4" fillId="13" borderId="0" xfId="0" applyFont="1" applyFill="1"/>
    <xf numFmtId="0" fontId="4" fillId="13" borderId="0" xfId="0" quotePrefix="1" applyFont="1" applyFill="1" applyAlignment="1">
      <alignment horizontal="center"/>
    </xf>
    <xf numFmtId="0" fontId="4" fillId="13" borderId="0" xfId="0" applyFont="1" applyFill="1" applyAlignment="1">
      <alignment horizontal="center"/>
    </xf>
    <xf numFmtId="3" fontId="8" fillId="5" borderId="0" xfId="0" applyNumberFormat="1" applyFont="1" applyFill="1" applyBorder="1" applyAlignment="1" applyProtection="1">
      <protection locked="0"/>
    </xf>
    <xf numFmtId="169" fontId="4" fillId="5" borderId="0" xfId="1" applyNumberFormat="1" applyFont="1" applyFill="1" applyBorder="1" applyAlignment="1" applyProtection="1">
      <protection locked="0"/>
    </xf>
    <xf numFmtId="41" fontId="4" fillId="5" borderId="0" xfId="1" applyNumberFormat="1" applyFont="1" applyFill="1" applyBorder="1" applyAlignment="1" applyProtection="1">
      <protection locked="0"/>
    </xf>
    <xf numFmtId="0" fontId="8" fillId="5" borderId="0" xfId="0" applyFont="1" applyFill="1" applyProtection="1">
      <protection locked="0"/>
    </xf>
    <xf numFmtId="0" fontId="8" fillId="5" borderId="0" xfId="0" applyFont="1" applyFill="1" applyAlignment="1" applyProtection="1">
      <alignment horizontal="center"/>
      <protection locked="0"/>
    </xf>
    <xf numFmtId="42" fontId="4" fillId="0" borderId="1" xfId="1" applyNumberFormat="1" applyFont="1" applyBorder="1" applyProtection="1">
      <protection locked="0"/>
    </xf>
    <xf numFmtId="42" fontId="4" fillId="0" borderId="1" xfId="0" applyNumberFormat="1" applyFont="1" applyFill="1" applyBorder="1" applyProtection="1">
      <protection locked="0"/>
    </xf>
    <xf numFmtId="42" fontId="4" fillId="0" borderId="1" xfId="0" applyNumberFormat="1" applyFont="1" applyFill="1" applyBorder="1" applyAlignment="1" applyProtection="1">
      <protection locked="0"/>
    </xf>
    <xf numFmtId="42" fontId="4" fillId="0" borderId="1" xfId="0" applyNumberFormat="1" applyFont="1" applyFill="1" applyBorder="1" applyAlignment="1" applyProtection="1">
      <alignment horizontal="right"/>
      <protection locked="0"/>
    </xf>
    <xf numFmtId="42" fontId="4" fillId="0" borderId="1" xfId="1" applyNumberFormat="1" applyFont="1" applyFill="1" applyBorder="1" applyProtection="1">
      <protection locked="0"/>
    </xf>
    <xf numFmtId="42" fontId="4" fillId="0" borderId="1" xfId="0" quotePrefix="1" applyNumberFormat="1" applyFont="1" applyFill="1" applyBorder="1" applyAlignment="1" applyProtection="1">
      <alignment horizontal="right"/>
      <protection locked="0"/>
    </xf>
    <xf numFmtId="0" fontId="72" fillId="4" borderId="0" xfId="0" applyFont="1" applyFill="1" applyBorder="1" applyAlignment="1" applyProtection="1">
      <alignment horizontal="right"/>
    </xf>
    <xf numFmtId="0" fontId="40" fillId="4" borderId="22" xfId="0" applyFont="1" applyFill="1" applyBorder="1" applyAlignment="1" applyProtection="1">
      <alignment horizontal="left"/>
    </xf>
    <xf numFmtId="0" fontId="4" fillId="0" borderId="0" xfId="0" applyFont="1" applyFill="1" applyBorder="1" applyProtection="1">
      <protection locked="0"/>
    </xf>
    <xf numFmtId="0" fontId="40" fillId="4" borderId="19" xfId="0" applyFont="1" applyFill="1" applyBorder="1" applyAlignment="1" applyProtection="1">
      <alignment horizontal="right"/>
    </xf>
    <xf numFmtId="0" fontId="4" fillId="0" borderId="27" xfId="0" applyFont="1" applyFill="1" applyBorder="1" applyAlignment="1">
      <alignment horizontal="center"/>
    </xf>
    <xf numFmtId="1" fontId="4" fillId="0" borderId="10" xfId="0" quotePrefix="1" applyNumberFormat="1" applyFont="1" applyFill="1" applyBorder="1"/>
    <xf numFmtId="0" fontId="8" fillId="0" borderId="0" xfId="0" applyFont="1" applyFill="1" applyBorder="1" applyAlignment="1">
      <alignment horizontal="left"/>
    </xf>
    <xf numFmtId="0" fontId="41" fillId="0" borderId="0" xfId="0" applyFont="1" applyFill="1"/>
    <xf numFmtId="0" fontId="4" fillId="0" borderId="1" xfId="0" applyFont="1" applyFill="1" applyBorder="1" applyAlignment="1">
      <alignment horizontal="left"/>
    </xf>
    <xf numFmtId="0" fontId="3" fillId="0" borderId="0" xfId="0" applyFont="1" applyFill="1" applyBorder="1" applyAlignment="1">
      <alignment horizontal="left"/>
    </xf>
    <xf numFmtId="0" fontId="57" fillId="0" borderId="0" xfId="0" applyFont="1" applyFill="1" applyBorder="1" applyAlignment="1">
      <alignment horizontal="left"/>
    </xf>
    <xf numFmtId="0" fontId="8" fillId="0" borderId="0" xfId="0" applyFont="1" applyFill="1" applyBorder="1" applyAlignment="1">
      <alignment horizontal="right"/>
    </xf>
    <xf numFmtId="172" fontId="4" fillId="0" borderId="0" xfId="0" applyNumberFormat="1" applyFont="1" applyFill="1" applyBorder="1" applyAlignment="1"/>
    <xf numFmtId="2" fontId="4" fillId="0" borderId="16" xfId="0" applyNumberFormat="1" applyFont="1" applyFill="1" applyBorder="1" applyAlignment="1"/>
    <xf numFmtId="1" fontId="4" fillId="0" borderId="0" xfId="0" applyNumberFormat="1" applyFont="1" applyFill="1" applyAlignment="1">
      <alignment horizontal="right"/>
    </xf>
    <xf numFmtId="0" fontId="28" fillId="0" borderId="0" xfId="0" applyFont="1" applyFill="1" applyProtection="1"/>
    <xf numFmtId="0" fontId="74" fillId="0" borderId="0" xfId="0" applyFont="1" applyFill="1"/>
    <xf numFmtId="0" fontId="74" fillId="0" borderId="1" xfId="0" applyFont="1" applyFill="1" applyBorder="1"/>
    <xf numFmtId="0" fontId="74" fillId="0" borderId="0" xfId="0" applyFont="1" applyFill="1" applyBorder="1"/>
    <xf numFmtId="0" fontId="74" fillId="0" borderId="4" xfId="0" applyFont="1" applyFill="1" applyBorder="1"/>
    <xf numFmtId="0" fontId="5" fillId="0" borderId="4" xfId="0" applyFont="1" applyFill="1" applyBorder="1"/>
    <xf numFmtId="0" fontId="74" fillId="0" borderId="1" xfId="0" applyFont="1" applyBorder="1" applyAlignment="1">
      <alignment horizontal="left"/>
    </xf>
    <xf numFmtId="0" fontId="74" fillId="0" borderId="0" xfId="0" applyFont="1" applyAlignment="1">
      <alignment horizontal="left"/>
    </xf>
    <xf numFmtId="2" fontId="40" fillId="0" borderId="0" xfId="0" applyNumberFormat="1" applyFont="1"/>
    <xf numFmtId="2" fontId="40" fillId="10" borderId="1" xfId="0" applyNumberFormat="1" applyFont="1" applyFill="1" applyBorder="1"/>
    <xf numFmtId="0" fontId="40" fillId="0" borderId="1" xfId="0" applyFont="1" applyBorder="1" applyProtection="1">
      <protection locked="0"/>
    </xf>
    <xf numFmtId="0" fontId="40" fillId="0" borderId="1" xfId="0" applyFont="1" applyBorder="1" applyAlignment="1" applyProtection="1">
      <alignment horizontal="center"/>
      <protection locked="0"/>
    </xf>
    <xf numFmtId="0" fontId="40" fillId="0" borderId="17" xfId="0" applyFont="1" applyBorder="1" applyProtection="1">
      <protection locked="0"/>
    </xf>
    <xf numFmtId="0" fontId="40" fillId="0" borderId="16" xfId="0" applyFont="1" applyBorder="1" applyProtection="1">
      <protection locked="0"/>
    </xf>
    <xf numFmtId="0" fontId="40" fillId="0" borderId="1" xfId="0" applyFont="1" applyBorder="1" applyAlignment="1" applyProtection="1">
      <alignment horizontal="center" wrapText="1"/>
      <protection locked="0"/>
    </xf>
    <xf numFmtId="1" fontId="40" fillId="0" borderId="1" xfId="0" applyNumberFormat="1" applyFont="1" applyBorder="1" applyAlignment="1" applyProtection="1">
      <alignment horizontal="right"/>
      <protection locked="0"/>
    </xf>
    <xf numFmtId="0" fontId="0" fillId="10" borderId="6" xfId="0" applyFill="1" applyBorder="1"/>
    <xf numFmtId="0" fontId="40" fillId="10" borderId="8" xfId="0" applyFont="1" applyFill="1" applyBorder="1"/>
    <xf numFmtId="0" fontId="28" fillId="10" borderId="8" xfId="0" applyFont="1" applyFill="1" applyBorder="1"/>
    <xf numFmtId="0" fontId="40" fillId="10" borderId="7" xfId="0" applyFont="1" applyFill="1" applyBorder="1"/>
    <xf numFmtId="0" fontId="0" fillId="10" borderId="9" xfId="0" applyFill="1" applyBorder="1"/>
    <xf numFmtId="0" fontId="40" fillId="10" borderId="0" xfId="0" applyFont="1" applyFill="1" applyBorder="1"/>
    <xf numFmtId="0" fontId="28" fillId="10" borderId="0" xfId="0" applyFont="1" applyFill="1" applyBorder="1"/>
    <xf numFmtId="0" fontId="40" fillId="10" borderId="10" xfId="0" applyFont="1" applyFill="1" applyBorder="1"/>
    <xf numFmtId="0" fontId="0" fillId="10" borderId="11" xfId="0" applyFill="1" applyBorder="1"/>
    <xf numFmtId="0" fontId="40" fillId="10" borderId="30" xfId="0" applyFont="1" applyFill="1" applyBorder="1"/>
    <xf numFmtId="0" fontId="28" fillId="10" borderId="30" xfId="0" applyFont="1" applyFill="1" applyBorder="1"/>
    <xf numFmtId="0" fontId="40" fillId="10" borderId="12" xfId="0" applyFont="1" applyFill="1" applyBorder="1"/>
    <xf numFmtId="0" fontId="40" fillId="0" borderId="1" xfId="0" applyFont="1" applyFill="1" applyBorder="1" applyAlignment="1" applyProtection="1">
      <alignment horizontal="center"/>
      <protection locked="0"/>
    </xf>
    <xf numFmtId="0" fontId="40" fillId="9" borderId="1" xfId="0" applyFont="1" applyFill="1" applyBorder="1" applyProtection="1">
      <protection locked="0"/>
    </xf>
    <xf numFmtId="175" fontId="40" fillId="9" borderId="1" xfId="0" applyNumberFormat="1" applyFont="1" applyFill="1" applyBorder="1" applyProtection="1">
      <protection locked="0"/>
    </xf>
    <xf numFmtId="0" fontId="40" fillId="0" borderId="0" xfId="0" applyFont="1" applyFill="1" applyAlignment="1">
      <alignment horizontal="left"/>
    </xf>
    <xf numFmtId="1" fontId="40" fillId="0" borderId="0" xfId="0" applyNumberFormat="1" applyFont="1" applyFill="1" applyBorder="1" applyAlignment="1">
      <alignment horizontal="right"/>
    </xf>
    <xf numFmtId="0" fontId="40" fillId="0" borderId="27" xfId="0" applyFont="1" applyFill="1" applyBorder="1"/>
    <xf numFmtId="0" fontId="40" fillId="0" borderId="16" xfId="0" applyFont="1" applyFill="1" applyBorder="1"/>
    <xf numFmtId="0" fontId="4" fillId="0" borderId="17" xfId="0" applyFont="1" applyFill="1" applyBorder="1" applyAlignment="1">
      <alignment horizontal="left"/>
    </xf>
    <xf numFmtId="0" fontId="36" fillId="0" borderId="0" xfId="0" applyFont="1" applyFill="1" applyBorder="1" applyAlignment="1">
      <alignment horizontal="right"/>
    </xf>
    <xf numFmtId="1" fontId="36" fillId="0" borderId="1" xfId="0" applyNumberFormat="1" applyFont="1" applyFill="1" applyBorder="1" applyAlignment="1">
      <alignment horizontal="left"/>
    </xf>
    <xf numFmtId="0" fontId="36" fillId="0" borderId="0" xfId="0" applyFont="1" applyFill="1"/>
    <xf numFmtId="0" fontId="4" fillId="0" borderId="25" xfId="0" applyFont="1" applyFill="1" applyBorder="1"/>
    <xf numFmtId="1" fontId="4" fillId="0" borderId="25" xfId="0" applyNumberFormat="1" applyFont="1" applyFill="1" applyBorder="1" applyAlignment="1">
      <alignment horizontal="left"/>
    </xf>
    <xf numFmtId="1" fontId="36" fillId="0" borderId="0" xfId="0" applyNumberFormat="1" applyFont="1" applyFill="1" applyBorder="1" applyAlignment="1">
      <alignment horizontal="left"/>
    </xf>
    <xf numFmtId="1" fontId="36" fillId="0" borderId="0" xfId="2" applyNumberFormat="1" applyFont="1" applyFill="1" applyBorder="1" applyAlignment="1">
      <alignment horizontal="right"/>
    </xf>
    <xf numFmtId="0" fontId="36" fillId="0" borderId="0" xfId="0" applyFont="1" applyFill="1" applyAlignment="1">
      <alignment horizontal="right"/>
    </xf>
    <xf numFmtId="1" fontId="36" fillId="0" borderId="1" xfId="0" applyNumberFormat="1" applyFont="1" applyFill="1" applyBorder="1"/>
    <xf numFmtId="1" fontId="36" fillId="0" borderId="0" xfId="0" applyNumberFormat="1" applyFont="1" applyFill="1" applyBorder="1" applyAlignment="1">
      <alignment horizontal="right"/>
    </xf>
    <xf numFmtId="2" fontId="36" fillId="0" borderId="0" xfId="0" applyNumberFormat="1" applyFont="1" applyFill="1" applyBorder="1" applyAlignment="1">
      <alignment horizontal="right"/>
    </xf>
    <xf numFmtId="0" fontId="40" fillId="0" borderId="0" xfId="0" applyFont="1" applyFill="1" applyBorder="1" applyAlignment="1">
      <alignment horizontal="center"/>
    </xf>
    <xf numFmtId="1" fontId="40" fillId="0" borderId="0" xfId="0" applyNumberFormat="1" applyFont="1" applyFill="1" applyBorder="1" applyAlignment="1">
      <alignment horizontal="left"/>
    </xf>
    <xf numFmtId="1" fontId="40" fillId="0" borderId="16" xfId="2" applyNumberFormat="1" applyFont="1" applyFill="1" applyBorder="1"/>
    <xf numFmtId="0" fontId="40" fillId="0" borderId="0" xfId="0" applyFont="1" applyFill="1" applyBorder="1" applyAlignment="1">
      <alignment horizontal="right"/>
    </xf>
    <xf numFmtId="1" fontId="40" fillId="0" borderId="0" xfId="0" applyNumberFormat="1" applyFont="1" applyFill="1" applyBorder="1"/>
    <xf numFmtId="0" fontId="40" fillId="0" borderId="0" xfId="0" applyFont="1" applyFill="1" applyAlignment="1">
      <alignment horizontal="right"/>
    </xf>
    <xf numFmtId="1" fontId="41" fillId="0" borderId="0" xfId="0" applyNumberFormat="1" applyFont="1" applyFill="1" applyBorder="1" applyAlignment="1">
      <alignment horizontal="left"/>
    </xf>
    <xf numFmtId="1" fontId="71" fillId="0" borderId="0" xfId="0" applyNumberFormat="1" applyFont="1" applyFill="1" applyBorder="1" applyAlignment="1">
      <alignment horizontal="right"/>
    </xf>
    <xf numFmtId="1" fontId="71" fillId="0" borderId="1" xfId="0" applyNumberFormat="1" applyFont="1" applyFill="1" applyBorder="1" applyAlignment="1">
      <alignment horizontal="left"/>
    </xf>
    <xf numFmtId="0" fontId="71" fillId="0" borderId="0" xfId="0" applyFont="1" applyFill="1" applyBorder="1" applyAlignment="1">
      <alignment horizontal="right"/>
    </xf>
    <xf numFmtId="0" fontId="71" fillId="0" borderId="0" xfId="0" applyFont="1" applyFill="1" applyAlignment="1">
      <alignment horizontal="right"/>
    </xf>
    <xf numFmtId="1" fontId="71" fillId="0" borderId="1" xfId="0" applyNumberFormat="1" applyFont="1" applyFill="1" applyBorder="1"/>
    <xf numFmtId="1" fontId="71" fillId="0" borderId="0" xfId="0" applyNumberFormat="1" applyFont="1" applyFill="1" applyBorder="1" applyAlignment="1">
      <alignment horizontal="left"/>
    </xf>
    <xf numFmtId="0" fontId="71" fillId="0" borderId="0" xfId="0" applyFont="1" applyFill="1"/>
    <xf numFmtId="1" fontId="30" fillId="0" borderId="0" xfId="0" applyNumberFormat="1" applyFont="1" applyFill="1" applyBorder="1"/>
    <xf numFmtId="1" fontId="4" fillId="0" borderId="16" xfId="0" applyNumberFormat="1" applyFont="1" applyFill="1" applyBorder="1" applyAlignment="1">
      <alignment horizontal="right"/>
    </xf>
    <xf numFmtId="0" fontId="36" fillId="0" borderId="0" xfId="0" applyFont="1" applyFill="1" applyBorder="1"/>
    <xf numFmtId="1" fontId="73" fillId="0" borderId="0" xfId="0" applyNumberFormat="1" applyFont="1" applyFill="1" applyBorder="1"/>
    <xf numFmtId="0" fontId="8" fillId="0" borderId="0" xfId="0" applyFont="1" applyFill="1"/>
    <xf numFmtId="0" fontId="41" fillId="0" borderId="0" xfId="0" applyFont="1" applyFill="1" applyBorder="1" applyAlignment="1">
      <alignment horizontal="left"/>
    </xf>
    <xf numFmtId="0" fontId="40" fillId="0" borderId="17" xfId="0" applyFont="1" applyFill="1" applyBorder="1" applyAlignment="1">
      <alignment horizontal="left"/>
    </xf>
    <xf numFmtId="0" fontId="40" fillId="0" borderId="25" xfId="0" applyFont="1" applyFill="1" applyBorder="1"/>
    <xf numFmtId="0" fontId="36" fillId="0" borderId="1" xfId="0" applyFont="1" applyFill="1" applyBorder="1"/>
    <xf numFmtId="0" fontId="36" fillId="0" borderId="0" xfId="0" applyFont="1" applyFill="1" applyBorder="1" applyAlignment="1">
      <alignment horizontal="left"/>
    </xf>
    <xf numFmtId="0" fontId="8" fillId="0" borderId="0" xfId="0" applyFont="1" applyFill="1" applyAlignment="1">
      <alignment horizontal="left"/>
    </xf>
    <xf numFmtId="0" fontId="40" fillId="0" borderId="0" xfId="0" applyFont="1" applyFill="1" applyBorder="1" applyAlignment="1">
      <alignment horizontal="left"/>
    </xf>
    <xf numFmtId="2" fontId="40" fillId="0" borderId="0" xfId="0" applyNumberFormat="1" applyFont="1" applyFill="1" applyBorder="1" applyAlignment="1">
      <alignment horizontal="right"/>
    </xf>
    <xf numFmtId="0" fontId="71" fillId="0" borderId="1" xfId="0" applyFont="1" applyFill="1" applyBorder="1"/>
    <xf numFmtId="0" fontId="8" fillId="0" borderId="0" xfId="0" applyFont="1" applyFill="1" applyAlignment="1">
      <alignment horizontal="right"/>
    </xf>
    <xf numFmtId="0" fontId="40" fillId="0" borderId="0" xfId="0" applyFont="1" applyFill="1" applyAlignment="1"/>
    <xf numFmtId="0" fontId="40" fillId="0" borderId="0" xfId="0" applyFont="1" applyFill="1" applyBorder="1" applyAlignment="1"/>
    <xf numFmtId="0" fontId="40" fillId="0" borderId="25" xfId="0" applyFont="1" applyFill="1" applyBorder="1" applyAlignment="1"/>
    <xf numFmtId="0" fontId="71" fillId="0" borderId="0" xfId="0" applyFont="1" applyFill="1" applyBorder="1" applyAlignment="1"/>
    <xf numFmtId="0" fontId="58" fillId="0" borderId="0" xfId="0" applyFont="1" applyFill="1" applyBorder="1" applyAlignment="1"/>
    <xf numFmtId="2" fontId="4" fillId="0" borderId="17" xfId="0" applyNumberFormat="1" applyFont="1" applyFill="1" applyBorder="1" applyAlignment="1">
      <alignment horizontal="left"/>
    </xf>
    <xf numFmtId="2" fontId="4" fillId="0" borderId="44" xfId="0" applyNumberFormat="1" applyFont="1" applyFill="1" applyBorder="1"/>
    <xf numFmtId="2" fontId="36" fillId="0" borderId="0" xfId="0" applyNumberFormat="1" applyFont="1" applyFill="1" applyAlignment="1">
      <alignment horizontal="right"/>
    </xf>
    <xf numFmtId="2" fontId="36" fillId="0" borderId="1" xfId="0" applyNumberFormat="1" applyFont="1" applyFill="1" applyBorder="1"/>
    <xf numFmtId="2" fontId="40" fillId="0" borderId="0" xfId="0" applyNumberFormat="1" applyFont="1" applyFill="1" applyBorder="1"/>
    <xf numFmtId="2" fontId="40" fillId="0" borderId="17" xfId="0" applyNumberFormat="1" applyFont="1" applyFill="1" applyBorder="1" applyAlignment="1">
      <alignment horizontal="left"/>
    </xf>
    <xf numFmtId="2" fontId="40" fillId="0" borderId="27" xfId="0" applyNumberFormat="1" applyFont="1" applyFill="1" applyBorder="1"/>
    <xf numFmtId="2" fontId="40" fillId="0" borderId="16" xfId="0" applyNumberFormat="1" applyFont="1" applyFill="1" applyBorder="1"/>
    <xf numFmtId="2" fontId="40" fillId="0" borderId="0" xfId="0" applyNumberFormat="1" applyFont="1" applyFill="1"/>
    <xf numFmtId="2" fontId="41" fillId="0" borderId="0" xfId="0" applyNumberFormat="1" applyFont="1" applyFill="1"/>
    <xf numFmtId="2" fontId="40" fillId="0" borderId="1" xfId="0" applyNumberFormat="1" applyFont="1" applyFill="1" applyBorder="1"/>
    <xf numFmtId="2" fontId="41" fillId="0" borderId="0" xfId="0" applyNumberFormat="1" applyFont="1" applyFill="1" applyBorder="1"/>
    <xf numFmtId="2" fontId="41" fillId="0" borderId="0" xfId="0" applyNumberFormat="1" applyFont="1" applyFill="1" applyAlignment="1">
      <alignment horizontal="left"/>
    </xf>
    <xf numFmtId="1" fontId="8" fillId="0" borderId="0" xfId="0" applyNumberFormat="1" applyFont="1" applyFill="1"/>
    <xf numFmtId="2" fontId="71" fillId="0" borderId="1" xfId="0" applyNumberFormat="1" applyFont="1" applyFill="1" applyBorder="1"/>
    <xf numFmtId="1" fontId="4" fillId="0" borderId="0" xfId="0" applyNumberFormat="1" applyFont="1" applyFill="1" applyAlignment="1">
      <alignment horizontal="left"/>
    </xf>
    <xf numFmtId="4" fontId="4" fillId="0" borderId="1" xfId="0" applyNumberFormat="1" applyFont="1" applyFill="1" applyBorder="1"/>
    <xf numFmtId="1" fontId="8" fillId="0" borderId="0" xfId="0" applyNumberFormat="1" applyFont="1" applyFill="1" applyAlignment="1">
      <alignment horizontal="left"/>
    </xf>
    <xf numFmtId="164" fontId="36" fillId="0" borderId="0" xfId="0" applyNumberFormat="1" applyFont="1" applyFill="1" applyBorder="1" applyAlignment="1">
      <alignment horizontal="right"/>
    </xf>
    <xf numFmtId="1" fontId="36" fillId="0" borderId="1" xfId="0" applyNumberFormat="1" applyFont="1" applyFill="1" applyBorder="1" applyAlignment="1">
      <alignment horizontal="center"/>
    </xf>
    <xf numFmtId="1" fontId="36" fillId="0" borderId="0" xfId="0" applyNumberFormat="1" applyFont="1" applyFill="1" applyBorder="1"/>
    <xf numFmtId="1" fontId="36" fillId="0" borderId="0" xfId="0" applyNumberFormat="1" applyFont="1" applyFill="1" applyAlignment="1">
      <alignment horizontal="left"/>
    </xf>
    <xf numFmtId="1" fontId="36" fillId="0" borderId="0" xfId="0" applyNumberFormat="1" applyFont="1" applyFill="1" applyAlignment="1">
      <alignment horizontal="right"/>
    </xf>
    <xf numFmtId="1" fontId="36" fillId="0" borderId="0" xfId="0" applyNumberFormat="1" applyFont="1" applyFill="1"/>
    <xf numFmtId="0" fontId="36" fillId="0" borderId="1" xfId="0" applyFont="1" applyFill="1" applyBorder="1" applyAlignment="1">
      <alignment horizontal="center"/>
    </xf>
    <xf numFmtId="1" fontId="36" fillId="0" borderId="0" xfId="0" applyNumberFormat="1" applyFont="1" applyFill="1" applyBorder="1" applyAlignment="1">
      <alignment horizontal="left" indent="1"/>
    </xf>
    <xf numFmtId="2" fontId="4" fillId="0" borderId="1" xfId="0" applyNumberFormat="1" applyFont="1" applyFill="1" applyBorder="1" applyProtection="1">
      <protection locked="0"/>
    </xf>
    <xf numFmtId="4" fontId="4" fillId="0" borderId="1" xfId="2" applyNumberFormat="1" applyFont="1" applyFill="1" applyBorder="1" applyAlignment="1"/>
    <xf numFmtId="1" fontId="4" fillId="0" borderId="27" xfId="0" applyNumberFormat="1" applyFont="1" applyFill="1" applyBorder="1"/>
    <xf numFmtId="1" fontId="4" fillId="0" borderId="17" xfId="0" applyNumberFormat="1" applyFont="1" applyFill="1" applyBorder="1"/>
    <xf numFmtId="1" fontId="8" fillId="0" borderId="27" xfId="0" applyNumberFormat="1" applyFont="1" applyFill="1" applyBorder="1"/>
    <xf numFmtId="1" fontId="4" fillId="0" borderId="45" xfId="0" applyNumberFormat="1" applyFont="1" applyFill="1" applyBorder="1" applyAlignment="1">
      <alignment horizontal="right"/>
    </xf>
    <xf numFmtId="0" fontId="36" fillId="0" borderId="0" xfId="0" applyFont="1" applyFill="1" applyBorder="1" applyAlignment="1"/>
    <xf numFmtId="1" fontId="36" fillId="0" borderId="0" xfId="0" applyNumberFormat="1" applyFont="1" applyFill="1" applyBorder="1" applyAlignment="1">
      <alignment horizontal="center"/>
    </xf>
    <xf numFmtId="0" fontId="36" fillId="0" borderId="0" xfId="0" applyFont="1" applyFill="1" applyAlignment="1">
      <alignment horizontal="left"/>
    </xf>
    <xf numFmtId="1" fontId="4" fillId="0" borderId="45" xfId="0" applyNumberFormat="1" applyFont="1" applyFill="1" applyBorder="1"/>
    <xf numFmtId="1" fontId="8" fillId="0" borderId="45" xfId="0" applyNumberFormat="1" applyFont="1" applyFill="1" applyBorder="1"/>
    <xf numFmtId="0" fontId="8" fillId="0" borderId="27" xfId="0" applyFont="1" applyFill="1" applyBorder="1" applyAlignment="1">
      <alignment horizontal="left"/>
    </xf>
    <xf numFmtId="3" fontId="36" fillId="0" borderId="0" xfId="0" applyNumberFormat="1" applyFont="1" applyFill="1" applyBorder="1" applyAlignment="1">
      <alignment horizontal="right"/>
    </xf>
    <xf numFmtId="0" fontId="8" fillId="0" borderId="0" xfId="0" applyFont="1" applyFill="1" applyBorder="1" applyAlignment="1">
      <alignment horizontal="center"/>
    </xf>
    <xf numFmtId="0" fontId="77" fillId="0" borderId="0" xfId="0" applyFont="1" applyFill="1" applyBorder="1" applyAlignment="1">
      <alignment horizontal="right"/>
    </xf>
    <xf numFmtId="44" fontId="36" fillId="0" borderId="0" xfId="2" applyFont="1" applyFill="1" applyBorder="1" applyAlignment="1">
      <alignment horizontal="right"/>
    </xf>
    <xf numFmtId="3" fontId="40" fillId="0" borderId="1" xfId="0" applyNumberFormat="1" applyFont="1" applyFill="1" applyBorder="1"/>
    <xf numFmtId="0" fontId="41" fillId="0" borderId="0" xfId="0" applyFont="1" applyFill="1" applyAlignment="1">
      <alignment horizontal="center"/>
    </xf>
    <xf numFmtId="1" fontId="4" fillId="0" borderId="1" xfId="0" applyNumberFormat="1" applyFont="1" applyFill="1" applyBorder="1" applyAlignment="1"/>
    <xf numFmtId="3" fontId="4" fillId="0" borderId="1" xfId="0" applyNumberFormat="1" applyFont="1" applyFill="1" applyBorder="1" applyAlignment="1"/>
    <xf numFmtId="0" fontId="41" fillId="0" borderId="0" xfId="0" applyFont="1" applyFill="1" applyBorder="1"/>
    <xf numFmtId="0" fontId="71" fillId="0" borderId="1" xfId="0" applyFont="1" applyFill="1" applyBorder="1" applyAlignment="1">
      <alignment horizontal="center"/>
    </xf>
    <xf numFmtId="0" fontId="41" fillId="0" borderId="0" xfId="0" applyFont="1" applyFill="1" applyAlignment="1">
      <alignment horizontal="left"/>
    </xf>
    <xf numFmtId="0" fontId="71" fillId="0" borderId="0" xfId="0" applyFont="1" applyFill="1" applyBorder="1"/>
    <xf numFmtId="0" fontId="71" fillId="0" borderId="0" xfId="0" applyFont="1" applyFill="1" applyAlignment="1">
      <alignment horizontal="center"/>
    </xf>
    <xf numFmtId="2" fontId="71" fillId="0" borderId="0" xfId="0" applyNumberFormat="1" applyFont="1" applyFill="1" applyAlignment="1">
      <alignment horizontal="right"/>
    </xf>
    <xf numFmtId="0" fontId="58" fillId="8" borderId="0" xfId="0" applyFont="1" applyFill="1" applyBorder="1" applyAlignment="1">
      <alignment horizontal="center"/>
    </xf>
    <xf numFmtId="0" fontId="40" fillId="9" borderId="1" xfId="0" applyFont="1" applyFill="1" applyBorder="1" applyAlignment="1" applyProtection="1">
      <protection locked="0"/>
    </xf>
    <xf numFmtId="172" fontId="4" fillId="0" borderId="0" xfId="0" applyNumberFormat="1" applyFont="1" applyFill="1" applyAlignment="1">
      <alignment horizontal="right"/>
    </xf>
    <xf numFmtId="43" fontId="4" fillId="0" borderId="0" xfId="1" applyFont="1" applyFill="1" applyBorder="1" applyAlignment="1"/>
    <xf numFmtId="172" fontId="4" fillId="0" borderId="0" xfId="0" applyNumberFormat="1" applyFont="1" applyFill="1" applyBorder="1" applyAlignment="1">
      <alignment horizontal="right"/>
    </xf>
    <xf numFmtId="0" fontId="28" fillId="0" borderId="0" xfId="0" applyFont="1" applyFill="1"/>
    <xf numFmtId="0" fontId="8" fillId="0" borderId="13" xfId="0" applyFont="1" applyFill="1" applyBorder="1" applyAlignment="1">
      <alignment horizontal="right"/>
    </xf>
    <xf numFmtId="0" fontId="8" fillId="0" borderId="13" xfId="0" applyFont="1" applyFill="1" applyBorder="1" applyAlignment="1"/>
    <xf numFmtId="0" fontId="27" fillId="0" borderId="2" xfId="0" applyFont="1" applyFill="1" applyBorder="1" applyAlignment="1">
      <alignment horizontal="right"/>
    </xf>
    <xf numFmtId="0" fontId="26" fillId="0" borderId="0" xfId="0" applyFont="1" applyFill="1" applyBorder="1" applyAlignment="1"/>
    <xf numFmtId="0" fontId="21" fillId="0" borderId="0" xfId="0" applyFont="1" applyFill="1" applyBorder="1" applyAlignment="1"/>
    <xf numFmtId="0" fontId="22" fillId="0" borderId="0" xfId="0" applyFont="1" applyFill="1" applyBorder="1" applyAlignment="1">
      <alignment horizontal="right"/>
    </xf>
    <xf numFmtId="0" fontId="22" fillId="0" borderId="0" xfId="0" applyFont="1" applyFill="1" applyBorder="1" applyAlignment="1"/>
    <xf numFmtId="171" fontId="21" fillId="0" borderId="0" xfId="1" applyNumberFormat="1" applyFont="1" applyFill="1" applyBorder="1" applyAlignment="1">
      <alignment horizontal="right"/>
    </xf>
    <xf numFmtId="0" fontId="8" fillId="0" borderId="0" xfId="0" applyFont="1" applyFill="1" applyAlignment="1"/>
    <xf numFmtId="0" fontId="10" fillId="0" borderId="0" xfId="0" applyFont="1" applyFill="1" applyAlignment="1"/>
    <xf numFmtId="0" fontId="27" fillId="0" borderId="4" xfId="0" applyFont="1" applyFill="1" applyBorder="1" applyAlignment="1">
      <alignment horizontal="right"/>
    </xf>
    <xf numFmtId="0" fontId="27" fillId="0" borderId="0" xfId="0" applyFont="1" applyFill="1" applyBorder="1" applyAlignment="1"/>
    <xf numFmtId="1" fontId="21" fillId="0" borderId="0" xfId="0" applyNumberFormat="1" applyFont="1" applyFill="1" applyAlignment="1"/>
    <xf numFmtId="1" fontId="4" fillId="0" borderId="0" xfId="0" applyNumberFormat="1" applyFont="1" applyFill="1" applyAlignment="1"/>
    <xf numFmtId="0" fontId="34" fillId="0" borderId="0" xfId="0" applyFont="1" applyFill="1" applyAlignment="1">
      <alignment horizontal="right"/>
    </xf>
    <xf numFmtId="0" fontId="7" fillId="0" borderId="0" xfId="0" applyFont="1" applyFill="1"/>
    <xf numFmtId="0" fontId="0" fillId="0" borderId="16" xfId="0" applyFill="1" applyBorder="1"/>
    <xf numFmtId="9" fontId="0" fillId="0" borderId="1" xfId="0" applyNumberFormat="1" applyFill="1" applyBorder="1"/>
    <xf numFmtId="0" fontId="44" fillId="0" borderId="0" xfId="0" applyFont="1" applyFill="1"/>
    <xf numFmtId="3" fontId="40" fillId="0" borderId="0" xfId="0" applyNumberFormat="1" applyFont="1" applyFill="1"/>
    <xf numFmtId="3" fontId="40" fillId="0" borderId="1" xfId="1" applyNumberFormat="1" applyFont="1" applyFill="1" applyBorder="1"/>
    <xf numFmtId="3" fontId="40" fillId="0" borderId="0" xfId="0" applyNumberFormat="1" applyFont="1" applyFill="1" applyBorder="1"/>
    <xf numFmtId="0" fontId="4" fillId="0" borderId="27" xfId="0" applyFont="1" applyFill="1" applyBorder="1" applyAlignment="1">
      <alignment horizontal="left"/>
    </xf>
    <xf numFmtId="9" fontId="0" fillId="0" borderId="0" xfId="0" applyNumberFormat="1" applyFill="1" applyBorder="1"/>
    <xf numFmtId="170" fontId="0" fillId="0" borderId="0" xfId="0" applyNumberFormat="1" applyFill="1" applyBorder="1"/>
    <xf numFmtId="9" fontId="0" fillId="0" borderId="0" xfId="0" applyNumberFormat="1"/>
    <xf numFmtId="0" fontId="0" fillId="0" borderId="1" xfId="0" applyBorder="1" applyAlignment="1" applyProtection="1">
      <alignment horizontal="center"/>
      <protection locked="0"/>
    </xf>
    <xf numFmtId="4" fontId="0" fillId="0" borderId="1" xfId="0" applyNumberFormat="1" applyBorder="1"/>
    <xf numFmtId="0" fontId="0" fillId="0" borderId="0" xfId="0" quotePrefix="1"/>
    <xf numFmtId="0" fontId="7" fillId="0" borderId="0" xfId="0" applyFont="1" applyAlignment="1">
      <alignment horizontal="center"/>
    </xf>
    <xf numFmtId="0" fontId="58" fillId="8" borderId="0" xfId="0" quotePrefix="1" applyFont="1" applyFill="1" applyBorder="1" applyAlignment="1">
      <alignment horizontal="center"/>
    </xf>
    <xf numFmtId="0" fontId="40" fillId="0" borderId="2" xfId="0" applyFont="1" applyBorder="1" applyProtection="1">
      <protection locked="0"/>
    </xf>
    <xf numFmtId="0" fontId="40" fillId="9" borderId="52" xfId="0" applyFont="1" applyFill="1" applyBorder="1" applyAlignment="1" applyProtection="1">
      <protection locked="0"/>
    </xf>
    <xf numFmtId="0" fontId="40" fillId="9" borderId="46" xfId="0" applyFont="1" applyFill="1" applyBorder="1" applyAlignment="1" applyProtection="1">
      <protection locked="0"/>
    </xf>
    <xf numFmtId="0" fontId="40" fillId="9" borderId="46" xfId="0" applyFont="1" applyFill="1" applyBorder="1" applyProtection="1">
      <protection locked="0"/>
    </xf>
    <xf numFmtId="175" fontId="40" fillId="9" borderId="49" xfId="0" applyNumberFormat="1" applyFont="1" applyFill="1" applyBorder="1" applyAlignment="1" applyProtection="1">
      <protection locked="0"/>
    </xf>
    <xf numFmtId="175" fontId="40" fillId="9" borderId="50" xfId="0" applyNumberFormat="1" applyFont="1" applyFill="1" applyBorder="1" applyProtection="1">
      <protection locked="0"/>
    </xf>
    <xf numFmtId="0" fontId="40" fillId="9" borderId="45" xfId="0" applyFont="1" applyFill="1" applyBorder="1" applyAlignment="1" applyProtection="1">
      <protection locked="0"/>
    </xf>
    <xf numFmtId="1" fontId="40" fillId="0" borderId="45" xfId="0" applyNumberFormat="1" applyFont="1" applyBorder="1"/>
    <xf numFmtId="1" fontId="40" fillId="0" borderId="1" xfId="0" applyNumberFormat="1" applyFont="1" applyBorder="1"/>
    <xf numFmtId="0" fontId="68" fillId="0" borderId="7" xfId="0" applyFont="1" applyBorder="1" applyAlignment="1">
      <alignment horizontal="center"/>
    </xf>
    <xf numFmtId="9" fontId="0" fillId="4" borderId="9" xfId="0" applyNumberFormat="1" applyFill="1" applyBorder="1"/>
    <xf numFmtId="0" fontId="0" fillId="4" borderId="10" xfId="0" applyFill="1" applyBorder="1" applyAlignment="1" applyProtection="1">
      <alignment horizontal="center"/>
      <protection locked="0"/>
    </xf>
    <xf numFmtId="9" fontId="0" fillId="0" borderId="9" xfId="0" applyNumberFormat="1" applyFill="1" applyBorder="1"/>
    <xf numFmtId="0" fontId="0" fillId="0" borderId="10" xfId="0" applyBorder="1" applyAlignment="1" applyProtection="1">
      <alignment horizontal="center"/>
      <protection locked="0"/>
    </xf>
    <xf numFmtId="170" fontId="0" fillId="4" borderId="9" xfId="0" applyNumberFormat="1" applyFill="1" applyBorder="1"/>
    <xf numFmtId="9" fontId="0" fillId="4" borderId="11" xfId="0" applyNumberFormat="1" applyFill="1" applyBorder="1"/>
    <xf numFmtId="0" fontId="0" fillId="4" borderId="12" xfId="0" applyFill="1" applyBorder="1" applyAlignment="1" applyProtection="1">
      <alignment horizontal="center"/>
      <protection locked="0"/>
    </xf>
    <xf numFmtId="0" fontId="68" fillId="0" borderId="6" xfId="0" applyFont="1" applyBorder="1" applyAlignment="1">
      <alignment horizontal="center"/>
    </xf>
    <xf numFmtId="0" fontId="4" fillId="0" borderId="17" xfId="0" applyFont="1" applyFill="1" applyBorder="1" applyAlignment="1" applyProtection="1">
      <alignment vertical="top" wrapText="1"/>
      <protection locked="0"/>
    </xf>
    <xf numFmtId="0" fontId="40" fillId="5" borderId="0" xfId="0" applyFont="1" applyFill="1"/>
    <xf numFmtId="0" fontId="79" fillId="0" borderId="0" xfId="0" applyFont="1" applyFill="1"/>
    <xf numFmtId="0" fontId="79" fillId="0" borderId="0" xfId="0" applyFont="1" applyFill="1" applyAlignment="1">
      <alignment horizontal="right"/>
    </xf>
    <xf numFmtId="0" fontId="79" fillId="0" borderId="1" xfId="0" applyFont="1" applyFill="1" applyBorder="1"/>
    <xf numFmtId="3" fontId="79" fillId="0" borderId="1" xfId="0" applyNumberFormat="1" applyFont="1" applyFill="1" applyBorder="1"/>
    <xf numFmtId="0" fontId="79" fillId="0" borderId="0" xfId="0" applyFont="1" applyFill="1" applyBorder="1" applyAlignment="1">
      <alignment horizontal="right"/>
    </xf>
    <xf numFmtId="2" fontId="71" fillId="0" borderId="0" xfId="0" applyNumberFormat="1" applyFont="1" applyFill="1" applyBorder="1"/>
    <xf numFmtId="0" fontId="76" fillId="0" borderId="0" xfId="0" applyFont="1" applyFill="1"/>
    <xf numFmtId="0" fontId="76" fillId="0" borderId="0" xfId="0" applyFont="1" applyFill="1" applyAlignment="1">
      <alignment horizontal="center"/>
    </xf>
    <xf numFmtId="0" fontId="76" fillId="0" borderId="0" xfId="0" applyFont="1" applyFill="1" applyAlignment="1">
      <alignment horizontal="right"/>
    </xf>
    <xf numFmtId="169" fontId="76" fillId="0" borderId="1" xfId="1" applyNumberFormat="1" applyFont="1" applyFill="1" applyBorder="1"/>
    <xf numFmtId="3" fontId="76" fillId="0" borderId="1" xfId="0" applyNumberFormat="1" applyFont="1" applyFill="1" applyBorder="1"/>
    <xf numFmtId="0" fontId="76" fillId="0" borderId="1" xfId="0" applyFont="1" applyFill="1" applyBorder="1"/>
    <xf numFmtId="171" fontId="4" fillId="0" borderId="16" xfId="0" applyNumberFormat="1" applyFont="1" applyFill="1" applyBorder="1"/>
    <xf numFmtId="171" fontId="4" fillId="0" borderId="1" xfId="0" applyNumberFormat="1" applyFont="1" applyFill="1" applyBorder="1"/>
    <xf numFmtId="0" fontId="59" fillId="0" borderId="0" xfId="0" applyFont="1" applyFill="1"/>
    <xf numFmtId="0" fontId="4" fillId="0" borderId="25" xfId="0" applyFont="1" applyFill="1" applyBorder="1" applyAlignment="1">
      <alignment horizontal="left"/>
    </xf>
    <xf numFmtId="171" fontId="4" fillId="0" borderId="25" xfId="0" applyNumberFormat="1" applyFont="1" applyFill="1" applyBorder="1"/>
    <xf numFmtId="0" fontId="36" fillId="0" borderId="0" xfId="0" quotePrefix="1" applyFont="1" applyFill="1" applyAlignment="1">
      <alignment horizontal="left"/>
    </xf>
    <xf numFmtId="172" fontId="4" fillId="0" borderId="1" xfId="0" applyNumberFormat="1" applyFont="1" applyFill="1" applyBorder="1"/>
    <xf numFmtId="0" fontId="36" fillId="0" borderId="0" xfId="0" applyFont="1" applyFill="1" applyAlignment="1">
      <alignment horizontal="left" indent="1"/>
    </xf>
    <xf numFmtId="3" fontId="4" fillId="0" borderId="0" xfId="0" applyNumberFormat="1" applyFont="1" applyFill="1"/>
    <xf numFmtId="4" fontId="4" fillId="0" borderId="0" xfId="0" applyNumberFormat="1" applyFont="1" applyFill="1"/>
    <xf numFmtId="0" fontId="6" fillId="0" borderId="1" xfId="0" applyFont="1" applyFill="1" applyBorder="1"/>
    <xf numFmtId="0" fontId="5" fillId="0" borderId="1" xfId="0" applyFont="1" applyFill="1" applyBorder="1" applyAlignment="1"/>
    <xf numFmtId="0" fontId="16" fillId="0" borderId="1" xfId="0" applyFont="1" applyFill="1" applyBorder="1"/>
    <xf numFmtId="4" fontId="5" fillId="0" borderId="1" xfId="0" applyNumberFormat="1" applyFont="1" applyFill="1" applyBorder="1"/>
    <xf numFmtId="0" fontId="5" fillId="0" borderId="17" xfId="0" applyFont="1" applyFill="1" applyBorder="1" applyAlignment="1">
      <alignment vertical="top"/>
    </xf>
    <xf numFmtId="0" fontId="16" fillId="0" borderId="1" xfId="0" applyFont="1" applyFill="1" applyBorder="1" applyAlignment="1">
      <alignment vertical="top"/>
    </xf>
    <xf numFmtId="3" fontId="4" fillId="0" borderId="0" xfId="0" applyNumberFormat="1" applyFont="1"/>
    <xf numFmtId="0" fontId="4" fillId="0" borderId="0" xfId="0" quotePrefix="1" applyFont="1" applyFill="1" applyAlignment="1">
      <alignment horizontal="center"/>
    </xf>
    <xf numFmtId="169" fontId="4" fillId="13" borderId="1" xfId="1" applyNumberFormat="1" applyFont="1" applyFill="1" applyBorder="1" applyAlignment="1">
      <alignment horizontal="right"/>
    </xf>
    <xf numFmtId="169" fontId="4" fillId="13" borderId="1" xfId="1" applyNumberFormat="1" applyFont="1" applyFill="1" applyBorder="1"/>
    <xf numFmtId="0" fontId="4" fillId="0" borderId="16" xfId="0" applyFont="1" applyFill="1" applyBorder="1" applyAlignment="1" applyProtection="1">
      <alignment vertical="top" wrapText="1"/>
      <protection locked="0"/>
    </xf>
    <xf numFmtId="0" fontId="4" fillId="0" borderId="0" xfId="0" applyFont="1" applyAlignment="1" applyProtection="1">
      <alignment wrapText="1"/>
      <protection locked="0"/>
    </xf>
    <xf numFmtId="0" fontId="4" fillId="0" borderId="16" xfId="0" applyFont="1" applyFill="1" applyBorder="1" applyProtection="1">
      <protection locked="0"/>
    </xf>
    <xf numFmtId="0" fontId="4" fillId="0" borderId="30" xfId="0" applyFont="1" applyFill="1" applyBorder="1" applyProtection="1">
      <protection locked="0"/>
    </xf>
    <xf numFmtId="0" fontId="4" fillId="0" borderId="17" xfId="0" applyFont="1" applyFill="1" applyBorder="1" applyAlignment="1" applyProtection="1">
      <alignment wrapText="1"/>
      <protection locked="0"/>
    </xf>
    <xf numFmtId="0" fontId="4" fillId="0" borderId="16" xfId="0" applyFont="1" applyFill="1" applyBorder="1" applyAlignment="1" applyProtection="1">
      <alignment wrapText="1"/>
      <protection locked="0"/>
    </xf>
    <xf numFmtId="0" fontId="4" fillId="0" borderId="7" xfId="0" applyFont="1" applyFill="1" applyBorder="1" applyAlignment="1" applyProtection="1">
      <alignment vertical="top" wrapText="1"/>
      <protection locked="0"/>
    </xf>
    <xf numFmtId="0" fontId="58" fillId="0" borderId="0" xfId="0" applyFont="1" applyFill="1" applyAlignment="1">
      <alignment horizontal="right"/>
    </xf>
    <xf numFmtId="0" fontId="58" fillId="0" borderId="0" xfId="0" applyFont="1" applyFill="1"/>
    <xf numFmtId="167" fontId="4" fillId="0" borderId="0" xfId="0" applyNumberFormat="1" applyFont="1" applyFill="1"/>
    <xf numFmtId="171" fontId="4" fillId="0" borderId="0" xfId="1" applyNumberFormat="1" applyFont="1" applyFill="1" applyBorder="1" applyAlignment="1"/>
    <xf numFmtId="171" fontId="4" fillId="0" borderId="54" xfId="0" applyNumberFormat="1" applyFont="1" applyFill="1" applyBorder="1"/>
    <xf numFmtId="0" fontId="34" fillId="0" borderId="0" xfId="0" applyFont="1" applyFill="1" applyBorder="1" applyAlignment="1">
      <alignment horizontal="right"/>
    </xf>
    <xf numFmtId="166" fontId="4" fillId="0" borderId="0" xfId="0" applyNumberFormat="1" applyFont="1" applyFill="1" applyBorder="1" applyAlignment="1"/>
    <xf numFmtId="2" fontId="8" fillId="0" borderId="0" xfId="0" applyNumberFormat="1" applyFont="1" applyFill="1" applyAlignment="1">
      <alignment horizontal="right"/>
    </xf>
    <xf numFmtId="2" fontId="36" fillId="0" borderId="0" xfId="0" applyNumberFormat="1" applyFont="1" applyFill="1" applyAlignment="1">
      <alignment horizontal="left"/>
    </xf>
    <xf numFmtId="1" fontId="4" fillId="0" borderId="1" xfId="1" applyNumberFormat="1" applyFont="1" applyFill="1" applyBorder="1"/>
    <xf numFmtId="4" fontId="4" fillId="0" borderId="1" xfId="1" applyNumberFormat="1" applyFont="1" applyFill="1" applyBorder="1"/>
    <xf numFmtId="2" fontId="36" fillId="0" borderId="0" xfId="0" applyNumberFormat="1" applyFont="1" applyFill="1" applyBorder="1"/>
    <xf numFmtId="1" fontId="4" fillId="0" borderId="0" xfId="1" applyNumberFormat="1" applyFont="1" applyFill="1" applyBorder="1"/>
    <xf numFmtId="2" fontId="40" fillId="0" borderId="0" xfId="0" applyNumberFormat="1" applyFont="1" applyFill="1" applyAlignment="1">
      <alignment horizontal="right"/>
    </xf>
    <xf numFmtId="0" fontId="57" fillId="0" borderId="0" xfId="0" applyFont="1" applyFill="1" applyAlignment="1">
      <alignment horizontal="right"/>
    </xf>
    <xf numFmtId="3" fontId="4" fillId="0" borderId="0" xfId="0" applyNumberFormat="1" applyFont="1" applyFill="1" applyBorder="1" applyAlignment="1">
      <alignment horizontal="right"/>
    </xf>
    <xf numFmtId="4" fontId="4" fillId="0" borderId="16" xfId="0" applyNumberFormat="1" applyFont="1" applyFill="1" applyBorder="1"/>
    <xf numFmtId="4" fontId="4" fillId="0" borderId="1" xfId="2" applyNumberFormat="1" applyFont="1" applyFill="1" applyBorder="1"/>
    <xf numFmtId="44" fontId="4" fillId="0" borderId="0" xfId="2" applyFont="1" applyFill="1" applyBorder="1"/>
    <xf numFmtId="166" fontId="4" fillId="0" borderId="1" xfId="2" applyNumberFormat="1" applyFont="1" applyFill="1" applyBorder="1"/>
    <xf numFmtId="3" fontId="4" fillId="0" borderId="1" xfId="1" applyNumberFormat="1" applyFont="1" applyFill="1" applyBorder="1"/>
    <xf numFmtId="0" fontId="37" fillId="0" borderId="0" xfId="0" applyFont="1" applyFill="1" applyAlignment="1">
      <alignment horizontal="right"/>
    </xf>
    <xf numFmtId="172" fontId="4" fillId="0" borderId="55" xfId="0" applyNumberFormat="1" applyFont="1" applyFill="1" applyBorder="1" applyAlignment="1">
      <alignment horizontal="right"/>
    </xf>
    <xf numFmtId="169" fontId="0" fillId="0" borderId="1" xfId="1" applyNumberFormat="1" applyFont="1" applyFill="1" applyBorder="1"/>
    <xf numFmtId="3" fontId="4" fillId="0" borderId="1" xfId="0" applyNumberFormat="1" applyFont="1" applyFill="1" applyBorder="1" applyAlignment="1">
      <alignment horizontal="right"/>
    </xf>
    <xf numFmtId="171" fontId="4" fillId="0" borderId="0" xfId="0" applyNumberFormat="1" applyFont="1" applyFill="1" applyBorder="1"/>
    <xf numFmtId="4" fontId="4" fillId="0" borderId="18" xfId="0" applyNumberFormat="1" applyFont="1" applyFill="1" applyBorder="1" applyProtection="1">
      <protection locked="0"/>
    </xf>
    <xf numFmtId="0" fontId="4" fillId="0" borderId="7" xfId="0" applyFont="1" applyFill="1" applyBorder="1" applyProtection="1">
      <protection locked="0"/>
    </xf>
    <xf numFmtId="0" fontId="4" fillId="0" borderId="27" xfId="0" applyFont="1" applyFill="1" applyBorder="1" applyProtection="1">
      <protection locked="0"/>
    </xf>
    <xf numFmtId="171" fontId="4" fillId="0" borderId="1" xfId="0" applyNumberFormat="1" applyFont="1" applyFill="1" applyBorder="1" applyProtection="1">
      <protection locked="0"/>
    </xf>
    <xf numFmtId="0" fontId="4" fillId="0" borderId="6" xfId="0" applyFont="1" applyFill="1" applyBorder="1" applyAlignment="1" applyProtection="1">
      <alignment vertical="top" wrapText="1"/>
      <protection locked="0"/>
    </xf>
    <xf numFmtId="3" fontId="0" fillId="0" borderId="1" xfId="0" applyNumberFormat="1" applyFill="1" applyBorder="1"/>
    <xf numFmtId="3" fontId="4" fillId="0" borderId="1" xfId="4" applyNumberFormat="1" applyFont="1" applyFill="1" applyBorder="1"/>
    <xf numFmtId="0" fontId="4" fillId="4" borderId="0" xfId="0" applyFont="1" applyFill="1" applyProtection="1"/>
    <xf numFmtId="0" fontId="4" fillId="4" borderId="0" xfId="0" applyFont="1" applyFill="1" applyAlignment="1" applyProtection="1">
      <alignment horizontal="center"/>
    </xf>
    <xf numFmtId="0" fontId="0" fillId="0" borderId="1" xfId="0" applyBorder="1" applyAlignment="1">
      <alignment horizontal="left"/>
    </xf>
    <xf numFmtId="0" fontId="4" fillId="0" borderId="0" xfId="0" applyFont="1" applyFill="1" applyAlignment="1">
      <alignment horizontal="left" indent="1"/>
    </xf>
    <xf numFmtId="0" fontId="4" fillId="4" borderId="0" xfId="0" applyFont="1" applyFill="1" applyAlignment="1" applyProtection="1"/>
    <xf numFmtId="0" fontId="74" fillId="4" borderId="1" xfId="0" applyFont="1" applyFill="1" applyBorder="1" applyProtection="1"/>
    <xf numFmtId="0" fontId="78" fillId="4" borderId="0" xfId="0" applyFont="1" applyFill="1" applyBorder="1" applyAlignment="1" applyProtection="1">
      <alignment horizontal="left"/>
    </xf>
    <xf numFmtId="2" fontId="62" fillId="0" borderId="4" xfId="0" applyNumberFormat="1" applyFont="1" applyBorder="1" applyAlignment="1">
      <alignment horizontal="center"/>
    </xf>
    <xf numFmtId="0" fontId="5" fillId="5" borderId="0" xfId="0" applyFont="1" applyFill="1" applyProtection="1"/>
    <xf numFmtId="0" fontId="4" fillId="0" borderId="17" xfId="0" applyFont="1" applyBorder="1" applyAlignment="1" applyProtection="1">
      <alignment wrapText="1"/>
      <protection locked="0"/>
    </xf>
    <xf numFmtId="0" fontId="4" fillId="0" borderId="16" xfId="0" applyFont="1" applyBorder="1" applyAlignment="1" applyProtection="1">
      <alignment wrapText="1"/>
      <protection locked="0"/>
    </xf>
    <xf numFmtId="0" fontId="4" fillId="0" borderId="0" xfId="0" applyFont="1" applyFill="1" applyAlignment="1" applyProtection="1">
      <alignment vertical="top" wrapText="1"/>
      <protection locked="0"/>
    </xf>
    <xf numFmtId="0" fontId="4" fillId="0" borderId="17" xfId="0" applyFont="1" applyFill="1" applyBorder="1" applyAlignment="1">
      <alignment vertical="center" wrapText="1"/>
    </xf>
    <xf numFmtId="0" fontId="4" fillId="0" borderId="12" xfId="0" applyFont="1" applyFill="1" applyBorder="1" applyAlignment="1" applyProtection="1">
      <alignment vertical="top" wrapText="1"/>
      <protection locked="0"/>
    </xf>
    <xf numFmtId="1" fontId="66" fillId="4" borderId="20" xfId="0" applyNumberFormat="1" applyFont="1" applyFill="1" applyBorder="1" applyAlignment="1" applyProtection="1">
      <alignment horizontal="right"/>
    </xf>
    <xf numFmtId="0" fontId="66" fillId="4" borderId="0" xfId="0" applyFont="1" applyFill="1" applyBorder="1" applyAlignment="1" applyProtection="1">
      <alignment horizontal="right"/>
    </xf>
    <xf numFmtId="0" fontId="66" fillId="4" borderId="0" xfId="0" quotePrefix="1" applyFont="1" applyFill="1" applyBorder="1" applyProtection="1"/>
    <xf numFmtId="0" fontId="44" fillId="3" borderId="1" xfId="0" applyFont="1" applyFill="1" applyBorder="1" applyProtection="1">
      <protection locked="0"/>
    </xf>
    <xf numFmtId="1" fontId="82" fillId="4" borderId="21" xfId="0" applyNumberFormat="1" applyFont="1" applyFill="1" applyBorder="1" applyAlignment="1" applyProtection="1">
      <alignment horizontal="right"/>
    </xf>
    <xf numFmtId="0" fontId="1" fillId="0" borderId="0" xfId="0" applyFont="1"/>
    <xf numFmtId="0" fontId="1" fillId="0" borderId="0" xfId="0" applyFont="1" applyAlignment="1" applyProtection="1"/>
    <xf numFmtId="0" fontId="66" fillId="4" borderId="23" xfId="0" applyFont="1" applyFill="1" applyBorder="1" applyProtection="1"/>
    <xf numFmtId="0" fontId="46" fillId="10" borderId="1" xfId="0" applyFont="1" applyFill="1" applyBorder="1" applyProtection="1">
      <protection locked="0"/>
    </xf>
    <xf numFmtId="0" fontId="47" fillId="10" borderId="1" xfId="0" applyFont="1" applyFill="1" applyBorder="1" applyProtection="1">
      <protection locked="0"/>
    </xf>
    <xf numFmtId="0" fontId="44" fillId="10" borderId="1" xfId="0" applyFont="1" applyFill="1" applyBorder="1" applyProtection="1">
      <protection locked="0"/>
    </xf>
    <xf numFmtId="0" fontId="71" fillId="8" borderId="21" xfId="0" applyFont="1" applyFill="1" applyBorder="1" applyAlignment="1" applyProtection="1">
      <alignment horizontal="right"/>
    </xf>
    <xf numFmtId="0" fontId="61" fillId="5" borderId="0" xfId="0" applyFont="1" applyFill="1" applyProtection="1"/>
    <xf numFmtId="0" fontId="61" fillId="5" borderId="0" xfId="0" applyFont="1" applyFill="1" applyAlignment="1" applyProtection="1">
      <alignment horizontal="center"/>
    </xf>
    <xf numFmtId="0" fontId="49" fillId="8" borderId="19" xfId="0" applyFont="1" applyFill="1" applyBorder="1" applyAlignment="1" applyProtection="1">
      <alignment horizontal="left"/>
    </xf>
    <xf numFmtId="0" fontId="40" fillId="8" borderId="23" xfId="0" applyFont="1" applyFill="1" applyBorder="1" applyAlignment="1" applyProtection="1">
      <alignment horizontal="left"/>
    </xf>
    <xf numFmtId="2" fontId="4" fillId="0" borderId="18" xfId="0" applyNumberFormat="1" applyFont="1" applyBorder="1" applyProtection="1"/>
    <xf numFmtId="4" fontId="4" fillId="0" borderId="18" xfId="0" applyNumberFormat="1" applyFont="1" applyBorder="1" applyProtection="1">
      <protection locked="0"/>
    </xf>
    <xf numFmtId="0" fontId="83" fillId="3" borderId="18" xfId="0" applyFont="1" applyFill="1" applyBorder="1" applyAlignment="1" applyProtection="1">
      <alignment horizontal="center"/>
    </xf>
    <xf numFmtId="3" fontId="4" fillId="3" borderId="18" xfId="2" applyNumberFormat="1" applyFont="1" applyFill="1" applyBorder="1" applyProtection="1">
      <protection locked="0"/>
    </xf>
    <xf numFmtId="0" fontId="40" fillId="8" borderId="26" xfId="0" applyFont="1" applyFill="1" applyBorder="1" applyAlignment="1" applyProtection="1">
      <alignment horizontal="left"/>
    </xf>
    <xf numFmtId="0" fontId="30" fillId="5" borderId="0" xfId="0" applyFont="1" applyFill="1" applyProtection="1"/>
    <xf numFmtId="0" fontId="84" fillId="0" borderId="0" xfId="0" applyFont="1"/>
    <xf numFmtId="0" fontId="82" fillId="4" borderId="21" xfId="0" applyFont="1" applyFill="1" applyBorder="1" applyAlignment="1" applyProtection="1">
      <alignment horizontal="right"/>
    </xf>
    <xf numFmtId="2" fontId="10" fillId="0" borderId="0" xfId="0" applyNumberFormat="1" applyFont="1" applyFill="1" applyAlignment="1">
      <alignment horizontal="left"/>
    </xf>
    <xf numFmtId="172" fontId="0" fillId="0" borderId="0" xfId="0" applyNumberFormat="1"/>
    <xf numFmtId="172" fontId="0" fillId="0" borderId="0" xfId="0" applyNumberFormat="1" applyAlignment="1">
      <alignment horizontal="right"/>
    </xf>
    <xf numFmtId="0" fontId="0" fillId="0" borderId="0" xfId="0" quotePrefix="1" applyAlignment="1">
      <alignment horizontal="center"/>
    </xf>
    <xf numFmtId="171" fontId="0" fillId="0" borderId="0" xfId="0" applyNumberFormat="1"/>
    <xf numFmtId="172" fontId="0" fillId="0" borderId="30" xfId="0" applyNumberFormat="1" applyBorder="1"/>
    <xf numFmtId="171" fontId="0" fillId="0" borderId="30" xfId="0" applyNumberFormat="1" applyBorder="1"/>
    <xf numFmtId="0" fontId="0" fillId="0" borderId="0" xfId="0" applyAlignment="1">
      <alignment horizontal="center"/>
    </xf>
    <xf numFmtId="171" fontId="10" fillId="0" borderId="0" xfId="0" applyNumberFormat="1" applyFont="1" applyAlignment="1">
      <alignment horizontal="right"/>
    </xf>
    <xf numFmtId="1" fontId="0" fillId="0" borderId="0" xfId="0" applyNumberFormat="1"/>
    <xf numFmtId="0" fontId="10" fillId="0" borderId="0" xfId="0" applyFont="1" applyAlignment="1">
      <alignment horizontal="center"/>
    </xf>
    <xf numFmtId="172" fontId="10" fillId="0" borderId="0" xfId="0" applyNumberFormat="1" applyFont="1" applyAlignment="1">
      <alignment horizontal="right"/>
    </xf>
    <xf numFmtId="0" fontId="10" fillId="0" borderId="0" xfId="0" quotePrefix="1" applyFont="1" applyAlignment="1">
      <alignment horizontal="center"/>
    </xf>
    <xf numFmtId="171" fontId="10" fillId="0" borderId="0" xfId="0" applyNumberFormat="1" applyFont="1" applyFill="1" applyBorder="1"/>
    <xf numFmtId="172" fontId="10" fillId="0" borderId="0" xfId="0" applyNumberFormat="1" applyFont="1"/>
    <xf numFmtId="172" fontId="10" fillId="0" borderId="30" xfId="0" applyNumberFormat="1" applyFont="1" applyBorder="1"/>
    <xf numFmtId="171" fontId="10" fillId="0" borderId="30" xfId="0" applyNumberFormat="1" applyFont="1" applyFill="1" applyBorder="1"/>
    <xf numFmtId="171" fontId="10" fillId="0" borderId="0" xfId="0" applyNumberFormat="1" applyFont="1"/>
    <xf numFmtId="171" fontId="7" fillId="0" borderId="0" xfId="0" applyNumberFormat="1" applyFont="1"/>
    <xf numFmtId="171" fontId="7" fillId="0" borderId="1" xfId="0" applyNumberFormat="1" applyFont="1" applyBorder="1"/>
    <xf numFmtId="0" fontId="36" fillId="0" borderId="0" xfId="0" applyFont="1" applyFill="1" applyBorder="1" applyAlignment="1">
      <alignment horizontal="center"/>
    </xf>
    <xf numFmtId="0" fontId="81" fillId="0" borderId="0" xfId="0" applyFont="1" applyFill="1"/>
    <xf numFmtId="0" fontId="21" fillId="0" borderId="0" xfId="0" applyFont="1" applyFill="1"/>
    <xf numFmtId="3" fontId="40" fillId="0" borderId="1" xfId="0" applyNumberFormat="1" applyFont="1" applyFill="1" applyBorder="1" applyAlignment="1"/>
    <xf numFmtId="0" fontId="71" fillId="0" borderId="0" xfId="0" applyFont="1" applyFill="1" applyBorder="1" applyAlignment="1">
      <alignment horizontal="center"/>
    </xf>
    <xf numFmtId="4" fontId="40" fillId="0" borderId="0" xfId="0" applyNumberFormat="1" applyFont="1" applyFill="1" applyBorder="1"/>
    <xf numFmtId="4" fontId="40" fillId="0" borderId="1" xfId="0" applyNumberFormat="1" applyFont="1" applyFill="1" applyBorder="1"/>
    <xf numFmtId="0" fontId="62" fillId="0" borderId="6" xfId="0" applyFont="1" applyBorder="1" applyAlignment="1">
      <alignment horizontal="center"/>
    </xf>
    <xf numFmtId="0" fontId="5" fillId="0" borderId="9" xfId="0" applyFont="1" applyBorder="1" applyAlignment="1">
      <alignment horizontal="center"/>
    </xf>
    <xf numFmtId="0" fontId="5" fillId="0" borderId="11" xfId="0" applyFont="1" applyFill="1" applyBorder="1"/>
    <xf numFmtId="1" fontId="5" fillId="0" borderId="1" xfId="0" applyNumberFormat="1" applyFont="1" applyFill="1" applyBorder="1" applyAlignment="1">
      <alignment vertical="top" wrapText="1"/>
    </xf>
    <xf numFmtId="2" fontId="5" fillId="0" borderId="1" xfId="0" applyNumberFormat="1" applyFont="1" applyFill="1" applyBorder="1" applyAlignment="1">
      <alignment vertical="top"/>
    </xf>
    <xf numFmtId="0" fontId="29" fillId="0" borderId="0" xfId="0" applyFont="1" applyFill="1" applyAlignment="1">
      <alignment horizontal="center"/>
    </xf>
    <xf numFmtId="0" fontId="16" fillId="0" borderId="0" xfId="0" applyFont="1" applyFill="1" applyBorder="1" applyAlignment="1">
      <alignment horizontal="left" indent="1"/>
    </xf>
    <xf numFmtId="0" fontId="5" fillId="0" borderId="0" xfId="0" applyFont="1" applyFill="1" applyAlignment="1">
      <alignment horizontal="left" indent="1"/>
    </xf>
    <xf numFmtId="0" fontId="4" fillId="0" borderId="0" xfId="0" applyFont="1" applyFill="1" applyAlignment="1">
      <alignment wrapText="1"/>
    </xf>
    <xf numFmtId="14" fontId="4" fillId="0" borderId="0" xfId="0" applyNumberFormat="1" applyFont="1" applyFill="1" applyBorder="1" applyAlignment="1"/>
    <xf numFmtId="0" fontId="36" fillId="0" borderId="17" xfId="0" applyFont="1" applyFill="1" applyBorder="1"/>
    <xf numFmtId="172" fontId="4" fillId="0" borderId="0" xfId="0" applyNumberFormat="1" applyFont="1" applyFill="1" applyAlignment="1">
      <alignment horizontal="left"/>
    </xf>
    <xf numFmtId="172" fontId="36" fillId="0" borderId="0" xfId="0" applyNumberFormat="1" applyFont="1" applyFill="1" applyAlignment="1">
      <alignment horizontal="left"/>
    </xf>
    <xf numFmtId="172" fontId="4" fillId="0" borderId="0" xfId="0" applyNumberFormat="1" applyFont="1" applyFill="1" applyBorder="1" applyProtection="1">
      <protection locked="0"/>
    </xf>
    <xf numFmtId="0" fontId="10" fillId="0" borderId="56" xfId="0" applyFont="1" applyFill="1" applyBorder="1" applyAlignment="1"/>
    <xf numFmtId="0" fontId="4" fillId="0" borderId="56" xfId="0" applyFont="1" applyFill="1" applyBorder="1" applyAlignment="1"/>
    <xf numFmtId="0" fontId="34" fillId="0" borderId="56" xfId="0" applyFont="1" applyFill="1" applyBorder="1" applyAlignment="1"/>
    <xf numFmtId="0" fontId="40" fillId="5" borderId="22" xfId="0" applyFont="1" applyFill="1" applyBorder="1" applyAlignment="1" applyProtection="1">
      <alignment horizontal="center"/>
    </xf>
    <xf numFmtId="0" fontId="36" fillId="5" borderId="0" xfId="0" applyFont="1" applyFill="1" applyBorder="1" applyAlignment="1" applyProtection="1">
      <alignment horizontal="left"/>
    </xf>
    <xf numFmtId="44" fontId="40" fillId="0" borderId="0" xfId="0" applyNumberFormat="1" applyFont="1" applyFill="1" applyBorder="1" applyAlignment="1">
      <alignment horizontal="right"/>
    </xf>
    <xf numFmtId="169" fontId="71" fillId="0" borderId="0" xfId="1" applyNumberFormat="1" applyFont="1" applyFill="1" applyBorder="1" applyAlignment="1">
      <alignment horizontal="right"/>
    </xf>
    <xf numFmtId="0" fontId="21" fillId="0" borderId="0" xfId="0" applyFont="1" applyFill="1" applyAlignment="1">
      <alignment horizontal="left"/>
    </xf>
    <xf numFmtId="0" fontId="21" fillId="0" borderId="1" xfId="0" applyFont="1" applyFill="1" applyBorder="1"/>
    <xf numFmtId="171" fontId="21" fillId="0" borderId="1" xfId="0" applyNumberFormat="1" applyFont="1" applyFill="1" applyBorder="1"/>
    <xf numFmtId="0" fontId="7" fillId="0" borderId="0" xfId="0" applyFont="1" applyFill="1" applyAlignment="1">
      <alignment horizontal="left"/>
    </xf>
    <xf numFmtId="0" fontId="44" fillId="0" borderId="0" xfId="0" applyFont="1" applyFill="1" applyAlignment="1">
      <alignment horizontal="right"/>
    </xf>
    <xf numFmtId="0" fontId="87" fillId="0" borderId="0" xfId="0" applyFont="1" applyFill="1"/>
    <xf numFmtId="0" fontId="87" fillId="0" borderId="0" xfId="0" applyFont="1" applyFill="1" applyAlignment="1">
      <alignment horizontal="left"/>
    </xf>
    <xf numFmtId="0" fontId="85" fillId="0" borderId="0" xfId="0" applyFont="1" applyFill="1"/>
    <xf numFmtId="0" fontId="4" fillId="0" borderId="0" xfId="0" applyFont="1" applyFill="1" applyAlignment="1">
      <alignment horizontal="left" indent="2"/>
    </xf>
    <xf numFmtId="4" fontId="4" fillId="0" borderId="0" xfId="2" applyNumberFormat="1" applyFont="1" applyFill="1" applyBorder="1" applyAlignment="1">
      <alignment horizontal="right"/>
    </xf>
    <xf numFmtId="0" fontId="86" fillId="0" borderId="0" xfId="0" applyFont="1" applyFill="1"/>
    <xf numFmtId="0" fontId="86" fillId="0" borderId="0" xfId="0" applyFont="1" applyFill="1" applyAlignment="1">
      <alignment horizontal="left"/>
    </xf>
    <xf numFmtId="1" fontId="86" fillId="0" borderId="0" xfId="0" applyNumberFormat="1" applyFont="1" applyFill="1" applyBorder="1"/>
    <xf numFmtId="2" fontId="86" fillId="0" borderId="0" xfId="0" applyNumberFormat="1" applyFont="1" applyFill="1"/>
    <xf numFmtId="2" fontId="85" fillId="0" borderId="0" xfId="0" applyNumberFormat="1" applyFont="1" applyFill="1"/>
    <xf numFmtId="0" fontId="86" fillId="0" borderId="0" xfId="0" applyFont="1" applyFill="1" applyBorder="1"/>
    <xf numFmtId="6" fontId="0" fillId="0" borderId="0" xfId="0" applyNumberFormat="1" applyFill="1" applyAlignment="1">
      <alignment horizontal="left"/>
    </xf>
    <xf numFmtId="164" fontId="40" fillId="4" borderId="0" xfId="0" applyNumberFormat="1" applyFont="1" applyFill="1" applyBorder="1" applyAlignment="1" applyProtection="1">
      <alignment horizontal="left"/>
    </xf>
    <xf numFmtId="0" fontId="0" fillId="0" borderId="56" xfId="0" applyFill="1" applyBorder="1"/>
    <xf numFmtId="0" fontId="5" fillId="0" borderId="56" xfId="0" applyFont="1" applyFill="1" applyBorder="1" applyAlignment="1"/>
    <xf numFmtId="0" fontId="5" fillId="0" borderId="0" xfId="0" applyFont="1" applyFill="1" applyAlignment="1"/>
    <xf numFmtId="0" fontId="32" fillId="0" borderId="13" xfId="0" applyFont="1" applyFill="1" applyBorder="1" applyAlignment="1"/>
    <xf numFmtId="0" fontId="4" fillId="0" borderId="14" xfId="0" applyFont="1" applyFill="1" applyBorder="1" applyAlignment="1"/>
    <xf numFmtId="0" fontId="27" fillId="0" borderId="0" xfId="0" applyFont="1" applyFill="1" applyBorder="1" applyAlignment="1">
      <alignment horizontal="right"/>
    </xf>
    <xf numFmtId="172" fontId="4" fillId="0" borderId="13" xfId="0" applyNumberFormat="1" applyFont="1" applyFill="1" applyBorder="1" applyAlignment="1"/>
    <xf numFmtId="172" fontId="4" fillId="0" borderId="14" xfId="0" applyNumberFormat="1" applyFont="1" applyFill="1" applyBorder="1" applyAlignment="1">
      <alignment horizontal="right"/>
    </xf>
    <xf numFmtId="0" fontId="27" fillId="0" borderId="3" xfId="0" applyFont="1" applyFill="1" applyBorder="1" applyAlignment="1">
      <alignment horizontal="right"/>
    </xf>
    <xf numFmtId="3" fontId="4" fillId="0" borderId="13" xfId="0" applyNumberFormat="1" applyFont="1" applyFill="1" applyBorder="1" applyAlignment="1"/>
    <xf numFmtId="0" fontId="8" fillId="0" borderId="13" xfId="0" applyFont="1" applyFill="1" applyBorder="1" applyAlignment="1">
      <alignment horizontal="left"/>
    </xf>
    <xf numFmtId="171" fontId="4" fillId="0" borderId="14" xfId="1" applyNumberFormat="1" applyFont="1" applyFill="1" applyBorder="1" applyAlignment="1">
      <alignment horizontal="right"/>
    </xf>
    <xf numFmtId="0" fontId="26" fillId="0" borderId="13" xfId="0" applyFont="1" applyFill="1" applyBorder="1" applyAlignment="1"/>
    <xf numFmtId="0" fontId="21" fillId="0" borderId="13" xfId="0" applyFont="1" applyFill="1" applyBorder="1" applyAlignment="1"/>
    <xf numFmtId="2" fontId="0" fillId="0" borderId="1" xfId="0" applyNumberFormat="1" applyFill="1" applyBorder="1"/>
    <xf numFmtId="2" fontId="0" fillId="0" borderId="1" xfId="0" applyNumberFormat="1" applyFill="1" applyBorder="1" applyAlignment="1">
      <alignment horizontal="left"/>
    </xf>
    <xf numFmtId="0" fontId="4" fillId="9" borderId="5" xfId="0" applyFont="1" applyFill="1" applyBorder="1" applyProtection="1">
      <protection locked="0"/>
    </xf>
    <xf numFmtId="14" fontId="40" fillId="0" borderId="1" xfId="0" applyNumberFormat="1" applyFont="1" applyBorder="1" applyProtection="1">
      <protection locked="0"/>
    </xf>
    <xf numFmtId="0" fontId="94" fillId="8" borderId="0" xfId="3" applyFont="1" applyFill="1" applyBorder="1" applyAlignment="1" applyProtection="1"/>
    <xf numFmtId="0" fontId="40" fillId="10" borderId="45" xfId="0" applyFont="1" applyFill="1" applyBorder="1"/>
    <xf numFmtId="0" fontId="40" fillId="0" borderId="57" xfId="0" applyFont="1" applyBorder="1" applyAlignment="1">
      <alignment horizontal="right"/>
    </xf>
    <xf numFmtId="0" fontId="73" fillId="8" borderId="0" xfId="0" applyFont="1" applyFill="1" applyBorder="1"/>
    <xf numFmtId="0" fontId="97" fillId="0" borderId="1" xfId="0" applyFont="1" applyBorder="1" applyAlignment="1">
      <alignment horizontal="left"/>
    </xf>
    <xf numFmtId="0" fontId="97" fillId="0" borderId="1" xfId="0" applyFont="1" applyBorder="1" applyAlignment="1">
      <alignment horizontal="left" indent="1"/>
    </xf>
    <xf numFmtId="0" fontId="97" fillId="0" borderId="4" xfId="0" applyFont="1" applyBorder="1" applyAlignment="1">
      <alignment horizontal="left"/>
    </xf>
    <xf numFmtId="3" fontId="0" fillId="0" borderId="1" xfId="1" applyNumberFormat="1" applyFont="1" applyFill="1" applyBorder="1"/>
    <xf numFmtId="0" fontId="100" fillId="0" borderId="1" xfId="0" applyFont="1" applyFill="1" applyBorder="1"/>
    <xf numFmtId="0" fontId="100" fillId="0" borderId="2" xfId="0" applyFont="1" applyFill="1" applyBorder="1"/>
    <xf numFmtId="0" fontId="4" fillId="0" borderId="25" xfId="0" applyFont="1" applyFill="1" applyBorder="1" applyAlignment="1">
      <alignment horizontal="right"/>
    </xf>
    <xf numFmtId="0" fontId="4" fillId="14" borderId="0" xfId="0" applyFont="1" applyFill="1" applyBorder="1"/>
    <xf numFmtId="0" fontId="0" fillId="14" borderId="0" xfId="0" applyFill="1"/>
    <xf numFmtId="172" fontId="4" fillId="0" borderId="1" xfId="0" applyNumberFormat="1" applyFont="1" applyFill="1" applyBorder="1" applyProtection="1">
      <protection locked="0"/>
    </xf>
    <xf numFmtId="176" fontId="40" fillId="9" borderId="1" xfId="0" applyNumberFormat="1" applyFont="1" applyFill="1" applyBorder="1" applyProtection="1">
      <protection locked="0"/>
    </xf>
    <xf numFmtId="176" fontId="40" fillId="9" borderId="45" xfId="0" applyNumberFormat="1" applyFont="1" applyFill="1" applyBorder="1" applyAlignment="1" applyProtection="1">
      <protection locked="0"/>
    </xf>
    <xf numFmtId="2" fontId="40" fillId="9" borderId="49" xfId="0" applyNumberFormat="1" applyFont="1" applyFill="1" applyBorder="1" applyAlignment="1" applyProtection="1">
      <protection locked="0"/>
    </xf>
    <xf numFmtId="2" fontId="40" fillId="9" borderId="50" xfId="0" applyNumberFormat="1" applyFont="1" applyFill="1" applyBorder="1" applyAlignment="1" applyProtection="1">
      <protection locked="0"/>
    </xf>
    <xf numFmtId="2" fontId="40" fillId="9" borderId="50" xfId="0" applyNumberFormat="1" applyFont="1" applyFill="1" applyBorder="1" applyProtection="1">
      <protection locked="0"/>
    </xf>
    <xf numFmtId="0" fontId="56" fillId="0" borderId="0" xfId="0" applyFont="1" applyFill="1" applyProtection="1"/>
    <xf numFmtId="0" fontId="62" fillId="0" borderId="0" xfId="0" applyFont="1" applyFill="1" applyProtection="1"/>
    <xf numFmtId="0" fontId="4" fillId="0" borderId="2" xfId="0" applyFont="1" applyBorder="1" applyProtection="1">
      <protection locked="0"/>
    </xf>
    <xf numFmtId="0" fontId="109" fillId="0" borderId="0" xfId="0" applyFont="1" applyFill="1" applyAlignment="1">
      <alignment horizontal="left"/>
    </xf>
    <xf numFmtId="0" fontId="110" fillId="0" borderId="0" xfId="0" applyFont="1" applyFill="1"/>
    <xf numFmtId="0" fontId="111" fillId="0" borderId="0" xfId="0" applyFont="1" applyFill="1"/>
    <xf numFmtId="0" fontId="112" fillId="0" borderId="0" xfId="0" applyFont="1" applyFill="1" applyAlignment="1">
      <alignment horizontal="left"/>
    </xf>
    <xf numFmtId="0" fontId="113" fillId="0" borderId="0" xfId="0" applyFont="1" applyFill="1"/>
    <xf numFmtId="0" fontId="114" fillId="0" borderId="0" xfId="0" applyFont="1" applyFill="1" applyAlignment="1">
      <alignment horizontal="left"/>
    </xf>
    <xf numFmtId="0" fontId="114" fillId="0" borderId="0" xfId="0" applyFont="1" applyFill="1" applyBorder="1" applyAlignment="1">
      <alignment horizontal="left"/>
    </xf>
    <xf numFmtId="0" fontId="92" fillId="0" borderId="0" xfId="0" applyFont="1" applyFill="1" applyBorder="1"/>
    <xf numFmtId="0" fontId="93" fillId="0" borderId="0" xfId="0" applyFont="1" applyFill="1" applyBorder="1"/>
    <xf numFmtId="1" fontId="4" fillId="0" borderId="0" xfId="2" applyNumberFormat="1" applyFont="1" applyFill="1" applyBorder="1" applyProtection="1">
      <protection locked="0"/>
    </xf>
    <xf numFmtId="1" fontId="4" fillId="0" borderId="0" xfId="2" applyNumberFormat="1" applyFont="1" applyFill="1" applyBorder="1" applyAlignment="1" applyProtection="1">
      <protection locked="0"/>
    </xf>
    <xf numFmtId="0" fontId="117" fillId="0" borderId="0" xfId="0" applyFont="1" applyFill="1"/>
    <xf numFmtId="0" fontId="1" fillId="0" borderId="0" xfId="0" applyFont="1" applyFill="1"/>
    <xf numFmtId="0" fontId="40" fillId="14" borderId="0" xfId="0" applyFont="1" applyFill="1" applyBorder="1" applyProtection="1"/>
    <xf numFmtId="0" fontId="92" fillId="0" borderId="0" xfId="0" applyFont="1" applyFill="1"/>
    <xf numFmtId="0" fontId="92" fillId="0" borderId="0" xfId="0" applyFont="1" applyFill="1" applyBorder="1" applyAlignment="1">
      <alignment horizontal="right"/>
    </xf>
    <xf numFmtId="1" fontId="92" fillId="0" borderId="0" xfId="0" applyNumberFormat="1" applyFont="1" applyFill="1" applyBorder="1"/>
    <xf numFmtId="1" fontId="92" fillId="0" borderId="0" xfId="0" applyNumberFormat="1" applyFont="1" applyFill="1" applyBorder="1" applyAlignment="1">
      <alignment horizontal="right"/>
    </xf>
    <xf numFmtId="0" fontId="30" fillId="0" borderId="0" xfId="0" applyFont="1" applyFill="1" applyAlignment="1">
      <alignment horizontal="left"/>
    </xf>
    <xf numFmtId="0" fontId="117" fillId="0" borderId="0" xfId="0" applyFont="1" applyProtection="1"/>
    <xf numFmtId="0" fontId="117" fillId="0" borderId="0" xfId="0" applyFont="1" applyFill="1" applyProtection="1"/>
    <xf numFmtId="0" fontId="5" fillId="14" borderId="3" xfId="0" applyFont="1" applyFill="1" applyBorder="1" applyAlignment="1">
      <alignment horizontal="center"/>
    </xf>
    <xf numFmtId="0" fontId="62" fillId="14" borderId="2" xfId="0" applyFont="1" applyFill="1" applyBorder="1" applyAlignment="1">
      <alignment horizontal="center"/>
    </xf>
    <xf numFmtId="0" fontId="17" fillId="14" borderId="3" xfId="0" applyFont="1" applyFill="1" applyBorder="1"/>
    <xf numFmtId="3" fontId="4" fillId="0" borderId="0" xfId="2" applyNumberFormat="1" applyFont="1" applyFill="1" applyBorder="1"/>
    <xf numFmtId="0" fontId="58" fillId="5" borderId="0" xfId="0" applyFont="1" applyFill="1" applyBorder="1" applyProtection="1"/>
    <xf numFmtId="0" fontId="5" fillId="14" borderId="0" xfId="0" applyFont="1" applyFill="1" applyProtection="1"/>
    <xf numFmtId="0" fontId="17" fillId="0" borderId="3" xfId="0" applyFont="1" applyFill="1" applyBorder="1"/>
    <xf numFmtId="0" fontId="1" fillId="14" borderId="0" xfId="0" applyFont="1" applyFill="1"/>
    <xf numFmtId="0" fontId="115" fillId="0" borderId="0" xfId="0" applyFont="1" applyFill="1" applyBorder="1"/>
    <xf numFmtId="0" fontId="1" fillId="0" borderId="0" xfId="0" applyFont="1" applyAlignment="1">
      <alignment horizontal="left"/>
    </xf>
    <xf numFmtId="1" fontId="21" fillId="0" borderId="0" xfId="0" applyNumberFormat="1" applyFont="1" applyFill="1" applyAlignment="1">
      <alignment horizontal="left"/>
    </xf>
    <xf numFmtId="1" fontId="21" fillId="0" borderId="0" xfId="0" applyNumberFormat="1" applyFont="1" applyFill="1" applyAlignment="1">
      <alignment horizontal="right"/>
    </xf>
    <xf numFmtId="1" fontId="21" fillId="0" borderId="1" xfId="0" applyNumberFormat="1" applyFont="1" applyFill="1" applyBorder="1"/>
    <xf numFmtId="0" fontId="36" fillId="5" borderId="0" xfId="0" applyFont="1" applyFill="1" applyBorder="1" applyAlignment="1">
      <alignment horizontal="left" wrapText="1"/>
    </xf>
    <xf numFmtId="0" fontId="85" fillId="0" borderId="0" xfId="0" applyFont="1" applyFill="1" applyAlignment="1">
      <alignment horizontal="left"/>
    </xf>
    <xf numFmtId="0" fontId="4" fillId="16" borderId="0" xfId="0" applyFont="1" applyFill="1" applyProtection="1"/>
    <xf numFmtId="0" fontId="119" fillId="5" borderId="0" xfId="0" applyFont="1" applyFill="1" applyProtection="1"/>
    <xf numFmtId="0" fontId="119" fillId="5" borderId="0" xfId="0" applyFont="1" applyFill="1" applyBorder="1" applyProtection="1"/>
    <xf numFmtId="0" fontId="53" fillId="8" borderId="0" xfId="0" applyFont="1" applyFill="1" applyBorder="1" applyAlignment="1" applyProtection="1">
      <alignment horizontal="left"/>
    </xf>
    <xf numFmtId="0" fontId="49" fillId="8" borderId="0" xfId="0" applyFont="1" applyFill="1" applyBorder="1" applyAlignment="1" applyProtection="1">
      <alignment horizontal="center"/>
    </xf>
    <xf numFmtId="0" fontId="49" fillId="8" borderId="53" xfId="0" applyFont="1" applyFill="1" applyBorder="1" applyAlignment="1" applyProtection="1">
      <alignment horizontal="center"/>
    </xf>
    <xf numFmtId="0" fontId="49" fillId="8" borderId="25" xfId="0" applyFont="1" applyFill="1" applyBorder="1" applyAlignment="1" applyProtection="1">
      <alignment horizontal="center"/>
    </xf>
    <xf numFmtId="0" fontId="49" fillId="8" borderId="26" xfId="0" applyFont="1" applyFill="1" applyBorder="1" applyAlignment="1" applyProtection="1">
      <alignment horizontal="center"/>
    </xf>
    <xf numFmtId="0" fontId="120" fillId="8" borderId="22" xfId="0" applyFont="1" applyFill="1" applyBorder="1" applyAlignment="1" applyProtection="1">
      <alignment horizontal="left"/>
    </xf>
    <xf numFmtId="1" fontId="4" fillId="14" borderId="0" xfId="0" applyNumberFormat="1" applyFont="1" applyFill="1" applyBorder="1" applyAlignment="1" applyProtection="1">
      <alignment horizontal="left"/>
    </xf>
    <xf numFmtId="43" fontId="40" fillId="14" borderId="18" xfId="1" applyFont="1" applyFill="1" applyBorder="1" applyProtection="1"/>
    <xf numFmtId="4" fontId="8" fillId="0" borderId="1" xfId="0" applyNumberFormat="1" applyFont="1" applyFill="1" applyBorder="1"/>
    <xf numFmtId="3" fontId="8" fillId="0" borderId="1" xfId="0" applyNumberFormat="1" applyFont="1" applyFill="1" applyBorder="1"/>
    <xf numFmtId="0" fontId="1" fillId="0" borderId="0" xfId="0" applyFont="1" applyFill="1" applyBorder="1" applyAlignment="1">
      <alignment horizontal="right"/>
    </xf>
    <xf numFmtId="0" fontId="4" fillId="0" borderId="59" xfId="0" applyFont="1" applyFill="1" applyBorder="1" applyAlignment="1"/>
    <xf numFmtId="0" fontId="8" fillId="0" borderId="59" xfId="0" applyFont="1" applyFill="1" applyBorder="1" applyAlignment="1">
      <alignment horizontal="right"/>
    </xf>
    <xf numFmtId="0" fontId="8" fillId="0" borderId="59" xfId="0" applyFont="1" applyFill="1" applyBorder="1" applyAlignment="1"/>
    <xf numFmtId="0" fontId="4" fillId="16" borderId="0" xfId="0" applyFont="1" applyFill="1" applyProtection="1">
      <protection locked="0"/>
    </xf>
    <xf numFmtId="0" fontId="36" fillId="16" borderId="30" xfId="0" applyFont="1" applyFill="1" applyBorder="1" applyAlignment="1" applyProtection="1">
      <alignment horizontal="left"/>
    </xf>
    <xf numFmtId="0" fontId="36" fillId="5" borderId="8" xfId="0" applyFont="1" applyFill="1" applyBorder="1" applyAlignment="1" applyProtection="1">
      <alignment horizontal="left"/>
    </xf>
    <xf numFmtId="0" fontId="31" fillId="4" borderId="25" xfId="0" applyFont="1" applyFill="1" applyBorder="1" applyProtection="1"/>
    <xf numFmtId="2" fontId="116" fillId="0" borderId="0" xfId="0" applyNumberFormat="1" applyFont="1" applyFill="1" applyBorder="1" applyAlignment="1">
      <alignment horizontal="right"/>
    </xf>
    <xf numFmtId="1" fontId="4" fillId="17" borderId="1" xfId="0" applyNumberFormat="1" applyFont="1" applyFill="1" applyBorder="1"/>
    <xf numFmtId="0" fontId="123" fillId="0" borderId="0" xfId="0" applyFont="1" applyFill="1"/>
    <xf numFmtId="0" fontId="123" fillId="0" borderId="0" xfId="0" applyFont="1" applyFill="1" applyBorder="1"/>
    <xf numFmtId="0" fontId="123" fillId="0" borderId="0" xfId="0" applyFont="1" applyFill="1" applyBorder="1" applyAlignment="1">
      <alignment horizontal="left"/>
    </xf>
    <xf numFmtId="0" fontId="36" fillId="0" borderId="0" xfId="0" applyFont="1" applyFill="1" applyBorder="1" applyAlignment="1">
      <alignment horizontal="left" indent="1"/>
    </xf>
    <xf numFmtId="0" fontId="36" fillId="0" borderId="0" xfId="0" applyFont="1" applyFill="1" applyBorder="1" applyAlignment="1">
      <alignment horizontal="left" indent="2"/>
    </xf>
    <xf numFmtId="6" fontId="8" fillId="0" borderId="1" xfId="0" applyNumberFormat="1" applyFont="1" applyFill="1" applyBorder="1"/>
    <xf numFmtId="0" fontId="116" fillId="0" borderId="0" xfId="0" applyFont="1" applyFill="1" applyBorder="1" applyAlignment="1">
      <alignment horizontal="left"/>
    </xf>
    <xf numFmtId="0" fontId="40" fillId="0" borderId="0" xfId="0" applyFont="1" applyFill="1" applyBorder="1" applyAlignment="1">
      <alignment horizontal="left" indent="2"/>
    </xf>
    <xf numFmtId="3" fontId="4" fillId="0" borderId="16" xfId="0" applyNumberFormat="1" applyFont="1" applyFill="1" applyBorder="1"/>
    <xf numFmtId="3" fontId="41" fillId="0" borderId="1" xfId="0" applyNumberFormat="1" applyFont="1" applyFill="1" applyBorder="1"/>
    <xf numFmtId="0" fontId="4" fillId="0" borderId="60" xfId="0" applyFont="1" applyFill="1" applyBorder="1"/>
    <xf numFmtId="0" fontId="4" fillId="0" borderId="61" xfId="0" applyFont="1" applyFill="1" applyBorder="1"/>
    <xf numFmtId="0" fontId="125" fillId="0" borderId="0" xfId="0" applyFont="1"/>
    <xf numFmtId="0" fontId="4" fillId="0" borderId="58" xfId="0" applyFont="1" applyFill="1" applyBorder="1"/>
    <xf numFmtId="2" fontId="116" fillId="0" borderId="1" xfId="0" applyNumberFormat="1" applyFont="1" applyFill="1" applyBorder="1"/>
    <xf numFmtId="1" fontId="124" fillId="0" borderId="0" xfId="0" applyNumberFormat="1" applyFont="1" applyFill="1" applyBorder="1" applyAlignment="1">
      <alignment horizontal="right"/>
    </xf>
    <xf numFmtId="1" fontId="122" fillId="0" borderId="0" xfId="0" applyNumberFormat="1" applyFont="1" applyFill="1" applyBorder="1" applyAlignment="1">
      <alignment horizontal="left"/>
    </xf>
    <xf numFmtId="0" fontId="122" fillId="0" borderId="0" xfId="0" applyFont="1" applyFill="1"/>
    <xf numFmtId="1" fontId="122" fillId="0" borderId="0" xfId="0" applyNumberFormat="1" applyFont="1" applyFill="1" applyBorder="1" applyAlignment="1">
      <alignment horizontal="right"/>
    </xf>
    <xf numFmtId="2" fontId="122" fillId="0" borderId="1" xfId="0" applyNumberFormat="1" applyFont="1" applyFill="1" applyBorder="1"/>
    <xf numFmtId="1" fontId="122" fillId="0" borderId="0" xfId="0" applyNumberFormat="1" applyFont="1" applyFill="1" applyBorder="1"/>
    <xf numFmtId="0" fontId="122" fillId="0" borderId="0" xfId="0" applyFont="1" applyFill="1" applyAlignment="1">
      <alignment horizontal="left"/>
    </xf>
    <xf numFmtId="4" fontId="40" fillId="0" borderId="1" xfId="1" applyNumberFormat="1" applyFont="1" applyFill="1" applyBorder="1"/>
    <xf numFmtId="166" fontId="40" fillId="0" borderId="1" xfId="1" applyNumberFormat="1" applyFont="1" applyFill="1" applyBorder="1"/>
    <xf numFmtId="1" fontId="116" fillId="0" borderId="0" xfId="0" applyNumberFormat="1" applyFont="1" applyFill="1"/>
    <xf numFmtId="1" fontId="86" fillId="0" borderId="0" xfId="0" applyNumberFormat="1" applyFont="1" applyFill="1"/>
    <xf numFmtId="164" fontId="4" fillId="0" borderId="0" xfId="0" applyNumberFormat="1" applyFont="1" applyFill="1" applyBorder="1" applyAlignment="1">
      <alignment horizontal="right"/>
    </xf>
    <xf numFmtId="0" fontId="88" fillId="0" borderId="62" xfId="0" applyFont="1" applyFill="1" applyBorder="1"/>
    <xf numFmtId="0" fontId="40" fillId="0" borderId="63" xfId="0" applyFont="1" applyFill="1" applyBorder="1" applyAlignment="1">
      <alignment horizontal="left"/>
    </xf>
    <xf numFmtId="0" fontId="36" fillId="0" borderId="63" xfId="0" applyFont="1" applyFill="1" applyBorder="1"/>
    <xf numFmtId="0" fontId="36" fillId="0" borderId="63" xfId="0" applyFont="1" applyFill="1" applyBorder="1" applyAlignment="1">
      <alignment horizontal="right"/>
    </xf>
    <xf numFmtId="0" fontId="36" fillId="0" borderId="63" xfId="0" applyFont="1" applyFill="1" applyBorder="1" applyAlignment="1">
      <alignment horizontal="center"/>
    </xf>
    <xf numFmtId="2" fontId="4" fillId="0" borderId="64" xfId="0" applyNumberFormat="1" applyFont="1" applyFill="1" applyBorder="1"/>
    <xf numFmtId="0" fontId="85" fillId="0" borderId="65" xfId="0" applyFont="1" applyFill="1" applyBorder="1" applyAlignment="1"/>
    <xf numFmtId="2" fontId="4" fillId="0" borderId="66" xfId="0" applyNumberFormat="1" applyFont="1" applyFill="1" applyBorder="1"/>
    <xf numFmtId="0" fontId="86" fillId="0" borderId="65" xfId="0" applyFont="1" applyFill="1" applyBorder="1" applyAlignment="1">
      <alignment horizontal="left" indent="2"/>
    </xf>
    <xf numFmtId="0" fontId="86" fillId="0" borderId="65" xfId="0" applyFont="1" applyFill="1" applyBorder="1" applyAlignment="1">
      <alignment horizontal="left"/>
    </xf>
    <xf numFmtId="0" fontId="86" fillId="0" borderId="67" xfId="0" applyFont="1" applyFill="1" applyBorder="1" applyAlignment="1">
      <alignment horizontal="left"/>
    </xf>
    <xf numFmtId="0" fontId="36" fillId="0" borderId="68" xfId="0" applyFont="1" applyFill="1" applyBorder="1"/>
    <xf numFmtId="0" fontId="36" fillId="0" borderId="68" xfId="0" applyFont="1" applyFill="1" applyBorder="1" applyAlignment="1">
      <alignment horizontal="right"/>
    </xf>
    <xf numFmtId="0" fontId="36" fillId="0" borderId="68" xfId="0" applyFont="1" applyFill="1" applyBorder="1" applyAlignment="1">
      <alignment horizontal="center"/>
    </xf>
    <xf numFmtId="168" fontId="4" fillId="0" borderId="1" xfId="2" applyNumberFormat="1" applyFont="1" applyFill="1" applyBorder="1"/>
    <xf numFmtId="0" fontId="115" fillId="0" borderId="62" xfId="0" applyFont="1" applyFill="1" applyBorder="1"/>
    <xf numFmtId="0" fontId="115" fillId="0" borderId="64" xfId="0" applyFont="1" applyFill="1" applyBorder="1"/>
    <xf numFmtId="0" fontId="115" fillId="0" borderId="65" xfId="0" applyFont="1" applyFill="1" applyBorder="1"/>
    <xf numFmtId="0" fontId="115" fillId="0" borderId="66" xfId="0" applyFont="1" applyFill="1" applyBorder="1"/>
    <xf numFmtId="0" fontId="115" fillId="0" borderId="67" xfId="0" applyFont="1" applyFill="1" applyBorder="1"/>
    <xf numFmtId="0" fontId="115" fillId="0" borderId="68" xfId="0" applyFont="1" applyFill="1" applyBorder="1"/>
    <xf numFmtId="0" fontId="115" fillId="0" borderId="58" xfId="0" applyFont="1" applyFill="1" applyBorder="1"/>
    <xf numFmtId="0" fontId="91" fillId="0" borderId="0" xfId="0" applyFont="1" applyFill="1"/>
    <xf numFmtId="0" fontId="4" fillId="16" borderId="0" xfId="0" applyFont="1" applyFill="1" applyAlignment="1" applyProtection="1">
      <alignment horizontal="center"/>
    </xf>
    <xf numFmtId="0" fontId="4" fillId="4" borderId="76" xfId="0" applyFont="1" applyFill="1" applyBorder="1" applyProtection="1"/>
    <xf numFmtId="0" fontId="4" fillId="0" borderId="77" xfId="0" applyFont="1" applyBorder="1" applyProtection="1">
      <protection locked="0"/>
    </xf>
    <xf numFmtId="0" fontId="128" fillId="0" borderId="0" xfId="0" applyFont="1"/>
    <xf numFmtId="0" fontId="129" fillId="0" borderId="0" xfId="0" applyFont="1"/>
    <xf numFmtId="0" fontId="130" fillId="0" borderId="0" xfId="0" applyFont="1" applyAlignment="1">
      <alignment horizontal="left" vertical="center"/>
    </xf>
    <xf numFmtId="0" fontId="131" fillId="0" borderId="0" xfId="0" applyFont="1"/>
    <xf numFmtId="0" fontId="115" fillId="0" borderId="0" xfId="0" applyFont="1" applyFill="1"/>
    <xf numFmtId="0" fontId="4" fillId="0" borderId="69" xfId="0" applyFont="1" applyBorder="1" applyProtection="1">
      <protection locked="0"/>
    </xf>
    <xf numFmtId="2" fontId="4" fillId="0" borderId="69" xfId="0" applyNumberFormat="1" applyFont="1" applyFill="1" applyBorder="1" applyAlignment="1" applyProtection="1">
      <alignment horizontal="center"/>
      <protection locked="0"/>
    </xf>
    <xf numFmtId="0" fontId="4" fillId="10" borderId="75" xfId="0" applyFont="1" applyFill="1" applyBorder="1" applyAlignment="1" applyProtection="1">
      <alignment horizontal="center"/>
    </xf>
    <xf numFmtId="0" fontId="4" fillId="18" borderId="69" xfId="0" applyFont="1" applyFill="1" applyBorder="1"/>
    <xf numFmtId="0" fontId="40" fillId="18" borderId="69" xfId="0" applyFont="1" applyFill="1" applyBorder="1"/>
    <xf numFmtId="0" fontId="100" fillId="0" borderId="69" xfId="0" applyFont="1" applyFill="1" applyBorder="1"/>
    <xf numFmtId="0" fontId="74" fillId="0" borderId="69" xfId="0" applyFont="1" applyFill="1" applyBorder="1"/>
    <xf numFmtId="0" fontId="100" fillId="0" borderId="70" xfId="0" applyFont="1" applyFill="1" applyBorder="1"/>
    <xf numFmtId="0" fontId="74" fillId="0" borderId="69" xfId="0" applyFont="1" applyFill="1" applyBorder="1" applyAlignment="1">
      <alignment wrapText="1"/>
    </xf>
    <xf numFmtId="0" fontId="4" fillId="14" borderId="69" xfId="0" applyFont="1" applyFill="1" applyBorder="1"/>
    <xf numFmtId="0" fontId="36" fillId="5" borderId="8" xfId="0" applyFont="1" applyFill="1" applyBorder="1" applyAlignment="1" applyProtection="1">
      <alignment horizontal="center" wrapText="1"/>
    </xf>
    <xf numFmtId="0" fontId="4" fillId="5" borderId="0" xfId="0" applyFont="1" applyFill="1" applyBorder="1" applyAlignment="1" applyProtection="1">
      <alignment wrapText="1"/>
    </xf>
    <xf numFmtId="0" fontId="4" fillId="5" borderId="0" xfId="0" applyFont="1" applyFill="1" applyBorder="1" applyAlignment="1" applyProtection="1">
      <alignment horizontal="right" wrapText="1"/>
    </xf>
    <xf numFmtId="0" fontId="36" fillId="5" borderId="30" xfId="0" applyFont="1" applyFill="1" applyBorder="1" applyAlignment="1" applyProtection="1">
      <alignment horizontal="left" wrapText="1"/>
    </xf>
    <xf numFmtId="0" fontId="4" fillId="0" borderId="27" xfId="0" applyFont="1" applyFill="1" applyBorder="1" applyAlignment="1" applyProtection="1">
      <alignment wrapText="1"/>
      <protection locked="0"/>
    </xf>
    <xf numFmtId="0" fontId="4" fillId="0" borderId="6" xfId="0" applyFont="1" applyFill="1" applyBorder="1" applyAlignment="1" applyProtection="1">
      <alignment wrapText="1"/>
      <protection locked="0"/>
    </xf>
    <xf numFmtId="0" fontId="4" fillId="0" borderId="1" xfId="0" applyFont="1" applyFill="1" applyBorder="1" applyAlignment="1" applyProtection="1">
      <alignment horizontal="center"/>
      <protection locked="0"/>
    </xf>
    <xf numFmtId="0" fontId="8" fillId="10" borderId="1" xfId="0" applyFont="1" applyFill="1" applyBorder="1" applyAlignment="1">
      <alignment horizontal="center"/>
    </xf>
    <xf numFmtId="169" fontId="40" fillId="0" borderId="1" xfId="1" applyNumberFormat="1" applyFont="1" applyBorder="1" applyProtection="1">
      <protection locked="0"/>
    </xf>
    <xf numFmtId="169" fontId="40" fillId="0" borderId="1" xfId="1" applyNumberFormat="1" applyFont="1" applyBorder="1" applyAlignment="1" applyProtection="1">
      <alignment horizontal="center"/>
      <protection locked="0"/>
    </xf>
    <xf numFmtId="0" fontId="6" fillId="0" borderId="62" xfId="0" applyFont="1" applyFill="1" applyBorder="1"/>
    <xf numFmtId="0" fontId="5" fillId="0" borderId="63" xfId="0" applyFont="1" applyFill="1" applyBorder="1"/>
    <xf numFmtId="0" fontId="4" fillId="0" borderId="63" xfId="0" applyFont="1" applyFill="1" applyBorder="1"/>
    <xf numFmtId="0" fontId="5" fillId="0" borderId="64" xfId="0" applyFont="1" applyFill="1" applyBorder="1"/>
    <xf numFmtId="0" fontId="5" fillId="0" borderId="67" xfId="0" applyFont="1" applyFill="1" applyBorder="1"/>
    <xf numFmtId="0" fontId="5" fillId="0" borderId="68" xfId="0" applyFont="1" applyFill="1" applyBorder="1"/>
    <xf numFmtId="0" fontId="4" fillId="0" borderId="68" xfId="0" applyFont="1" applyFill="1" applyBorder="1"/>
    <xf numFmtId="0" fontId="5" fillId="0" borderId="58" xfId="0" applyFont="1" applyFill="1" applyBorder="1"/>
    <xf numFmtId="0" fontId="4" fillId="0" borderId="11" xfId="0" applyFont="1" applyFill="1" applyBorder="1" applyAlignment="1" applyProtection="1">
      <alignment wrapText="1"/>
      <protection locked="0"/>
    </xf>
    <xf numFmtId="164" fontId="41" fillId="14" borderId="18" xfId="0" applyNumberFormat="1" applyFont="1" applyFill="1" applyBorder="1" applyAlignment="1" applyProtection="1">
      <alignment horizontal="center"/>
    </xf>
    <xf numFmtId="0" fontId="4" fillId="0" borderId="64" xfId="0" applyFont="1" applyFill="1" applyBorder="1"/>
    <xf numFmtId="0" fontId="4" fillId="0" borderId="66" xfId="0" applyFont="1" applyFill="1" applyBorder="1"/>
    <xf numFmtId="0" fontId="8" fillId="5" borderId="6" xfId="0" applyFont="1" applyFill="1" applyBorder="1" applyProtection="1"/>
    <xf numFmtId="0" fontId="8" fillId="5" borderId="9" xfId="0" applyFont="1" applyFill="1" applyBorder="1" applyProtection="1"/>
    <xf numFmtId="0" fontId="8" fillId="5" borderId="11" xfId="0" applyFont="1" applyFill="1" applyBorder="1" applyProtection="1"/>
    <xf numFmtId="0" fontId="8" fillId="5" borderId="17" xfId="0" applyFont="1" applyFill="1" applyBorder="1" applyProtection="1"/>
    <xf numFmtId="0" fontId="8" fillId="5" borderId="1" xfId="0" applyFont="1" applyFill="1" applyBorder="1" applyProtection="1"/>
    <xf numFmtId="0" fontId="8" fillId="5" borderId="77" xfId="0" applyFont="1" applyFill="1" applyBorder="1" applyProtection="1"/>
    <xf numFmtId="0" fontId="8" fillId="5" borderId="1" xfId="0" applyFont="1" applyFill="1" applyBorder="1" applyAlignment="1" applyProtection="1">
      <alignment wrapText="1"/>
    </xf>
    <xf numFmtId="0" fontId="8" fillId="5" borderId="27" xfId="0" applyFont="1" applyFill="1" applyBorder="1" applyProtection="1"/>
    <xf numFmtId="0" fontId="8" fillId="0" borderId="0" xfId="0" applyFont="1" applyProtection="1"/>
    <xf numFmtId="0" fontId="4" fillId="0" borderId="0" xfId="0" applyFont="1" applyFill="1" applyBorder="1" applyAlignment="1">
      <alignment horizontal="left" indent="1"/>
    </xf>
    <xf numFmtId="0" fontId="4" fillId="0" borderId="69" xfId="0" applyFont="1" applyBorder="1" applyAlignment="1">
      <alignment horizontal="center"/>
    </xf>
    <xf numFmtId="0" fontId="4" fillId="0" borderId="69" xfId="0" applyFont="1" applyBorder="1"/>
    <xf numFmtId="0" fontId="8" fillId="0" borderId="69" xfId="0" applyFont="1" applyBorder="1" applyAlignment="1">
      <alignment horizontal="center"/>
    </xf>
    <xf numFmtId="0" fontId="8" fillId="0" borderId="69" xfId="0" applyFont="1" applyBorder="1"/>
    <xf numFmtId="0" fontId="4" fillId="14" borderId="69" xfId="0" applyFont="1" applyFill="1" applyBorder="1" applyAlignment="1">
      <alignment horizontal="center"/>
    </xf>
    <xf numFmtId="0" fontId="4" fillId="0" borderId="69" xfId="0" applyFont="1" applyFill="1" applyBorder="1" applyAlignment="1">
      <alignment horizontal="center"/>
    </xf>
    <xf numFmtId="0" fontId="4" fillId="0" borderId="77" xfId="0" applyFont="1" applyFill="1" applyBorder="1"/>
    <xf numFmtId="0" fontId="7" fillId="14" borderId="0" xfId="0" applyFont="1" applyFill="1"/>
    <xf numFmtId="0" fontId="0" fillId="0" borderId="78" xfId="0" applyBorder="1"/>
    <xf numFmtId="0" fontId="0" fillId="0" borderId="80" xfId="0" applyBorder="1"/>
    <xf numFmtId="0" fontId="0" fillId="0" borderId="81" xfId="0" applyBorder="1"/>
    <xf numFmtId="0" fontId="0" fillId="14" borderId="79" xfId="0" applyFill="1" applyBorder="1"/>
    <xf numFmtId="0" fontId="4" fillId="20" borderId="22" xfId="0" applyFont="1" applyFill="1" applyBorder="1" applyAlignment="1" applyProtection="1">
      <alignment horizontal="center"/>
    </xf>
    <xf numFmtId="0" fontId="119" fillId="16" borderId="0" xfId="0" applyFont="1" applyFill="1" applyProtection="1"/>
    <xf numFmtId="0" fontId="4" fillId="16" borderId="0" xfId="0" applyFont="1" applyFill="1" applyAlignment="1" applyProtection="1">
      <alignment horizontal="right"/>
    </xf>
    <xf numFmtId="1" fontId="5" fillId="0" borderId="0" xfId="0" applyNumberFormat="1" applyFont="1" applyBorder="1" applyAlignment="1">
      <alignment horizontal="center"/>
    </xf>
    <xf numFmtId="0" fontId="5" fillId="0" borderId="72" xfId="0" applyFont="1" applyFill="1" applyBorder="1"/>
    <xf numFmtId="0" fontId="5" fillId="0" borderId="0" xfId="0" applyFont="1" applyFill="1" applyBorder="1" applyAlignment="1">
      <alignment horizontal="center"/>
    </xf>
    <xf numFmtId="0" fontId="5" fillId="0" borderId="63" xfId="0" applyFont="1" applyFill="1" applyBorder="1" applyAlignment="1">
      <alignment horizontal="center"/>
    </xf>
    <xf numFmtId="2" fontId="40" fillId="0" borderId="1" xfId="0" applyNumberFormat="1" applyFont="1" applyFill="1" applyBorder="1" applyAlignment="1" applyProtection="1">
      <alignment horizontal="center"/>
    </xf>
    <xf numFmtId="175" fontId="40" fillId="0" borderId="1" xfId="0" applyNumberFormat="1" applyFont="1" applyFill="1" applyBorder="1" applyAlignment="1" applyProtection="1">
      <alignment horizontal="center"/>
    </xf>
    <xf numFmtId="2" fontId="40" fillId="18" borderId="1" xfId="0" applyNumberFormat="1" applyFont="1" applyFill="1" applyBorder="1" applyAlignment="1" applyProtection="1">
      <alignment horizontal="center"/>
    </xf>
    <xf numFmtId="0" fontId="5" fillId="4" borderId="69" xfId="0" applyFont="1" applyFill="1" applyBorder="1" applyProtection="1">
      <protection locked="0"/>
    </xf>
    <xf numFmtId="0" fontId="23" fillId="0" borderId="72" xfId="0" applyFont="1" applyBorder="1" applyAlignment="1">
      <alignment horizontal="right"/>
    </xf>
    <xf numFmtId="0" fontId="5" fillId="0" borderId="68" xfId="0" applyFont="1" applyFill="1" applyBorder="1" applyAlignment="1">
      <alignment horizontal="center"/>
    </xf>
    <xf numFmtId="0" fontId="1" fillId="0" borderId="78" xfId="0" applyFont="1" applyBorder="1"/>
    <xf numFmtId="0" fontId="40" fillId="10" borderId="69" xfId="0" applyFont="1" applyFill="1" applyBorder="1"/>
    <xf numFmtId="0" fontId="4" fillId="0" borderId="69" xfId="0" applyFont="1" applyBorder="1" applyAlignment="1">
      <alignment horizontal="left"/>
    </xf>
    <xf numFmtId="0" fontId="40" fillId="0" borderId="69" xfId="0" applyFont="1" applyBorder="1"/>
    <xf numFmtId="1" fontId="40" fillId="0" borderId="69" xfId="0" applyNumberFormat="1" applyFont="1" applyBorder="1"/>
    <xf numFmtId="0" fontId="4" fillId="19" borderId="69" xfId="0" applyFont="1" applyFill="1" applyBorder="1" applyAlignment="1">
      <alignment horizontal="center"/>
    </xf>
    <xf numFmtId="0" fontId="4" fillId="19" borderId="69" xfId="0" applyFont="1" applyFill="1" applyBorder="1"/>
    <xf numFmtId="169" fontId="4" fillId="0" borderId="18" xfId="1" applyNumberFormat="1" applyFont="1" applyFill="1" applyBorder="1" applyProtection="1">
      <protection locked="0"/>
    </xf>
    <xf numFmtId="3" fontId="1" fillId="0" borderId="69" xfId="0" applyNumberFormat="1" applyFont="1" applyFill="1" applyBorder="1" applyProtection="1">
      <protection locked="0"/>
    </xf>
    <xf numFmtId="0" fontId="97" fillId="0" borderId="72" xfId="0" applyFont="1" applyBorder="1" applyAlignment="1">
      <alignment horizontal="left"/>
    </xf>
    <xf numFmtId="0" fontId="136" fillId="21" borderId="72" xfId="0" applyFont="1" applyFill="1" applyBorder="1" applyAlignment="1"/>
    <xf numFmtId="0" fontId="136" fillId="4" borderId="72" xfId="0" applyFont="1" applyFill="1" applyBorder="1" applyAlignment="1">
      <alignment horizontal="center" vertical="top"/>
    </xf>
    <xf numFmtId="0" fontId="137" fillId="22" borderId="72" xfId="0" applyFont="1" applyFill="1" applyBorder="1" applyAlignment="1">
      <alignment vertical="top"/>
    </xf>
    <xf numFmtId="0" fontId="97" fillId="0" borderId="69" xfId="0" applyFont="1" applyBorder="1" applyAlignment="1">
      <alignment horizontal="left"/>
    </xf>
    <xf numFmtId="0" fontId="136" fillId="4" borderId="69" xfId="0" applyFont="1" applyFill="1" applyBorder="1" applyAlignment="1">
      <alignment horizontal="center"/>
    </xf>
    <xf numFmtId="0" fontId="137" fillId="22" borderId="69" xfId="0" applyFont="1" applyFill="1" applyBorder="1" applyAlignment="1"/>
    <xf numFmtId="0" fontId="136" fillId="23" borderId="69" xfId="0" applyFont="1" applyFill="1" applyBorder="1" applyAlignment="1">
      <alignment horizontal="center"/>
    </xf>
    <xf numFmtId="9" fontId="136" fillId="4" borderId="69" xfId="0" applyNumberFormat="1" applyFont="1" applyFill="1" applyBorder="1" applyAlignment="1">
      <alignment horizontal="center" vertical="top"/>
    </xf>
    <xf numFmtId="0" fontId="137" fillId="22" borderId="69" xfId="0" applyFont="1" applyFill="1" applyBorder="1" applyAlignment="1">
      <alignment vertical="top"/>
    </xf>
    <xf numFmtId="0" fontId="136" fillId="4" borderId="69" xfId="0" applyFont="1" applyFill="1" applyBorder="1" applyAlignment="1">
      <alignment horizontal="center" vertical="top"/>
    </xf>
    <xf numFmtId="0" fontId="136" fillId="23" borderId="72" xfId="0" applyFont="1" applyFill="1" applyBorder="1" applyAlignment="1">
      <alignment horizontal="center"/>
    </xf>
    <xf numFmtId="0" fontId="137" fillId="22" borderId="72" xfId="0" applyFont="1" applyFill="1" applyBorder="1" applyAlignment="1"/>
    <xf numFmtId="0" fontId="136" fillId="21" borderId="69" xfId="0" applyFont="1" applyFill="1" applyBorder="1" applyAlignment="1"/>
    <xf numFmtId="9" fontId="136" fillId="23" borderId="69" xfId="0" applyNumberFormat="1" applyFont="1" applyFill="1" applyBorder="1" applyAlignment="1">
      <alignment horizontal="center"/>
    </xf>
    <xf numFmtId="0" fontId="137" fillId="22" borderId="69" xfId="0" applyFont="1" applyFill="1" applyBorder="1" applyAlignment="1">
      <alignment wrapText="1"/>
    </xf>
    <xf numFmtId="170" fontId="136" fillId="23" borderId="69" xfId="0" applyNumberFormat="1" applyFont="1" applyFill="1" applyBorder="1" applyAlignment="1">
      <alignment horizontal="center"/>
    </xf>
    <xf numFmtId="9" fontId="0" fillId="24" borderId="69" xfId="0" applyNumberFormat="1" applyFill="1" applyBorder="1" applyAlignment="1" applyProtection="1"/>
    <xf numFmtId="0" fontId="70" fillId="0" borderId="69" xfId="0" applyFont="1" applyFill="1" applyBorder="1" applyAlignment="1">
      <alignment horizontal="left"/>
    </xf>
    <xf numFmtId="0" fontId="70" fillId="0" borderId="0" xfId="0" applyFont="1" applyFill="1" applyBorder="1" applyAlignment="1">
      <alignment horizontal="left"/>
    </xf>
    <xf numFmtId="0" fontId="74" fillId="0" borderId="73" xfId="0" applyFont="1" applyFill="1" applyBorder="1"/>
    <xf numFmtId="0" fontId="138" fillId="0" borderId="0" xfId="0" applyFont="1"/>
    <xf numFmtId="0" fontId="138" fillId="18" borderId="69" xfId="0" applyFont="1" applyFill="1" applyBorder="1"/>
    <xf numFmtId="0" fontId="139" fillId="0" borderId="0" xfId="0" applyFont="1"/>
    <xf numFmtId="1" fontId="40" fillId="10" borderId="1" xfId="0" applyNumberFormat="1" applyFont="1" applyFill="1" applyBorder="1"/>
    <xf numFmtId="0" fontId="100" fillId="0" borderId="0" xfId="0" applyFont="1" applyFill="1"/>
    <xf numFmtId="0" fontId="4" fillId="10" borderId="73" xfId="0" applyFont="1" applyFill="1" applyBorder="1" applyAlignment="1" applyProtection="1">
      <alignment horizontal="center"/>
    </xf>
    <xf numFmtId="0" fontId="74" fillId="0" borderId="46" xfId="0" applyFont="1" applyFill="1" applyBorder="1"/>
    <xf numFmtId="0" fontId="40" fillId="10" borderId="46" xfId="0" applyFont="1" applyFill="1" applyBorder="1" applyAlignment="1">
      <alignment horizontal="center"/>
    </xf>
    <xf numFmtId="0" fontId="40" fillId="10" borderId="47" xfId="0" applyFont="1" applyFill="1" applyBorder="1" applyAlignment="1">
      <alignment horizontal="center"/>
    </xf>
    <xf numFmtId="0" fontId="74" fillId="0" borderId="45" xfId="0" applyFont="1" applyFill="1" applyBorder="1"/>
    <xf numFmtId="0" fontId="74" fillId="0" borderId="49" xfId="0" applyFont="1" applyFill="1" applyBorder="1"/>
    <xf numFmtId="0" fontId="74" fillId="0" borderId="83" xfId="0" applyFont="1" applyFill="1" applyBorder="1"/>
    <xf numFmtId="0" fontId="40" fillId="0" borderId="0" xfId="0" applyFont="1" applyAlignment="1"/>
    <xf numFmtId="0" fontId="74" fillId="0" borderId="69" xfId="0" applyFont="1" applyBorder="1" applyAlignment="1"/>
    <xf numFmtId="0" fontId="74" fillId="0" borderId="0" xfId="0" applyFont="1" applyAlignment="1"/>
    <xf numFmtId="0" fontId="74" fillId="4" borderId="69" xfId="0" applyFont="1" applyFill="1" applyBorder="1" applyAlignment="1" applyProtection="1"/>
    <xf numFmtId="0" fontId="4" fillId="0" borderId="69" xfId="0" applyFont="1" applyBorder="1" applyAlignment="1"/>
    <xf numFmtId="0" fontId="56" fillId="0" borderId="0" xfId="0" applyFont="1" applyFill="1" applyAlignment="1">
      <alignment horizontal="right"/>
    </xf>
    <xf numFmtId="0" fontId="54" fillId="8" borderId="63" xfId="0" applyFont="1" applyFill="1" applyBorder="1"/>
    <xf numFmtId="0" fontId="54" fillId="8" borderId="0" xfId="0" applyFont="1" applyFill="1" applyBorder="1"/>
    <xf numFmtId="0" fontId="48" fillId="8" borderId="0" xfId="0" applyFont="1" applyFill="1" applyBorder="1" applyAlignment="1">
      <alignment horizontal="right"/>
    </xf>
    <xf numFmtId="0" fontId="48" fillId="8" borderId="0" xfId="0" applyFont="1" applyFill="1" applyBorder="1" applyAlignment="1">
      <alignment horizontal="left"/>
    </xf>
    <xf numFmtId="0" fontId="140" fillId="0" borderId="0" xfId="3" applyFont="1" applyAlignment="1" applyProtection="1"/>
    <xf numFmtId="0" fontId="141" fillId="0" borderId="0" xfId="0" applyFont="1" applyFill="1"/>
    <xf numFmtId="1" fontId="141" fillId="0" borderId="0" xfId="0" applyNumberFormat="1" applyFont="1" applyFill="1" applyBorder="1"/>
    <xf numFmtId="0" fontId="40" fillId="0" borderId="82" xfId="0" applyFont="1" applyBorder="1" applyProtection="1">
      <protection locked="0"/>
    </xf>
    <xf numFmtId="0" fontId="40" fillId="0" borderId="71" xfId="0" quotePrefix="1" applyFont="1" applyBorder="1"/>
    <xf numFmtId="0" fontId="40" fillId="0" borderId="71" xfId="0" applyFont="1" applyBorder="1"/>
    <xf numFmtId="178" fontId="4" fillId="0" borderId="0" xfId="0" applyNumberFormat="1" applyFont="1" applyFill="1"/>
    <xf numFmtId="0" fontId="4" fillId="0" borderId="1" xfId="0" applyFont="1" applyFill="1" applyBorder="1" applyAlignment="1" applyProtection="1">
      <alignment horizontal="center" vertical="center"/>
      <protection locked="0"/>
    </xf>
    <xf numFmtId="4" fontId="4" fillId="0" borderId="69" xfId="0" applyNumberFormat="1" applyFont="1" applyFill="1" applyBorder="1" applyAlignment="1" applyProtection="1">
      <alignment horizontal="left" vertical="top"/>
      <protection locked="0"/>
    </xf>
    <xf numFmtId="0" fontId="4" fillId="5" borderId="0" xfId="0" applyFont="1" applyFill="1" applyBorder="1" applyAlignment="1" applyProtection="1">
      <alignment horizontal="left" vertical="top"/>
    </xf>
    <xf numFmtId="0" fontId="36" fillId="5" borderId="0" xfId="0" applyFont="1" applyFill="1" applyBorder="1" applyAlignment="1" applyProtection="1">
      <alignment horizontal="left" vertical="top"/>
    </xf>
    <xf numFmtId="0" fontId="36" fillId="5" borderId="68" xfId="0" applyFont="1" applyFill="1" applyBorder="1" applyAlignment="1" applyProtection="1">
      <alignment horizontal="left" vertical="top"/>
    </xf>
    <xf numFmtId="0" fontId="4" fillId="0" borderId="0" xfId="0" applyFont="1" applyAlignment="1" applyProtection="1">
      <alignment horizontal="left" vertical="top"/>
      <protection locked="0"/>
    </xf>
    <xf numFmtId="0" fontId="4" fillId="5" borderId="8" xfId="0" applyFont="1" applyFill="1" applyBorder="1" applyAlignment="1" applyProtection="1">
      <alignment horizontal="left" vertical="top"/>
    </xf>
    <xf numFmtId="0" fontId="4" fillId="5" borderId="7" xfId="0" applyFont="1" applyFill="1" applyBorder="1" applyAlignment="1" applyProtection="1">
      <alignment horizontal="left" vertical="top"/>
    </xf>
    <xf numFmtId="0" fontId="4" fillId="5" borderId="10" xfId="0" applyFont="1" applyFill="1" applyBorder="1" applyAlignment="1" applyProtection="1">
      <alignment horizontal="left" vertical="top"/>
    </xf>
    <xf numFmtId="0" fontId="36" fillId="5" borderId="30" xfId="0" applyFont="1" applyFill="1" applyBorder="1" applyAlignment="1" applyProtection="1">
      <alignment horizontal="left" vertical="top"/>
    </xf>
    <xf numFmtId="0" fontId="36" fillId="5" borderId="12" xfId="0" applyFont="1" applyFill="1" applyBorder="1" applyAlignment="1" applyProtection="1">
      <alignment horizontal="left" vertical="top"/>
    </xf>
    <xf numFmtId="4" fontId="4" fillId="0" borderId="1" xfId="0" applyNumberFormat="1" applyFont="1" applyFill="1" applyBorder="1" applyAlignment="1" applyProtection="1">
      <alignment horizontal="left" vertical="top"/>
      <protection locked="0"/>
    </xf>
    <xf numFmtId="0" fontId="4" fillId="0" borderId="17" xfId="0" applyFont="1" applyFill="1" applyBorder="1" applyAlignment="1" applyProtection="1">
      <alignment horizontal="left" vertical="top" wrapText="1"/>
      <protection locked="0"/>
    </xf>
    <xf numFmtId="4" fontId="4" fillId="0" borderId="17" xfId="0" applyNumberFormat="1" applyFont="1" applyFill="1" applyBorder="1" applyAlignment="1" applyProtection="1">
      <alignment horizontal="left" vertical="top"/>
      <protection locked="0"/>
    </xf>
    <xf numFmtId="4" fontId="4" fillId="0" borderId="1" xfId="0" applyNumberFormat="1" applyFont="1" applyBorder="1" applyAlignment="1" applyProtection="1">
      <alignment horizontal="left" vertical="top"/>
      <protection locked="0"/>
    </xf>
    <xf numFmtId="7" fontId="4" fillId="0" borderId="17" xfId="0" applyNumberFormat="1" applyFont="1" applyFill="1" applyBorder="1" applyAlignment="1" applyProtection="1">
      <alignment horizontal="left" vertical="top" wrapText="1"/>
      <protection locked="0"/>
    </xf>
    <xf numFmtId="0" fontId="4" fillId="0" borderId="16" xfId="0" applyFont="1" applyFill="1" applyBorder="1" applyAlignment="1" applyProtection="1">
      <alignment horizontal="left" vertical="top" wrapText="1"/>
      <protection locked="0"/>
    </xf>
    <xf numFmtId="0" fontId="4" fillId="0" borderId="1" xfId="0" applyFont="1" applyFill="1" applyBorder="1" applyAlignment="1" applyProtection="1">
      <alignment horizontal="left" vertical="top" wrapText="1"/>
      <protection locked="0"/>
    </xf>
    <xf numFmtId="4" fontId="4" fillId="0" borderId="16" xfId="0" applyNumberFormat="1" applyFont="1" applyFill="1" applyBorder="1" applyAlignment="1" applyProtection="1">
      <alignment horizontal="left" vertical="top"/>
      <protection locked="0"/>
    </xf>
    <xf numFmtId="0" fontId="4" fillId="0" borderId="16" xfId="0" applyFont="1" applyBorder="1" applyAlignment="1" applyProtection="1">
      <alignment horizontal="left" vertical="top" wrapText="1"/>
      <protection locked="0"/>
    </xf>
    <xf numFmtId="0" fontId="0" fillId="0" borderId="73" xfId="0" applyFill="1" applyBorder="1"/>
    <xf numFmtId="0" fontId="0" fillId="0" borderId="74" xfId="0" applyFill="1" applyBorder="1"/>
    <xf numFmtId="3" fontId="0" fillId="0" borderId="75" xfId="0" applyNumberFormat="1" applyFill="1" applyBorder="1"/>
    <xf numFmtId="0" fontId="0" fillId="26" borderId="0" xfId="0" applyFill="1"/>
    <xf numFmtId="0" fontId="1" fillId="26" borderId="0" xfId="0" applyFont="1" applyFill="1"/>
    <xf numFmtId="0" fontId="0" fillId="26" borderId="0" xfId="0" applyFont="1" applyFill="1"/>
    <xf numFmtId="0" fontId="0" fillId="26" borderId="0" xfId="0" applyFill="1" applyBorder="1"/>
    <xf numFmtId="0" fontId="7" fillId="26" borderId="0" xfId="0" applyFont="1" applyFill="1" applyProtection="1"/>
    <xf numFmtId="9" fontId="0" fillId="0" borderId="75" xfId="1" applyNumberFormat="1" applyFont="1" applyFill="1" applyBorder="1"/>
    <xf numFmtId="0" fontId="1" fillId="0" borderId="73" xfId="0" applyFont="1" applyFill="1" applyBorder="1"/>
    <xf numFmtId="0" fontId="1" fillId="0" borderId="74" xfId="0" applyFont="1" applyFill="1" applyBorder="1"/>
    <xf numFmtId="0" fontId="1" fillId="0" borderId="84" xfId="0" applyFont="1" applyFill="1" applyBorder="1"/>
    <xf numFmtId="0" fontId="0" fillId="0" borderId="85" xfId="0" applyFill="1" applyBorder="1"/>
    <xf numFmtId="9" fontId="0" fillId="0" borderId="86" xfId="1" applyNumberFormat="1" applyFont="1" applyFill="1" applyBorder="1"/>
    <xf numFmtId="9" fontId="0" fillId="0" borderId="75" xfId="0" applyNumberFormat="1" applyFill="1" applyBorder="1"/>
    <xf numFmtId="9" fontId="0" fillId="0" borderId="86" xfId="0" applyNumberFormat="1" applyFill="1" applyBorder="1"/>
    <xf numFmtId="3" fontId="1" fillId="0" borderId="75" xfId="0" applyNumberFormat="1" applyFont="1" applyFill="1" applyBorder="1"/>
    <xf numFmtId="3" fontId="0" fillId="0" borderId="75" xfId="1" applyNumberFormat="1" applyFont="1" applyFill="1" applyBorder="1"/>
    <xf numFmtId="9" fontId="0" fillId="0" borderId="75" xfId="4" applyFont="1" applyFill="1" applyBorder="1"/>
    <xf numFmtId="0" fontId="0" fillId="0" borderId="0" xfId="0" applyFill="1" applyAlignment="1">
      <alignment horizontal="left"/>
    </xf>
    <xf numFmtId="0" fontId="0" fillId="0" borderId="75" xfId="0" applyFill="1" applyBorder="1"/>
    <xf numFmtId="0" fontId="1" fillId="0" borderId="1" xfId="0" applyFont="1" applyFill="1" applyBorder="1"/>
    <xf numFmtId="3" fontId="0" fillId="14" borderId="75" xfId="0" applyNumberFormat="1" applyFill="1" applyBorder="1"/>
    <xf numFmtId="0" fontId="1" fillId="14" borderId="1" xfId="0" quotePrefix="1" applyFont="1" applyFill="1" applyBorder="1"/>
    <xf numFmtId="0" fontId="56" fillId="0" borderId="0" xfId="0" applyFont="1" applyFill="1" applyBorder="1" applyAlignment="1">
      <alignment horizontal="right"/>
    </xf>
    <xf numFmtId="0" fontId="1" fillId="0" borderId="0" xfId="0" applyFont="1" applyFill="1" applyAlignment="1">
      <alignment vertical="center"/>
    </xf>
    <xf numFmtId="0" fontId="7" fillId="0" borderId="0" xfId="0" applyFont="1" applyFill="1" applyAlignment="1">
      <alignment vertical="center"/>
    </xf>
    <xf numFmtId="3" fontId="8" fillId="0" borderId="1" xfId="1" applyNumberFormat="1" applyFont="1" applyFill="1" applyBorder="1"/>
    <xf numFmtId="0" fontId="40" fillId="0" borderId="0" xfId="0" applyFont="1" applyFill="1" applyAlignment="1">
      <alignment horizontal="left" indent="1"/>
    </xf>
    <xf numFmtId="0" fontId="40" fillId="0" borderId="0" xfId="0" applyFont="1" applyFill="1" applyAlignment="1">
      <alignment horizontal="left" indent="3"/>
    </xf>
    <xf numFmtId="0" fontId="40" fillId="0" borderId="0" xfId="0" applyFont="1" applyFill="1" applyAlignment="1">
      <alignment horizontal="left" indent="2"/>
    </xf>
    <xf numFmtId="0" fontId="116" fillId="0" borderId="1" xfId="0" applyFont="1" applyFill="1" applyBorder="1"/>
    <xf numFmtId="0" fontId="1" fillId="0" borderId="0" xfId="0" applyFont="1" applyFill="1" applyAlignment="1">
      <alignment horizontal="left" vertical="center" indent="4"/>
    </xf>
    <xf numFmtId="0" fontId="4" fillId="0" borderId="65" xfId="0" applyFont="1" applyFill="1" applyBorder="1"/>
    <xf numFmtId="0" fontId="4" fillId="0" borderId="67" xfId="0" applyFont="1" applyFill="1" applyBorder="1"/>
    <xf numFmtId="0" fontId="126" fillId="0" borderId="0" xfId="0" quotePrefix="1" applyFont="1" applyFill="1"/>
    <xf numFmtId="0" fontId="126" fillId="0" borderId="0" xfId="0" quotePrefix="1" applyFont="1" applyFill="1" applyBorder="1"/>
    <xf numFmtId="0" fontId="30" fillId="0" borderId="0" xfId="0" applyFont="1" applyFill="1" applyBorder="1"/>
    <xf numFmtId="0" fontId="58" fillId="0" borderId="0" xfId="0" applyFont="1" applyFill="1" applyBorder="1"/>
    <xf numFmtId="0" fontId="8" fillId="0" borderId="6" xfId="0" applyFont="1" applyFill="1" applyBorder="1" applyAlignment="1">
      <alignment horizontal="left"/>
    </xf>
    <xf numFmtId="0" fontId="8" fillId="0" borderId="7" xfId="0" applyFont="1" applyFill="1" applyBorder="1" applyAlignment="1">
      <alignment horizontal="right"/>
    </xf>
    <xf numFmtId="0" fontId="4" fillId="0" borderId="10" xfId="0" applyFont="1" applyFill="1" applyBorder="1"/>
    <xf numFmtId="3" fontId="8" fillId="0" borderId="1" xfId="0" applyNumberFormat="1" applyFont="1" applyFill="1" applyBorder="1" applyAlignment="1"/>
    <xf numFmtId="0" fontId="4" fillId="0" borderId="12" xfId="0" applyFont="1" applyFill="1" applyBorder="1"/>
    <xf numFmtId="0" fontId="24" fillId="0" borderId="6" xfId="0" applyFont="1" applyFill="1" applyBorder="1"/>
    <xf numFmtId="0" fontId="57" fillId="0" borderId="9" xfId="0" applyFont="1" applyFill="1" applyBorder="1"/>
    <xf numFmtId="0" fontId="57" fillId="0" borderId="11" xfId="0" applyFont="1" applyFill="1" applyBorder="1"/>
    <xf numFmtId="0" fontId="4" fillId="0" borderId="12" xfId="0" applyFont="1" applyFill="1" applyBorder="1" applyAlignment="1">
      <alignment horizontal="right"/>
    </xf>
    <xf numFmtId="1" fontId="36" fillId="0" borderId="69" xfId="0" applyNumberFormat="1" applyFont="1" applyFill="1" applyBorder="1" applyAlignment="1">
      <alignment horizontal="center"/>
    </xf>
    <xf numFmtId="1" fontId="122" fillId="0" borderId="1" xfId="0" applyNumberFormat="1" applyFont="1" applyFill="1" applyBorder="1" applyAlignment="1">
      <alignment horizontal="center"/>
    </xf>
    <xf numFmtId="0" fontId="127" fillId="0" borderId="0" xfId="0" applyFont="1" applyFill="1"/>
    <xf numFmtId="0" fontId="133" fillId="0" borderId="0" xfId="0" quotePrefix="1" applyFont="1" applyFill="1"/>
    <xf numFmtId="0" fontId="27" fillId="0" borderId="71" xfId="0" applyFont="1" applyFill="1" applyBorder="1" applyAlignment="1">
      <alignment horizontal="right"/>
    </xf>
    <xf numFmtId="0" fontId="4" fillId="0" borderId="0" xfId="0" quotePrefix="1" applyFont="1" applyFill="1" applyBorder="1" applyAlignment="1">
      <alignment horizontal="center"/>
    </xf>
    <xf numFmtId="7" fontId="8" fillId="0" borderId="13" xfId="0" applyNumberFormat="1" applyFont="1" applyFill="1" applyBorder="1" applyAlignment="1"/>
    <xf numFmtId="0" fontId="138" fillId="0" borderId="0" xfId="0" applyFont="1" applyFill="1"/>
    <xf numFmtId="0" fontId="40" fillId="0" borderId="1" xfId="0" applyFont="1" applyFill="1" applyBorder="1" applyAlignment="1">
      <alignment horizontal="center"/>
    </xf>
    <xf numFmtId="0" fontId="138" fillId="0" borderId="69" xfId="0" applyFont="1" applyFill="1" applyBorder="1"/>
    <xf numFmtId="0" fontId="100" fillId="0" borderId="0" xfId="0" applyFont="1" applyFill="1" applyBorder="1"/>
    <xf numFmtId="14" fontId="4" fillId="18" borderId="69" xfId="0" applyNumberFormat="1" applyFont="1" applyFill="1" applyBorder="1" applyAlignment="1" applyProtection="1">
      <alignment horizontal="center"/>
      <protection locked="0"/>
    </xf>
    <xf numFmtId="0" fontId="62" fillId="0" borderId="0" xfId="0" applyFont="1" applyFill="1" applyAlignment="1" applyProtection="1">
      <alignment horizontal="right"/>
    </xf>
    <xf numFmtId="2" fontId="4" fillId="0" borderId="0" xfId="0" applyNumberFormat="1" applyFont="1" applyFill="1" applyAlignment="1">
      <alignment horizontal="left"/>
    </xf>
    <xf numFmtId="0" fontId="73" fillId="0" borderId="0" xfId="0" applyFont="1" applyFill="1"/>
    <xf numFmtId="0" fontId="58" fillId="0" borderId="61" xfId="0" applyFont="1" applyFill="1" applyBorder="1"/>
    <xf numFmtId="0" fontId="73" fillId="0" borderId="0" xfId="0" applyFont="1" applyFill="1" applyBorder="1"/>
    <xf numFmtId="0" fontId="42" fillId="0" borderId="0" xfId="0" applyFont="1" applyFill="1"/>
    <xf numFmtId="0" fontId="85" fillId="0" borderId="0" xfId="0" applyFont="1" applyFill="1" applyAlignment="1">
      <alignment horizontal="right"/>
    </xf>
    <xf numFmtId="0" fontId="92" fillId="0" borderId="0" xfId="0" applyFont="1" applyFill="1" applyAlignment="1">
      <alignment horizontal="right"/>
    </xf>
    <xf numFmtId="0" fontId="4" fillId="0" borderId="0" xfId="0" applyFont="1" applyFill="1" applyAlignment="1">
      <alignment horizontal="left" indent="3"/>
    </xf>
    <xf numFmtId="0" fontId="122" fillId="0" borderId="0" xfId="0" applyFont="1" applyFill="1" applyAlignment="1">
      <alignment horizontal="left" indent="1"/>
    </xf>
    <xf numFmtId="0" fontId="4" fillId="0" borderId="0" xfId="0" applyFont="1" applyFill="1" applyAlignment="1">
      <alignment horizontal="left" indent="4"/>
    </xf>
    <xf numFmtId="164" fontId="41" fillId="0" borderId="18" xfId="0" applyNumberFormat="1" applyFont="1" applyFill="1" applyBorder="1" applyAlignment="1" applyProtection="1">
      <alignment horizontal="center"/>
    </xf>
    <xf numFmtId="0" fontId="4" fillId="14" borderId="0" xfId="0" applyFont="1" applyFill="1"/>
    <xf numFmtId="0" fontId="4" fillId="14" borderId="0" xfId="0" applyFont="1" applyFill="1" applyAlignment="1">
      <alignment horizontal="right"/>
    </xf>
    <xf numFmtId="0" fontId="40" fillId="14" borderId="23" xfId="0" applyFont="1" applyFill="1" applyBorder="1" applyProtection="1"/>
    <xf numFmtId="0" fontId="4" fillId="0" borderId="1" xfId="0" applyFont="1" applyFill="1" applyBorder="1" applyAlignment="1" applyProtection="1">
      <alignment horizontal="left" vertical="top"/>
      <protection locked="0"/>
    </xf>
    <xf numFmtId="0" fontId="4" fillId="0" borderId="69" xfId="0" applyFont="1" applyFill="1" applyBorder="1" applyProtection="1">
      <protection locked="0"/>
    </xf>
    <xf numFmtId="0" fontId="4" fillId="0" borderId="16" xfId="0" applyFont="1" applyFill="1" applyBorder="1" applyAlignment="1" applyProtection="1">
      <alignment horizontal="left" vertical="top"/>
      <protection locked="0"/>
    </xf>
    <xf numFmtId="0" fontId="1" fillId="0" borderId="77" xfId="0" applyFont="1" applyFill="1" applyBorder="1" applyAlignment="1">
      <alignment vertical="top" wrapText="1"/>
    </xf>
    <xf numFmtId="0" fontId="4" fillId="0" borderId="77" xfId="0" applyFont="1" applyFill="1" applyBorder="1" applyAlignment="1">
      <alignment vertical="top" wrapText="1"/>
    </xf>
    <xf numFmtId="0" fontId="4" fillId="0" borderId="0" xfId="0" applyFont="1" applyFill="1" applyBorder="1" applyAlignment="1">
      <alignment vertical="top" wrapText="1"/>
    </xf>
    <xf numFmtId="0" fontId="92" fillId="0" borderId="77" xfId="0" applyFont="1" applyFill="1" applyBorder="1" applyAlignment="1">
      <alignment vertical="top" wrapText="1"/>
    </xf>
    <xf numFmtId="0" fontId="40" fillId="27" borderId="46" xfId="0" applyFont="1" applyFill="1" applyBorder="1" applyProtection="1">
      <protection locked="0"/>
    </xf>
    <xf numFmtId="1" fontId="40" fillId="0" borderId="45" xfId="0" applyNumberFormat="1" applyFont="1" applyFill="1" applyBorder="1"/>
    <xf numFmtId="1" fontId="4" fillId="0" borderId="69" xfId="0" applyNumberFormat="1" applyFont="1" applyFill="1" applyBorder="1"/>
    <xf numFmtId="1" fontId="40" fillId="0" borderId="48" xfId="0" applyNumberFormat="1" applyFont="1" applyFill="1" applyBorder="1"/>
    <xf numFmtId="1" fontId="4" fillId="0" borderId="48" xfId="0" applyNumberFormat="1" applyFont="1" applyFill="1" applyBorder="1"/>
    <xf numFmtId="0" fontId="40" fillId="27" borderId="52" xfId="0" applyFont="1" applyFill="1" applyBorder="1" applyProtection="1">
      <protection locked="0"/>
    </xf>
    <xf numFmtId="0" fontId="40" fillId="27" borderId="46" xfId="0" applyFont="1" applyFill="1" applyBorder="1" applyAlignment="1" applyProtection="1">
      <protection locked="0"/>
    </xf>
    <xf numFmtId="0" fontId="4" fillId="27" borderId="47" xfId="0" applyFont="1" applyFill="1" applyBorder="1" applyProtection="1">
      <protection locked="0"/>
    </xf>
    <xf numFmtId="175" fontId="40" fillId="27" borderId="45" xfId="0" applyNumberFormat="1" applyFont="1" applyFill="1" applyBorder="1" applyProtection="1">
      <protection locked="0"/>
    </xf>
    <xf numFmtId="175" fontId="40" fillId="27" borderId="1" xfId="0" applyNumberFormat="1" applyFont="1" applyFill="1" applyBorder="1" applyAlignment="1" applyProtection="1">
      <protection locked="0"/>
    </xf>
    <xf numFmtId="0" fontId="40" fillId="27" borderId="1" xfId="0" applyFont="1" applyFill="1" applyBorder="1" applyProtection="1">
      <protection locked="0"/>
    </xf>
    <xf numFmtId="175" fontId="40" fillId="27" borderId="1" xfId="0" applyNumberFormat="1" applyFont="1" applyFill="1" applyBorder="1" applyProtection="1">
      <protection locked="0"/>
    </xf>
    <xf numFmtId="0" fontId="4" fillId="27" borderId="48" xfId="0" applyFont="1" applyFill="1" applyBorder="1" applyProtection="1">
      <protection locked="0"/>
    </xf>
    <xf numFmtId="175" fontId="40" fillId="27" borderId="49" xfId="0" applyNumberFormat="1" applyFont="1" applyFill="1" applyBorder="1" applyProtection="1">
      <protection locked="0"/>
    </xf>
    <xf numFmtId="175" fontId="40" fillId="27" borderId="50" xfId="0" applyNumberFormat="1" applyFont="1" applyFill="1" applyBorder="1" applyAlignment="1" applyProtection="1">
      <protection locked="0"/>
    </xf>
    <xf numFmtId="2" fontId="40" fillId="27" borderId="50" xfId="0" applyNumberFormat="1" applyFont="1" applyFill="1" applyBorder="1" applyProtection="1">
      <protection locked="0"/>
    </xf>
    <xf numFmtId="175" fontId="40" fillId="27" borderId="50" xfId="0" applyNumberFormat="1" applyFont="1" applyFill="1" applyBorder="1" applyProtection="1">
      <protection locked="0"/>
    </xf>
    <xf numFmtId="175" fontId="4" fillId="27" borderId="50" xfId="0" applyNumberFormat="1" applyFont="1" applyFill="1" applyBorder="1" applyProtection="1">
      <protection locked="0"/>
    </xf>
    <xf numFmtId="0" fontId="4" fillId="27" borderId="46" xfId="0" applyFont="1" applyFill="1" applyBorder="1" applyProtection="1">
      <protection locked="0"/>
    </xf>
    <xf numFmtId="0" fontId="40" fillId="27" borderId="47" xfId="0" applyFont="1" applyFill="1" applyBorder="1" applyAlignment="1" applyProtection="1">
      <protection locked="0"/>
    </xf>
    <xf numFmtId="0" fontId="4" fillId="27" borderId="69" xfId="0" applyFont="1" applyFill="1" applyBorder="1" applyProtection="1">
      <protection locked="0"/>
    </xf>
    <xf numFmtId="0" fontId="40" fillId="27" borderId="48" xfId="0" applyFont="1" applyFill="1" applyBorder="1" applyAlignment="1" applyProtection="1">
      <protection locked="0"/>
    </xf>
    <xf numFmtId="2" fontId="40" fillId="27" borderId="51" xfId="0" applyNumberFormat="1" applyFont="1" applyFill="1" applyBorder="1" applyAlignment="1" applyProtection="1">
      <protection locked="0"/>
    </xf>
    <xf numFmtId="176" fontId="40" fillId="27" borderId="1" xfId="0" applyNumberFormat="1" applyFont="1" applyFill="1" applyBorder="1" applyProtection="1">
      <protection locked="0"/>
    </xf>
    <xf numFmtId="175" fontId="4" fillId="27" borderId="50" xfId="0" applyNumberFormat="1" applyFont="1" applyFill="1" applyBorder="1" applyAlignment="1" applyProtection="1">
      <protection locked="0"/>
    </xf>
    <xf numFmtId="176" fontId="40" fillId="27" borderId="45" xfId="0" applyNumberFormat="1" applyFont="1" applyFill="1" applyBorder="1" applyAlignment="1" applyProtection="1">
      <protection locked="0"/>
    </xf>
    <xf numFmtId="0" fontId="40" fillId="27" borderId="1" xfId="0" applyFont="1" applyFill="1" applyBorder="1" applyAlignment="1" applyProtection="1">
      <protection locked="0"/>
    </xf>
    <xf numFmtId="175" fontId="40" fillId="27" borderId="49" xfId="0" applyNumberFormat="1" applyFont="1" applyFill="1" applyBorder="1" applyAlignment="1" applyProtection="1">
      <protection locked="0"/>
    </xf>
    <xf numFmtId="2" fontId="40" fillId="27" borderId="50" xfId="0" applyNumberFormat="1" applyFont="1" applyFill="1" applyBorder="1" applyAlignment="1" applyProtection="1">
      <protection locked="0"/>
    </xf>
    <xf numFmtId="0" fontId="40" fillId="27" borderId="52" xfId="0" applyFont="1" applyFill="1" applyBorder="1" applyAlignment="1" applyProtection="1">
      <protection locked="0"/>
    </xf>
    <xf numFmtId="0" fontId="7" fillId="0" borderId="77" xfId="0" applyFont="1" applyFill="1" applyBorder="1" applyAlignment="1">
      <alignment vertical="top" wrapText="1"/>
    </xf>
    <xf numFmtId="0" fontId="40" fillId="10" borderId="0" xfId="0" applyFont="1" applyFill="1" applyBorder="1" applyAlignment="1">
      <alignment horizontal="center"/>
    </xf>
    <xf numFmtId="1" fontId="4" fillId="0" borderId="87" xfId="0" applyNumberFormat="1" applyFont="1" applyFill="1" applyBorder="1"/>
    <xf numFmtId="2" fontId="4" fillId="14" borderId="0" xfId="0" applyNumberFormat="1" applyFont="1" applyFill="1" applyBorder="1" applyAlignment="1">
      <alignment horizontal="right"/>
    </xf>
    <xf numFmtId="0" fontId="40" fillId="14" borderId="0" xfId="0" applyFont="1" applyFill="1"/>
    <xf numFmtId="0" fontId="40" fillId="14" borderId="0" xfId="0" applyFont="1" applyFill="1" applyAlignment="1">
      <alignment horizontal="right"/>
    </xf>
    <xf numFmtId="3" fontId="5" fillId="14" borderId="1" xfId="0" applyNumberFormat="1" applyFont="1" applyFill="1" applyBorder="1"/>
    <xf numFmtId="1" fontId="5" fillId="14" borderId="1" xfId="0" applyNumberFormat="1" applyFont="1" applyFill="1" applyBorder="1"/>
    <xf numFmtId="0" fontId="4" fillId="14" borderId="0" xfId="0" applyFont="1" applyFill="1" applyBorder="1" applyAlignment="1">
      <alignment horizontal="right"/>
    </xf>
    <xf numFmtId="4" fontId="4" fillId="14" borderId="69" xfId="0" applyNumberFormat="1" applyFont="1" applyFill="1" applyBorder="1" applyAlignment="1" applyProtection="1">
      <alignment horizontal="left" vertical="top"/>
      <protection locked="0"/>
    </xf>
    <xf numFmtId="2" fontId="92" fillId="0" borderId="0" xfId="0" applyNumberFormat="1" applyFont="1" applyFill="1"/>
    <xf numFmtId="2" fontId="92" fillId="0" borderId="44" xfId="0" applyNumberFormat="1" applyFont="1" applyFill="1" applyBorder="1"/>
    <xf numFmtId="2" fontId="92" fillId="0" borderId="0" xfId="0" applyNumberFormat="1" applyFont="1" applyFill="1" applyBorder="1"/>
    <xf numFmtId="2" fontId="4" fillId="14" borderId="0" xfId="0" applyNumberFormat="1" applyFont="1" applyFill="1" applyAlignment="1">
      <alignment horizontal="right"/>
    </xf>
    <xf numFmtId="1" fontId="85" fillId="0" borderId="0" xfId="0" applyNumberFormat="1" applyFont="1" applyFill="1" applyBorder="1"/>
    <xf numFmtId="0" fontId="40" fillId="0" borderId="87" xfId="0" applyFont="1" applyFill="1" applyBorder="1"/>
    <xf numFmtId="0" fontId="40" fillId="0" borderId="88" xfId="0" applyFont="1" applyFill="1" applyBorder="1"/>
    <xf numFmtId="0" fontId="4" fillId="14" borderId="0" xfId="0" applyFont="1" applyFill="1" applyBorder="1" applyAlignment="1" applyProtection="1">
      <alignment horizontal="left"/>
    </xf>
    <xf numFmtId="0" fontId="41" fillId="14" borderId="0" xfId="0" applyFont="1" applyFill="1" applyBorder="1" applyAlignment="1" applyProtection="1">
      <alignment horizontal="right"/>
    </xf>
    <xf numFmtId="0" fontId="4" fillId="0" borderId="89" xfId="0" applyFont="1" applyFill="1" applyBorder="1"/>
    <xf numFmtId="0" fontId="4" fillId="0" borderId="90" xfId="0" applyFont="1" applyFill="1" applyBorder="1"/>
    <xf numFmtId="0" fontId="92" fillId="0" borderId="0" xfId="0" applyFont="1" applyFill="1" applyAlignment="1">
      <alignment horizontal="center"/>
    </xf>
    <xf numFmtId="1" fontId="36" fillId="0" borderId="0" xfId="0" applyNumberFormat="1" applyFont="1" applyFill="1" applyAlignment="1">
      <alignment horizontal="left" indent="1"/>
    </xf>
    <xf numFmtId="0" fontId="92" fillId="0" borderId="25" xfId="0" applyFont="1" applyFill="1" applyBorder="1"/>
    <xf numFmtId="0" fontId="92" fillId="0" borderId="25" xfId="0" applyFont="1" applyFill="1" applyBorder="1" applyAlignment="1">
      <alignment horizontal="center"/>
    </xf>
    <xf numFmtId="0" fontId="40" fillId="4" borderId="76" xfId="0" applyFont="1" applyFill="1" applyBorder="1" applyProtection="1"/>
    <xf numFmtId="0" fontId="8" fillId="4" borderId="91" xfId="0" quotePrefix="1" applyFont="1" applyFill="1" applyBorder="1" applyProtection="1"/>
    <xf numFmtId="3" fontId="4" fillId="20" borderId="92" xfId="0" quotePrefix="1" applyNumberFormat="1" applyFont="1" applyFill="1" applyBorder="1" applyProtection="1"/>
    <xf numFmtId="2" fontId="92" fillId="0" borderId="0" xfId="0" applyNumberFormat="1" applyFont="1" applyFill="1" applyBorder="1" applyAlignment="1">
      <alignment horizontal="right"/>
    </xf>
    <xf numFmtId="1" fontId="92" fillId="0" borderId="0" xfId="2" applyNumberFormat="1" applyFont="1" applyFill="1" applyBorder="1"/>
    <xf numFmtId="0" fontId="4" fillId="0" borderId="93" xfId="0" applyFont="1" applyFill="1" applyBorder="1" applyAlignment="1" applyProtection="1">
      <alignment horizontal="center"/>
    </xf>
    <xf numFmtId="0" fontId="40" fillId="0" borderId="94" xfId="0" applyFont="1" applyFill="1" applyBorder="1" applyAlignment="1">
      <alignment horizontal="center"/>
    </xf>
    <xf numFmtId="0" fontId="100" fillId="0" borderId="52" xfId="0" applyFont="1" applyFill="1" applyBorder="1"/>
    <xf numFmtId="0" fontId="100" fillId="0" borderId="46" xfId="0" applyFont="1" applyFill="1" applyBorder="1"/>
    <xf numFmtId="0" fontId="40" fillId="0" borderId="48" xfId="0" applyFont="1" applyFill="1" applyBorder="1" applyAlignment="1">
      <alignment horizontal="center"/>
    </xf>
    <xf numFmtId="0" fontId="74" fillId="0" borderId="50" xfId="0" applyFont="1" applyFill="1" applyBorder="1"/>
    <xf numFmtId="0" fontId="4" fillId="10" borderId="95" xfId="0" applyFont="1" applyFill="1" applyBorder="1" applyAlignment="1" applyProtection="1">
      <alignment horizontal="center"/>
    </xf>
    <xf numFmtId="43" fontId="40" fillId="0" borderId="50" xfId="1" applyFont="1" applyFill="1" applyBorder="1" applyProtection="1">
      <protection locked="0"/>
    </xf>
    <xf numFmtId="43" fontId="40" fillId="0" borderId="50" xfId="1" applyFont="1" applyBorder="1" applyProtection="1">
      <protection locked="0"/>
    </xf>
    <xf numFmtId="1" fontId="4" fillId="10" borderId="95" xfId="0" applyNumberFormat="1" applyFont="1" applyFill="1" applyBorder="1" applyAlignment="1" applyProtection="1">
      <alignment horizontal="center"/>
    </xf>
    <xf numFmtId="0" fontId="100" fillId="0" borderId="34" xfId="0" applyFont="1" applyFill="1" applyBorder="1"/>
    <xf numFmtId="0" fontId="100" fillId="0" borderId="35" xfId="0" applyFont="1" applyFill="1" applyBorder="1"/>
    <xf numFmtId="0" fontId="40" fillId="10" borderId="96" xfId="0" applyFont="1" applyFill="1" applyBorder="1" applyAlignment="1">
      <alignment horizontal="center"/>
    </xf>
    <xf numFmtId="2" fontId="40" fillId="10" borderId="48" xfId="0" applyNumberFormat="1" applyFont="1" applyFill="1" applyBorder="1"/>
    <xf numFmtId="1" fontId="40" fillId="0" borderId="50" xfId="0" applyNumberFormat="1" applyFont="1" applyBorder="1" applyProtection="1">
      <protection locked="0"/>
    </xf>
    <xf numFmtId="0" fontId="85" fillId="14" borderId="0" xfId="0" applyFont="1" applyFill="1"/>
    <xf numFmtId="0" fontId="36" fillId="14" borderId="0" xfId="0" applyFont="1" applyFill="1"/>
    <xf numFmtId="0" fontId="36" fillId="14" borderId="0" xfId="0" applyFont="1" applyFill="1" applyBorder="1"/>
    <xf numFmtId="0" fontId="4" fillId="0" borderId="77" xfId="0" applyFont="1" applyBorder="1" applyAlignment="1">
      <alignment wrapText="1"/>
    </xf>
    <xf numFmtId="0" fontId="4" fillId="0" borderId="77" xfId="0" applyFont="1" applyFill="1" applyBorder="1" applyAlignment="1">
      <alignment wrapText="1"/>
    </xf>
    <xf numFmtId="2" fontId="4" fillId="10" borderId="97" xfId="0" applyNumberFormat="1" applyFont="1" applyFill="1" applyBorder="1" applyAlignment="1" applyProtection="1">
      <alignment horizontal="center"/>
    </xf>
    <xf numFmtId="0" fontId="74" fillId="0" borderId="77" xfId="0" applyFont="1" applyFill="1" applyBorder="1"/>
    <xf numFmtId="0" fontId="40" fillId="0" borderId="77" xfId="0" applyFont="1" applyBorder="1" applyAlignment="1" applyProtection="1">
      <alignment horizontal="right"/>
      <protection locked="0"/>
    </xf>
    <xf numFmtId="0" fontId="40" fillId="0" borderId="50" xfId="0" applyFont="1" applyBorder="1" applyProtection="1">
      <protection locked="0"/>
    </xf>
    <xf numFmtId="0" fontId="4" fillId="0" borderId="82" xfId="0" applyFont="1" applyFill="1" applyBorder="1" applyAlignment="1">
      <alignment vertical="top" wrapText="1"/>
    </xf>
    <xf numFmtId="0" fontId="4" fillId="10" borderId="97" xfId="0" applyFont="1" applyFill="1" applyBorder="1" applyAlignment="1" applyProtection="1">
      <alignment horizontal="center"/>
    </xf>
    <xf numFmtId="2" fontId="40" fillId="10" borderId="77" xfId="0" applyNumberFormat="1" applyFont="1" applyFill="1" applyBorder="1" applyProtection="1">
      <protection locked="0"/>
    </xf>
    <xf numFmtId="2" fontId="40" fillId="10" borderId="48" xfId="0" applyNumberFormat="1" applyFont="1" applyFill="1" applyBorder="1" applyProtection="1">
      <protection locked="0"/>
    </xf>
    <xf numFmtId="2" fontId="40" fillId="0" borderId="77" xfId="0" applyNumberFormat="1" applyFont="1" applyFill="1" applyBorder="1" applyProtection="1">
      <protection locked="0"/>
    </xf>
    <xf numFmtId="43" fontId="40" fillId="10" borderId="77" xfId="1" applyFont="1" applyFill="1" applyBorder="1" applyProtection="1">
      <protection locked="0"/>
    </xf>
    <xf numFmtId="0" fontId="8" fillId="0" borderId="72" xfId="0" applyFont="1" applyBorder="1"/>
    <xf numFmtId="14" fontId="40" fillId="0" borderId="0" xfId="0" applyNumberFormat="1" applyFont="1"/>
    <xf numFmtId="0" fontId="4" fillId="0" borderId="98" xfId="0" applyFont="1" applyFill="1" applyBorder="1" applyAlignment="1">
      <alignment horizontal="left"/>
    </xf>
    <xf numFmtId="0" fontId="4" fillId="0" borderId="99" xfId="0" applyFont="1" applyFill="1" applyBorder="1" applyAlignment="1">
      <alignment horizontal="left"/>
    </xf>
    <xf numFmtId="0" fontId="115" fillId="0" borderId="0" xfId="0" applyFont="1" applyFill="1" applyAlignment="1">
      <alignment horizontal="right"/>
    </xf>
    <xf numFmtId="0" fontId="115" fillId="0" borderId="0" xfId="0" applyFont="1" applyFill="1" applyBorder="1" applyAlignment="1">
      <alignment horizontal="center"/>
    </xf>
    <xf numFmtId="2" fontId="5" fillId="0" borderId="4" xfId="0" applyNumberFormat="1" applyFont="1" applyBorder="1"/>
    <xf numFmtId="0" fontId="4" fillId="0" borderId="94" xfId="0" applyFont="1" applyBorder="1" applyProtection="1"/>
    <xf numFmtId="0" fontId="4" fillId="0" borderId="71" xfId="0" applyFont="1" applyBorder="1" applyProtection="1"/>
    <xf numFmtId="49" fontId="4" fillId="0" borderId="71" xfId="0" applyNumberFormat="1" applyFont="1" applyBorder="1" applyProtection="1"/>
    <xf numFmtId="49" fontId="4" fillId="0" borderId="72" xfId="0" applyNumberFormat="1" applyFont="1" applyBorder="1" applyProtection="1"/>
    <xf numFmtId="3" fontId="4" fillId="0" borderId="1" xfId="1" applyNumberFormat="1" applyFont="1" applyFill="1" applyBorder="1" applyAlignment="1">
      <alignment horizontal="right"/>
    </xf>
    <xf numFmtId="1" fontId="4" fillId="10" borderId="97" xfId="0" applyNumberFormat="1" applyFont="1" applyFill="1" applyBorder="1" applyAlignment="1" applyProtection="1">
      <alignment horizontal="center"/>
    </xf>
    <xf numFmtId="2" fontId="4" fillId="10" borderId="93" xfId="0" applyNumberFormat="1" applyFont="1" applyFill="1" applyBorder="1" applyAlignment="1" applyProtection="1">
      <alignment horizontal="center"/>
    </xf>
    <xf numFmtId="0" fontId="40" fillId="11" borderId="36" xfId="0" applyFont="1" applyFill="1" applyBorder="1"/>
    <xf numFmtId="0" fontId="40" fillId="10" borderId="36" xfId="0" applyFont="1" applyFill="1" applyBorder="1" applyAlignment="1">
      <alignment horizontal="center"/>
    </xf>
    <xf numFmtId="0" fontId="40" fillId="10" borderId="35" xfId="0" applyFont="1" applyFill="1" applyBorder="1" applyAlignment="1">
      <alignment horizontal="center"/>
    </xf>
    <xf numFmtId="0" fontId="40" fillId="15" borderId="37" xfId="0" applyFont="1" applyFill="1" applyBorder="1" applyAlignment="1">
      <alignment horizontal="center"/>
    </xf>
    <xf numFmtId="0" fontId="70" fillId="0" borderId="45" xfId="0" applyFont="1" applyFill="1" applyBorder="1" applyAlignment="1">
      <alignment horizontal="center"/>
    </xf>
    <xf numFmtId="0" fontId="70" fillId="0" borderId="77" xfId="0" applyFont="1" applyFill="1" applyBorder="1" applyAlignment="1">
      <alignment horizontal="center"/>
    </xf>
    <xf numFmtId="0" fontId="40" fillId="0" borderId="77" xfId="0" applyFont="1" applyBorder="1" applyAlignment="1" applyProtection="1">
      <alignment horizontal="center"/>
      <protection locked="0"/>
    </xf>
    <xf numFmtId="0" fontId="40" fillId="15" borderId="48" xfId="0" applyFont="1" applyFill="1" applyBorder="1" applyAlignment="1" applyProtection="1">
      <alignment horizontal="right"/>
      <protection locked="0"/>
    </xf>
    <xf numFmtId="0" fontId="40" fillId="0" borderId="77" xfId="0" applyFont="1" applyBorder="1" applyAlignment="1" applyProtection="1">
      <alignment horizontal="center" wrapText="1"/>
      <protection locked="0"/>
    </xf>
    <xf numFmtId="0" fontId="40" fillId="15" borderId="48" xfId="0" applyFont="1" applyFill="1" applyBorder="1" applyAlignment="1" applyProtection="1">
      <alignment horizontal="center"/>
      <protection locked="0"/>
    </xf>
    <xf numFmtId="0" fontId="70" fillId="0" borderId="49" xfId="0" applyFont="1" applyFill="1" applyBorder="1" applyAlignment="1">
      <alignment horizontal="center"/>
    </xf>
    <xf numFmtId="1" fontId="40" fillId="0" borderId="50" xfId="0" applyNumberFormat="1" applyFont="1" applyBorder="1" applyAlignment="1" applyProtection="1">
      <alignment horizontal="right"/>
      <protection locked="0"/>
    </xf>
    <xf numFmtId="0" fontId="70" fillId="0" borderId="77" xfId="0" applyFont="1" applyFill="1" applyBorder="1" applyAlignment="1">
      <alignment horizontal="left"/>
    </xf>
    <xf numFmtId="0" fontId="40" fillId="0" borderId="77" xfId="0" applyFont="1" applyBorder="1"/>
    <xf numFmtId="0" fontId="40" fillId="0" borderId="50" xfId="0" applyFont="1" applyBorder="1"/>
    <xf numFmtId="0" fontId="40" fillId="0" borderId="51" xfId="0" applyFont="1" applyBorder="1"/>
    <xf numFmtId="0" fontId="146" fillId="0" borderId="0" xfId="0" applyFont="1" applyFill="1"/>
    <xf numFmtId="0" fontId="4" fillId="0" borderId="50" xfId="0" applyFont="1" applyBorder="1" applyAlignment="1" applyProtection="1">
      <alignment horizontal="center"/>
      <protection locked="0"/>
    </xf>
    <xf numFmtId="0" fontId="0" fillId="14" borderId="4" xfId="0" applyFill="1" applyBorder="1" applyAlignment="1">
      <alignment horizontal="center"/>
    </xf>
    <xf numFmtId="0" fontId="40" fillId="14" borderId="1" xfId="0" applyFont="1" applyFill="1" applyBorder="1"/>
    <xf numFmtId="0" fontId="92" fillId="14" borderId="2" xfId="0" applyFont="1" applyFill="1" applyBorder="1" applyAlignment="1">
      <alignment horizontal="center"/>
    </xf>
    <xf numFmtId="0" fontId="93" fillId="14" borderId="4" xfId="0" applyFont="1" applyFill="1" applyBorder="1"/>
    <xf numFmtId="0" fontId="92" fillId="14" borderId="1" xfId="0" applyFont="1" applyFill="1" applyBorder="1"/>
    <xf numFmtId="0" fontId="40" fillId="0" borderId="50" xfId="0" applyFont="1" applyFill="1" applyBorder="1"/>
    <xf numFmtId="0" fontId="0" fillId="0" borderId="46" xfId="0" applyFill="1" applyBorder="1"/>
    <xf numFmtId="0" fontId="40" fillId="14" borderId="50" xfId="0" applyFont="1" applyFill="1" applyBorder="1"/>
    <xf numFmtId="0" fontId="0" fillId="14" borderId="46" xfId="0" applyFill="1" applyBorder="1"/>
    <xf numFmtId="0" fontId="4" fillId="14" borderId="2" xfId="0" applyFont="1" applyFill="1" applyBorder="1" applyAlignment="1">
      <alignment horizontal="center"/>
    </xf>
    <xf numFmtId="0" fontId="40" fillId="14" borderId="4" xfId="0" applyFont="1" applyFill="1" applyBorder="1" applyAlignment="1">
      <alignment horizontal="right"/>
    </xf>
    <xf numFmtId="1" fontId="40" fillId="14" borderId="1" xfId="0" applyNumberFormat="1" applyFont="1" applyFill="1" applyBorder="1"/>
    <xf numFmtId="0" fontId="40" fillId="14" borderId="4" xfId="0" applyFont="1" applyFill="1" applyBorder="1" applyAlignment="1">
      <alignment horizontal="center"/>
    </xf>
    <xf numFmtId="0" fontId="0" fillId="14" borderId="0" xfId="0" applyFill="1" applyBorder="1"/>
    <xf numFmtId="1" fontId="0" fillId="14" borderId="0" xfId="0" applyNumberFormat="1" applyFill="1" applyBorder="1"/>
    <xf numFmtId="0" fontId="4" fillId="14" borderId="1" xfId="0" applyFont="1" applyFill="1" applyBorder="1"/>
    <xf numFmtId="0" fontId="41" fillId="14" borderId="18" xfId="0" applyFont="1" applyFill="1" applyBorder="1" applyAlignment="1" applyProtection="1">
      <alignment horizontal="center"/>
    </xf>
    <xf numFmtId="0" fontId="4" fillId="14" borderId="0" xfId="0" applyFont="1" applyFill="1" applyBorder="1" applyProtection="1"/>
    <xf numFmtId="0" fontId="40" fillId="10" borderId="93" xfId="0" applyFont="1" applyFill="1" applyBorder="1" applyAlignment="1" applyProtection="1">
      <alignment horizontal="center"/>
    </xf>
    <xf numFmtId="0" fontId="8" fillId="10" borderId="94" xfId="0" applyFont="1" applyFill="1" applyBorder="1" applyAlignment="1">
      <alignment horizontal="center"/>
    </xf>
    <xf numFmtId="0" fontId="74" fillId="4" borderId="52" xfId="0" applyFont="1" applyFill="1" applyBorder="1" applyAlignment="1">
      <alignment horizontal="left"/>
    </xf>
    <xf numFmtId="0" fontId="74" fillId="4" borderId="46" xfId="0" applyFont="1" applyFill="1" applyBorder="1" applyAlignment="1"/>
    <xf numFmtId="0" fontId="8" fillId="10" borderId="46" xfId="0" applyFont="1" applyFill="1" applyBorder="1" applyAlignment="1">
      <alignment horizontal="center"/>
    </xf>
    <xf numFmtId="0" fontId="40" fillId="0" borderId="77" xfId="0" applyFont="1" applyBorder="1" applyAlignment="1">
      <alignment horizontal="center"/>
    </xf>
    <xf numFmtId="0" fontId="74" fillId="4" borderId="52" xfId="0" applyFont="1" applyFill="1" applyBorder="1" applyProtection="1"/>
    <xf numFmtId="0" fontId="74" fillId="4" borderId="46" xfId="0" applyFont="1" applyFill="1" applyBorder="1" applyAlignment="1" applyProtection="1"/>
    <xf numFmtId="0" fontId="41" fillId="10" borderId="46" xfId="0" applyFont="1" applyFill="1" applyBorder="1" applyAlignment="1" applyProtection="1">
      <alignment horizontal="center"/>
    </xf>
    <xf numFmtId="0" fontId="41" fillId="10" borderId="46" xfId="0" applyFont="1" applyFill="1" applyBorder="1" applyAlignment="1" applyProtection="1">
      <alignment horizontal="center"/>
      <protection locked="0"/>
    </xf>
    <xf numFmtId="0" fontId="41" fillId="10" borderId="47" xfId="0" applyFont="1" applyFill="1" applyBorder="1" applyAlignment="1" applyProtection="1">
      <alignment horizontal="center"/>
      <protection locked="0"/>
    </xf>
    <xf numFmtId="0" fontId="8" fillId="10" borderId="77" xfId="0" applyFont="1" applyFill="1" applyBorder="1" applyAlignment="1" applyProtection="1">
      <alignment horizontal="center"/>
      <protection locked="0"/>
    </xf>
    <xf numFmtId="0" fontId="40" fillId="10" borderId="48" xfId="0" applyFont="1" applyFill="1" applyBorder="1" applyAlignment="1" applyProtection="1">
      <alignment horizontal="center"/>
      <protection locked="0"/>
    </xf>
    <xf numFmtId="0" fontId="40" fillId="0" borderId="77" xfId="0" applyFont="1" applyFill="1" applyBorder="1" applyAlignment="1" applyProtection="1">
      <alignment horizontal="center"/>
      <protection locked="0"/>
    </xf>
    <xf numFmtId="0" fontId="40" fillId="0" borderId="48" xfId="0" applyFont="1" applyFill="1" applyBorder="1" applyAlignment="1" applyProtection="1">
      <alignment horizontal="center"/>
      <protection locked="0"/>
    </xf>
    <xf numFmtId="0" fontId="4" fillId="0" borderId="77" xfId="0" applyFont="1" applyFill="1" applyBorder="1" applyAlignment="1" applyProtection="1">
      <alignment horizontal="center"/>
      <protection locked="0"/>
    </xf>
    <xf numFmtId="0" fontId="40" fillId="0" borderId="48" xfId="0" applyFont="1" applyBorder="1" applyAlignment="1" applyProtection="1">
      <alignment horizontal="center"/>
      <protection locked="0"/>
    </xf>
    <xf numFmtId="0" fontId="4" fillId="0" borderId="77" xfId="0" applyFont="1" applyBorder="1" applyAlignment="1" applyProtection="1">
      <alignment horizontal="center"/>
      <protection locked="0"/>
    </xf>
    <xf numFmtId="0" fontId="8" fillId="0" borderId="77" xfId="0" applyFont="1" applyBorder="1" applyAlignment="1" applyProtection="1">
      <alignment horizontal="center"/>
      <protection locked="0"/>
    </xf>
    <xf numFmtId="0" fontId="8" fillId="0" borderId="48"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0" fillId="0" borderId="50" xfId="0" applyFont="1" applyBorder="1" applyAlignment="1" applyProtection="1">
      <alignment horizontal="center"/>
      <protection locked="0"/>
    </xf>
    <xf numFmtId="0" fontId="40" fillId="0" borderId="51" xfId="0" applyFont="1" applyBorder="1" applyAlignment="1" applyProtection="1">
      <alignment horizontal="center"/>
      <protection locked="0"/>
    </xf>
    <xf numFmtId="1" fontId="4" fillId="0" borderId="100" xfId="2" applyNumberFormat="1" applyFont="1" applyFill="1" applyBorder="1"/>
    <xf numFmtId="0" fontId="114" fillId="0" borderId="0" xfId="0" applyFont="1" applyFill="1"/>
    <xf numFmtId="2" fontId="115" fillId="0" borderId="0" xfId="0" applyNumberFormat="1" applyFont="1" applyFill="1"/>
    <xf numFmtId="4" fontId="4" fillId="0" borderId="0" xfId="0" quotePrefix="1" applyNumberFormat="1" applyFont="1" applyFill="1" applyBorder="1" applyAlignment="1">
      <alignment horizontal="right"/>
    </xf>
    <xf numFmtId="2" fontId="115" fillId="0" borderId="0" xfId="0" applyNumberFormat="1" applyFont="1" applyFill="1" applyBorder="1"/>
    <xf numFmtId="4" fontId="4" fillId="0" borderId="17" xfId="0" applyNumberFormat="1" applyFont="1" applyFill="1" applyBorder="1"/>
    <xf numFmtId="0" fontId="65" fillId="4" borderId="0" xfId="0" quotePrefix="1" applyFont="1" applyFill="1" applyBorder="1" applyProtection="1"/>
    <xf numFmtId="0" fontId="1" fillId="0" borderId="72" xfId="0" applyFont="1" applyBorder="1"/>
    <xf numFmtId="0" fontId="0" fillId="0" borderId="77" xfId="0" applyFill="1" applyBorder="1" applyProtection="1">
      <protection locked="0"/>
    </xf>
    <xf numFmtId="0" fontId="23" fillId="0" borderId="3" xfId="0" applyFont="1" applyFill="1" applyBorder="1"/>
    <xf numFmtId="0" fontId="23" fillId="0" borderId="4" xfId="0" applyFont="1" applyFill="1" applyBorder="1" applyAlignment="1">
      <alignment horizontal="right"/>
    </xf>
    <xf numFmtId="0" fontId="62" fillId="0" borderId="2" xfId="0" quotePrefix="1" applyFont="1" applyFill="1" applyBorder="1" applyAlignment="1">
      <alignment horizontal="center"/>
    </xf>
    <xf numFmtId="0" fontId="5" fillId="0" borderId="2" xfId="0" quotePrefix="1" applyFont="1" applyFill="1" applyBorder="1" applyAlignment="1">
      <alignment horizontal="center"/>
    </xf>
    <xf numFmtId="0" fontId="62" fillId="0" borderId="82" xfId="0" applyFont="1" applyFill="1" applyBorder="1" applyAlignment="1">
      <alignment horizontal="center"/>
    </xf>
    <xf numFmtId="0" fontId="62" fillId="0" borderId="82" xfId="0" quotePrefix="1" applyFont="1" applyFill="1" applyBorder="1" applyAlignment="1">
      <alignment horizontal="center"/>
    </xf>
    <xf numFmtId="0" fontId="5" fillId="0" borderId="72" xfId="0" applyFont="1" applyFill="1" applyBorder="1" applyAlignment="1">
      <alignment horizontal="center"/>
    </xf>
    <xf numFmtId="0" fontId="5" fillId="0" borderId="0" xfId="0" applyFont="1" applyFill="1" applyBorder="1"/>
    <xf numFmtId="2" fontId="62" fillId="0" borderId="2" xfId="0" applyNumberFormat="1" applyFont="1" applyFill="1" applyBorder="1" applyAlignment="1">
      <alignment horizontal="center"/>
    </xf>
    <xf numFmtId="0" fontId="5" fillId="0" borderId="3" xfId="0" applyFont="1" applyFill="1" applyBorder="1"/>
    <xf numFmtId="0" fontId="25" fillId="0" borderId="2" xfId="0" applyFont="1" applyFill="1" applyBorder="1" applyAlignment="1" applyProtection="1">
      <alignment horizontal="center"/>
    </xf>
    <xf numFmtId="0" fontId="25" fillId="0" borderId="1" xfId="0" applyFont="1" applyFill="1" applyBorder="1" applyAlignment="1" applyProtection="1">
      <alignment horizontal="center"/>
    </xf>
    <xf numFmtId="0" fontId="67" fillId="26" borderId="56" xfId="0" applyFont="1" applyFill="1" applyBorder="1" applyAlignment="1">
      <alignment horizontal="left"/>
    </xf>
    <xf numFmtId="0" fontId="0" fillId="16" borderId="0" xfId="0" applyFill="1"/>
    <xf numFmtId="0" fontId="8" fillId="14" borderId="18" xfId="0" applyFont="1" applyFill="1" applyBorder="1" applyAlignment="1" applyProtection="1">
      <alignment horizontal="center"/>
    </xf>
    <xf numFmtId="1" fontId="4" fillId="0" borderId="77" xfId="0" applyNumberFormat="1" applyFont="1" applyFill="1" applyBorder="1"/>
    <xf numFmtId="2" fontId="4" fillId="0" borderId="77" xfId="2" applyNumberFormat="1" applyFont="1" applyFill="1" applyBorder="1"/>
    <xf numFmtId="9" fontId="4" fillId="0" borderId="1" xfId="4" applyFont="1" applyFill="1" applyBorder="1"/>
    <xf numFmtId="0" fontId="36" fillId="14" borderId="1" xfId="0" applyFont="1" applyFill="1" applyBorder="1"/>
    <xf numFmtId="0" fontId="5" fillId="14" borderId="69" xfId="0" applyFont="1" applyFill="1" applyBorder="1" applyProtection="1"/>
    <xf numFmtId="0" fontId="17" fillId="0" borderId="35" xfId="0" applyFont="1" applyBorder="1"/>
    <xf numFmtId="0" fontId="23" fillId="0" borderId="42" xfId="0" applyFont="1" applyBorder="1" applyAlignment="1">
      <alignment horizontal="right"/>
    </xf>
    <xf numFmtId="0" fontId="5" fillId="0" borderId="42" xfId="0" applyFont="1" applyFill="1" applyBorder="1" applyAlignment="1">
      <alignment horizontal="center"/>
    </xf>
    <xf numFmtId="0" fontId="5" fillId="0" borderId="101" xfId="0" applyFont="1" applyFill="1" applyBorder="1"/>
    <xf numFmtId="0" fontId="5" fillId="0" borderId="35" xfId="0" applyFont="1" applyFill="1" applyBorder="1"/>
    <xf numFmtId="0" fontId="62" fillId="0" borderId="35" xfId="0" applyFont="1" applyFill="1" applyBorder="1" applyAlignment="1">
      <alignment horizontal="center"/>
    </xf>
    <xf numFmtId="0" fontId="1" fillId="0" borderId="0" xfId="5" applyFill="1" applyBorder="1"/>
    <xf numFmtId="0" fontId="4" fillId="0" borderId="94" xfId="5" applyFont="1" applyBorder="1" applyAlignment="1">
      <alignment horizontal="center"/>
    </xf>
    <xf numFmtId="0" fontId="4" fillId="0" borderId="0" xfId="5" applyFont="1"/>
    <xf numFmtId="0" fontId="4" fillId="0" borderId="72" xfId="5" applyFont="1" applyBorder="1" applyAlignment="1">
      <alignment horizontal="center"/>
    </xf>
    <xf numFmtId="0" fontId="1" fillId="0" borderId="72" xfId="5" applyFill="1" applyBorder="1"/>
    <xf numFmtId="0" fontId="4" fillId="0" borderId="77" xfId="5" applyFont="1" applyFill="1" applyBorder="1"/>
    <xf numFmtId="0" fontId="4" fillId="0" borderId="0" xfId="5" applyFont="1" applyFill="1"/>
    <xf numFmtId="1" fontId="4" fillId="0" borderId="77" xfId="5" quotePrefix="1" applyNumberFormat="1" applyFont="1" applyFill="1" applyBorder="1"/>
    <xf numFmtId="0" fontId="1" fillId="0" borderId="77" xfId="5" applyFill="1" applyBorder="1"/>
    <xf numFmtId="0" fontId="1" fillId="0" borderId="0" xfId="5" applyFill="1" applyBorder="1" applyAlignment="1">
      <alignment horizontal="right"/>
    </xf>
    <xf numFmtId="0" fontId="1" fillId="0" borderId="0" xfId="5"/>
    <xf numFmtId="1" fontId="1" fillId="0" borderId="0" xfId="5" applyNumberFormat="1" applyFill="1" applyBorder="1"/>
    <xf numFmtId="0" fontId="1" fillId="0" borderId="94" xfId="5" applyFill="1" applyBorder="1"/>
    <xf numFmtId="0" fontId="1" fillId="0" borderId="77" xfId="5" applyFill="1" applyBorder="1" applyProtection="1">
      <protection locked="0"/>
    </xf>
    <xf numFmtId="0" fontId="1" fillId="0" borderId="77" xfId="5" applyFill="1" applyBorder="1" applyAlignment="1">
      <alignment horizontal="right"/>
    </xf>
    <xf numFmtId="1" fontId="1" fillId="0" borderId="77" xfId="5" applyNumberFormat="1" applyFill="1" applyBorder="1"/>
    <xf numFmtId="0" fontId="1" fillId="0" borderId="0" xfId="5" applyFill="1" applyBorder="1" applyAlignment="1">
      <alignment horizontal="left"/>
    </xf>
    <xf numFmtId="0" fontId="92" fillId="14" borderId="50" xfId="0" applyFont="1" applyFill="1" applyBorder="1"/>
    <xf numFmtId="0" fontId="93" fillId="14" borderId="46" xfId="0" applyFont="1" applyFill="1" applyBorder="1"/>
    <xf numFmtId="0" fontId="40" fillId="20" borderId="0" xfId="0" applyFont="1" applyFill="1"/>
    <xf numFmtId="0" fontId="40" fillId="16" borderId="0" xfId="0" applyFont="1" applyFill="1"/>
    <xf numFmtId="0" fontId="147" fillId="14" borderId="23" xfId="0" applyFont="1" applyFill="1" applyBorder="1" applyProtection="1"/>
    <xf numFmtId="44" fontId="40" fillId="14" borderId="0" xfId="2" applyFont="1" applyFill="1" applyBorder="1" applyAlignment="1" applyProtection="1">
      <alignment horizontal="right"/>
    </xf>
    <xf numFmtId="0" fontId="40" fillId="4" borderId="102" xfId="0" applyFont="1" applyFill="1" applyBorder="1" applyProtection="1"/>
    <xf numFmtId="0" fontId="8" fillId="16" borderId="0" xfId="0" applyFont="1" applyFill="1" applyProtection="1"/>
    <xf numFmtId="0" fontId="40" fillId="16" borderId="0" xfId="0" applyFont="1" applyFill="1" applyProtection="1"/>
    <xf numFmtId="0" fontId="40" fillId="20" borderId="23" xfId="0" applyFont="1" applyFill="1" applyBorder="1" applyProtection="1"/>
    <xf numFmtId="3" fontId="4" fillId="0" borderId="77" xfId="0" applyNumberFormat="1" applyFont="1" applyFill="1" applyBorder="1"/>
    <xf numFmtId="0" fontId="4" fillId="20" borderId="0" xfId="0" applyFont="1" applyFill="1"/>
    <xf numFmtId="3" fontId="4" fillId="0" borderId="77" xfId="4" applyNumberFormat="1" applyFont="1" applyFill="1" applyBorder="1"/>
    <xf numFmtId="3" fontId="4" fillId="0" borderId="18" xfId="2" applyNumberFormat="1" applyFont="1" applyFill="1" applyBorder="1" applyProtection="1">
      <protection locked="0"/>
    </xf>
    <xf numFmtId="0" fontId="7" fillId="0" borderId="77" xfId="0" applyFont="1" applyFill="1" applyBorder="1" applyAlignment="1">
      <alignment wrapText="1"/>
    </xf>
    <xf numFmtId="0" fontId="1" fillId="0" borderId="77" xfId="0" applyFont="1" applyBorder="1" applyAlignment="1">
      <alignment wrapText="1"/>
    </xf>
    <xf numFmtId="0" fontId="0" fillId="0" borderId="77" xfId="0" applyBorder="1" applyAlignment="1">
      <alignment wrapText="1"/>
    </xf>
    <xf numFmtId="0" fontId="0" fillId="0" borderId="0" xfId="0" applyAlignment="1">
      <alignment wrapText="1"/>
    </xf>
    <xf numFmtId="3" fontId="5" fillId="14" borderId="3" xfId="0" applyNumberFormat="1" applyFont="1" applyFill="1" applyBorder="1" applyAlignment="1">
      <alignment horizontal="center"/>
    </xf>
    <xf numFmtId="0" fontId="5" fillId="0" borderId="71" xfId="0" applyFont="1" applyFill="1" applyBorder="1" applyAlignment="1">
      <alignment horizontal="center"/>
    </xf>
    <xf numFmtId="0" fontId="40" fillId="0" borderId="103" xfId="0" applyFont="1" applyFill="1" applyBorder="1" applyAlignment="1">
      <alignment horizontal="center"/>
    </xf>
    <xf numFmtId="0" fontId="4" fillId="10" borderId="105" xfId="0" applyFont="1" applyFill="1" applyBorder="1" applyAlignment="1" applyProtection="1">
      <alignment horizontal="center"/>
    </xf>
    <xf numFmtId="0" fontId="40" fillId="10" borderId="104" xfId="0" applyFont="1" applyFill="1" applyBorder="1" applyAlignment="1">
      <alignment horizontal="center"/>
    </xf>
    <xf numFmtId="0" fontId="40" fillId="12" borderId="46" xfId="0" applyFont="1" applyFill="1" applyBorder="1" applyAlignment="1">
      <alignment horizontal="left"/>
    </xf>
    <xf numFmtId="0" fontId="70" fillId="0" borderId="45" xfId="0" applyFont="1" applyFill="1" applyBorder="1" applyAlignment="1">
      <alignment horizontal="left"/>
    </xf>
    <xf numFmtId="0" fontId="70" fillId="0" borderId="103" xfId="0" applyFont="1" applyFill="1" applyBorder="1" applyAlignment="1">
      <alignment horizontal="left"/>
    </xf>
    <xf numFmtId="2" fontId="40" fillId="0" borderId="103" xfId="0" applyNumberFormat="1" applyFont="1" applyBorder="1" applyAlignment="1" applyProtection="1">
      <alignment horizontal="center" wrapText="1"/>
      <protection locked="0"/>
    </xf>
    <xf numFmtId="0" fontId="40" fillId="0" borderId="103" xfId="0" applyFont="1" applyBorder="1" applyAlignment="1" applyProtection="1">
      <alignment horizontal="center" wrapText="1"/>
      <protection locked="0"/>
    </xf>
    <xf numFmtId="0" fontId="40" fillId="0" borderId="103" xfId="0" applyFont="1" applyBorder="1" applyAlignment="1" applyProtection="1">
      <alignment horizontal="center"/>
      <protection locked="0"/>
    </xf>
    <xf numFmtId="2" fontId="40" fillId="0" borderId="103" xfId="0" applyNumberFormat="1" applyFont="1" applyBorder="1" applyAlignment="1" applyProtection="1">
      <alignment horizontal="center"/>
      <protection locked="0"/>
    </xf>
    <xf numFmtId="0" fontId="40" fillId="0" borderId="103" xfId="0" applyFont="1" applyBorder="1" applyProtection="1">
      <protection locked="0"/>
    </xf>
    <xf numFmtId="0" fontId="40" fillId="0" borderId="48" xfId="0" applyFont="1" applyBorder="1" applyProtection="1">
      <protection locked="0"/>
    </xf>
    <xf numFmtId="174" fontId="40" fillId="0" borderId="103" xfId="0" applyNumberFormat="1" applyFont="1" applyFill="1" applyBorder="1" applyAlignment="1" applyProtection="1">
      <alignment horizontal="center"/>
    </xf>
    <xf numFmtId="174" fontId="40" fillId="0" borderId="103" xfId="0" applyNumberFormat="1" applyFont="1" applyFill="1" applyBorder="1" applyProtection="1"/>
    <xf numFmtId="174" fontId="40" fillId="10" borderId="103" xfId="0" applyNumberFormat="1" applyFont="1" applyFill="1" applyBorder="1" applyAlignment="1" applyProtection="1">
      <alignment horizontal="center"/>
    </xf>
    <xf numFmtId="174" fontId="40" fillId="0" borderId="103" xfId="0" applyNumberFormat="1" applyFont="1" applyBorder="1" applyAlignment="1" applyProtection="1">
      <alignment horizontal="center"/>
      <protection locked="0"/>
    </xf>
    <xf numFmtId="174" fontId="40" fillId="0" borderId="103" xfId="0" applyNumberFormat="1" applyFont="1" applyBorder="1" applyProtection="1">
      <protection locked="0"/>
    </xf>
    <xf numFmtId="174" fontId="40" fillId="10" borderId="103" xfId="0" applyNumberFormat="1" applyFont="1" applyFill="1" applyBorder="1" applyProtection="1"/>
    <xf numFmtId="0" fontId="40" fillId="0" borderId="103" xfId="0" applyFont="1" applyBorder="1" applyAlignment="1">
      <alignment horizontal="center"/>
    </xf>
    <xf numFmtId="0" fontId="40" fillId="0" borderId="103" xfId="0" applyFont="1" applyBorder="1"/>
    <xf numFmtId="0" fontId="70" fillId="0" borderId="49" xfId="0" applyFont="1" applyFill="1" applyBorder="1" applyAlignment="1">
      <alignment horizontal="left"/>
    </xf>
    <xf numFmtId="0" fontId="70" fillId="0" borderId="50" xfId="0" applyFont="1" applyFill="1" applyBorder="1" applyAlignment="1">
      <alignment horizontal="left"/>
    </xf>
    <xf numFmtId="0" fontId="40" fillId="12" borderId="96" xfId="0" applyFont="1" applyFill="1" applyBorder="1"/>
    <xf numFmtId="0" fontId="40" fillId="10" borderId="105" xfId="0" applyFont="1" applyFill="1" applyBorder="1"/>
    <xf numFmtId="0" fontId="74" fillId="0" borderId="103" xfId="0" applyFont="1" applyBorder="1" applyAlignment="1"/>
    <xf numFmtId="2" fontId="40" fillId="0" borderId="103" xfId="0" applyNumberFormat="1" applyFont="1" applyBorder="1"/>
    <xf numFmtId="2" fontId="40" fillId="18" borderId="103" xfId="0" applyNumberFormat="1" applyFont="1" applyFill="1" applyBorder="1"/>
    <xf numFmtId="0" fontId="41" fillId="18" borderId="0" xfId="0" applyFont="1" applyFill="1" applyBorder="1" applyAlignment="1" applyProtection="1">
      <alignment horizontal="center"/>
      <protection locked="0"/>
    </xf>
    <xf numFmtId="0" fontId="40" fillId="18" borderId="0" xfId="0" applyFont="1" applyFill="1" applyBorder="1" applyAlignment="1" applyProtection="1">
      <alignment horizontal="center"/>
      <protection locked="0"/>
    </xf>
    <xf numFmtId="14" fontId="40" fillId="18" borderId="0" xfId="0" quotePrefix="1" applyNumberFormat="1" applyFont="1" applyFill="1" applyBorder="1" applyAlignment="1">
      <alignment horizontal="center"/>
    </xf>
    <xf numFmtId="165" fontId="40" fillId="18" borderId="0" xfId="1" applyNumberFormat="1" applyFont="1" applyFill="1" applyBorder="1" applyAlignment="1" applyProtection="1">
      <alignment horizontal="center"/>
      <protection locked="0"/>
    </xf>
    <xf numFmtId="1" fontId="40" fillId="18" borderId="0" xfId="1" applyNumberFormat="1" applyFont="1" applyFill="1" applyBorder="1" applyAlignment="1" applyProtection="1">
      <alignment horizontal="center"/>
      <protection locked="0"/>
    </xf>
    <xf numFmtId="0" fontId="8" fillId="18" borderId="0" xfId="0" applyFont="1" applyFill="1" applyBorder="1" applyAlignment="1" applyProtection="1">
      <alignment horizontal="center"/>
      <protection locked="0"/>
    </xf>
    <xf numFmtId="0" fontId="4" fillId="18" borderId="0" xfId="0" applyFont="1" applyFill="1" applyBorder="1" applyAlignment="1" applyProtection="1">
      <alignment horizontal="center"/>
      <protection locked="0"/>
    </xf>
    <xf numFmtId="0" fontId="40" fillId="18" borderId="0" xfId="0" applyFont="1" applyFill="1"/>
    <xf numFmtId="175" fontId="40" fillId="18" borderId="0" xfId="0" applyNumberFormat="1" applyFont="1" applyFill="1"/>
    <xf numFmtId="1" fontId="5" fillId="10" borderId="105" xfId="0" applyNumberFormat="1" applyFont="1" applyFill="1" applyBorder="1" applyAlignment="1" applyProtection="1">
      <alignment horizontal="center"/>
    </xf>
    <xf numFmtId="0" fontId="40" fillId="11" borderId="109" xfId="0" applyFont="1" applyFill="1" applyBorder="1"/>
    <xf numFmtId="0" fontId="40" fillId="10" borderId="109" xfId="0" applyFont="1" applyFill="1" applyBorder="1" applyAlignment="1">
      <alignment horizontal="center"/>
    </xf>
    <xf numFmtId="0" fontId="70" fillId="0" borderId="103" xfId="0" applyFont="1" applyFill="1" applyBorder="1" applyAlignment="1"/>
    <xf numFmtId="4" fontId="40" fillId="10" borderId="103" xfId="0" applyNumberFormat="1" applyFont="1" applyFill="1" applyBorder="1" applyAlignment="1">
      <alignment horizontal="right"/>
    </xf>
    <xf numFmtId="0" fontId="40" fillId="10" borderId="103" xfId="0" applyFont="1" applyFill="1" applyBorder="1"/>
    <xf numFmtId="0" fontId="40" fillId="10" borderId="103" xfId="0" applyFont="1" applyFill="1" applyBorder="1" applyProtection="1"/>
    <xf numFmtId="0" fontId="4" fillId="10" borderId="106" xfId="0" applyFont="1" applyFill="1" applyBorder="1" applyAlignment="1" applyProtection="1">
      <alignment horizontal="center"/>
    </xf>
    <xf numFmtId="0" fontId="40" fillId="10" borderId="4" xfId="0" applyFont="1" applyFill="1" applyBorder="1" applyProtection="1">
      <protection locked="0"/>
    </xf>
    <xf numFmtId="0" fontId="74" fillId="0" borderId="103" xfId="0" applyFont="1" applyFill="1" applyBorder="1"/>
    <xf numFmtId="2" fontId="40" fillId="0" borderId="103" xfId="0" applyNumberFormat="1" applyFont="1" applyBorder="1" applyProtection="1">
      <protection locked="0"/>
    </xf>
    <xf numFmtId="2" fontId="40" fillId="0" borderId="48" xfId="0" applyNumberFormat="1" applyFont="1" applyBorder="1" applyProtection="1">
      <protection locked="0"/>
    </xf>
    <xf numFmtId="0" fontId="40" fillId="10" borderId="103" xfId="0" applyFont="1" applyFill="1" applyBorder="1" applyAlignment="1" applyProtection="1">
      <alignment horizontal="center"/>
    </xf>
    <xf numFmtId="0" fontId="40" fillId="10" borderId="48" xfId="0" applyFont="1" applyFill="1" applyBorder="1" applyAlignment="1" applyProtection="1">
      <alignment horizontal="center"/>
    </xf>
    <xf numFmtId="2" fontId="40" fillId="0" borderId="48" xfId="0" applyNumberFormat="1" applyFont="1" applyBorder="1" applyAlignment="1" applyProtection="1">
      <alignment horizontal="center"/>
      <protection locked="0"/>
    </xf>
    <xf numFmtId="2" fontId="40" fillId="0" borderId="103" xfId="0" applyNumberFormat="1" applyFont="1" applyBorder="1" applyAlignment="1" applyProtection="1">
      <protection locked="0"/>
    </xf>
    <xf numFmtId="0" fontId="40" fillId="10" borderId="103" xfId="0" applyFont="1" applyFill="1" applyBorder="1" applyProtection="1">
      <protection locked="0"/>
    </xf>
    <xf numFmtId="0" fontId="40" fillId="10" borderId="48" xfId="0" applyFont="1" applyFill="1" applyBorder="1" applyProtection="1">
      <protection locked="0"/>
    </xf>
    <xf numFmtId="0" fontId="40" fillId="10" borderId="103" xfId="0" applyFont="1" applyFill="1" applyBorder="1" applyAlignment="1" applyProtection="1">
      <alignment horizontal="center"/>
      <protection locked="0"/>
    </xf>
    <xf numFmtId="0" fontId="40" fillId="0" borderId="51" xfId="0" applyFont="1" applyBorder="1" applyProtection="1">
      <protection locked="0"/>
    </xf>
    <xf numFmtId="0" fontId="74" fillId="0" borderId="105" xfId="0" applyFont="1" applyFill="1" applyBorder="1"/>
    <xf numFmtId="0" fontId="40" fillId="0" borderId="105" xfId="0" applyFont="1" applyBorder="1" applyAlignment="1" applyProtection="1">
      <protection locked="0"/>
    </xf>
    <xf numFmtId="0" fontId="40" fillId="3" borderId="105" xfId="0" applyFont="1" applyFill="1" applyBorder="1" applyAlignment="1" applyProtection="1">
      <protection locked="0"/>
    </xf>
    <xf numFmtId="0" fontId="40" fillId="3" borderId="48" xfId="0" applyFont="1" applyFill="1" applyBorder="1" applyAlignment="1" applyProtection="1">
      <protection locked="0"/>
    </xf>
    <xf numFmtId="1" fontId="4" fillId="10" borderId="106" xfId="0" applyNumberFormat="1" applyFont="1" applyFill="1" applyBorder="1" applyAlignment="1" applyProtection="1">
      <alignment horizontal="center"/>
    </xf>
    <xf numFmtId="43" fontId="40" fillId="0" borderId="103" xfId="1" applyFont="1" applyBorder="1" applyAlignment="1" applyProtection="1">
      <protection locked="0"/>
    </xf>
    <xf numFmtId="0" fontId="40" fillId="0" borderId="103" xfId="0" applyFont="1" applyBorder="1" applyAlignment="1" applyProtection="1">
      <protection locked="0"/>
    </xf>
    <xf numFmtId="2" fontId="40" fillId="0" borderId="105" xfId="0" applyNumberFormat="1" applyFont="1" applyBorder="1" applyAlignment="1" applyProtection="1">
      <protection locked="0"/>
    </xf>
    <xf numFmtId="2" fontId="40" fillId="0" borderId="50" xfId="0" applyNumberFormat="1" applyFont="1" applyBorder="1" applyAlignment="1" applyProtection="1">
      <protection locked="0"/>
    </xf>
    <xf numFmtId="2" fontId="40" fillId="0" borderId="83" xfId="0" applyNumberFormat="1" applyFont="1" applyBorder="1" applyAlignment="1" applyProtection="1">
      <protection locked="0"/>
    </xf>
    <xf numFmtId="2" fontId="4" fillId="10" borderId="106" xfId="0" applyNumberFormat="1" applyFont="1" applyFill="1" applyBorder="1" applyAlignment="1" applyProtection="1">
      <alignment horizontal="center"/>
    </xf>
    <xf numFmtId="0" fontId="40" fillId="0" borderId="50" xfId="0" applyNumberFormat="1" applyFont="1" applyBorder="1" applyProtection="1">
      <protection locked="0"/>
    </xf>
    <xf numFmtId="0" fontId="8" fillId="11" borderId="52" xfId="0" applyFont="1" applyFill="1" applyBorder="1"/>
    <xf numFmtId="0" fontId="8" fillId="12" borderId="108" xfId="0" applyFont="1" applyFill="1" applyBorder="1"/>
    <xf numFmtId="0" fontId="8" fillId="12" borderId="52" xfId="0" applyFont="1" applyFill="1" applyBorder="1" applyAlignment="1">
      <alignment horizontal="left"/>
    </xf>
    <xf numFmtId="0" fontId="36" fillId="0" borderId="0" xfId="0" applyFont="1" applyFill="1" applyAlignment="1">
      <alignment horizontal="center"/>
    </xf>
    <xf numFmtId="1" fontId="4" fillId="0" borderId="103" xfId="0" applyNumberFormat="1" applyFont="1" applyFill="1" applyBorder="1"/>
    <xf numFmtId="1" fontId="4" fillId="0" borderId="1" xfId="0" quotePrefix="1" applyNumberFormat="1" applyFont="1" applyFill="1" applyBorder="1"/>
    <xf numFmtId="0" fontId="5" fillId="0" borderId="103" xfId="0" applyFont="1" applyFill="1" applyBorder="1"/>
    <xf numFmtId="0" fontId="16" fillId="0" borderId="103" xfId="0" applyFont="1" applyFill="1" applyBorder="1"/>
    <xf numFmtId="0" fontId="27" fillId="0" borderId="103" xfId="0" applyFont="1" applyFill="1" applyBorder="1" applyAlignment="1">
      <alignment horizontal="right"/>
    </xf>
    <xf numFmtId="0" fontId="4" fillId="0" borderId="77" xfId="0" applyFont="1" applyBorder="1"/>
    <xf numFmtId="0" fontId="149" fillId="4" borderId="22" xfId="0" applyFont="1" applyFill="1" applyBorder="1" applyProtection="1"/>
    <xf numFmtId="0" fontId="82" fillId="16" borderId="0" xfId="0" applyFont="1" applyFill="1" applyBorder="1" applyAlignment="1" applyProtection="1">
      <alignment horizontal="right"/>
    </xf>
    <xf numFmtId="0" fontId="40" fillId="16" borderId="0" xfId="0" applyFont="1" applyFill="1" applyBorder="1" applyProtection="1"/>
    <xf numFmtId="0" fontId="48" fillId="4" borderId="111" xfId="0" applyFont="1" applyFill="1" applyBorder="1" applyProtection="1"/>
    <xf numFmtId="0" fontId="8" fillId="16" borderId="0" xfId="0" applyFont="1" applyFill="1"/>
    <xf numFmtId="0" fontId="5" fillId="0" borderId="112" xfId="0" applyFont="1" applyFill="1" applyBorder="1" applyAlignment="1">
      <alignment vertical="center" wrapText="1"/>
    </xf>
    <xf numFmtId="0" fontId="5" fillId="26" borderId="112" xfId="0" applyFont="1" applyFill="1" applyBorder="1" applyAlignment="1">
      <alignment vertical="center" wrapText="1"/>
    </xf>
    <xf numFmtId="0" fontId="74" fillId="0" borderId="103" xfId="0" applyFont="1" applyFill="1" applyBorder="1" applyAlignment="1"/>
    <xf numFmtId="0" fontId="5" fillId="0" borderId="77" xfId="0" applyFont="1" applyFill="1" applyBorder="1" applyAlignment="1">
      <alignment vertical="top" wrapText="1"/>
    </xf>
    <xf numFmtId="0" fontId="92" fillId="14" borderId="77" xfId="0" applyFont="1" applyFill="1" applyBorder="1" applyAlignment="1">
      <alignment vertical="top" wrapText="1"/>
    </xf>
    <xf numFmtId="0" fontId="5" fillId="0" borderId="77" xfId="0" applyFont="1" applyBorder="1" applyAlignment="1">
      <alignment wrapText="1"/>
    </xf>
    <xf numFmtId="0" fontId="5" fillId="0" borderId="77" xfId="0" applyFont="1" applyFill="1" applyBorder="1" applyAlignment="1">
      <alignment wrapText="1"/>
    </xf>
    <xf numFmtId="0" fontId="70" fillId="0" borderId="72" xfId="0" applyFont="1" applyFill="1" applyBorder="1" applyAlignment="1">
      <alignment horizontal="left"/>
    </xf>
    <xf numFmtId="0" fontId="5" fillId="14" borderId="77" xfId="0" applyFont="1" applyFill="1" applyBorder="1" applyAlignment="1">
      <alignment vertical="top" wrapText="1"/>
    </xf>
    <xf numFmtId="0" fontId="4" fillId="14" borderId="23" xfId="0" applyFont="1" applyFill="1" applyBorder="1" applyProtection="1"/>
    <xf numFmtId="0" fontId="41" fillId="14" borderId="0" xfId="0" applyFont="1" applyFill="1" applyBorder="1" applyAlignment="1" applyProtection="1">
      <alignment horizontal="center"/>
    </xf>
    <xf numFmtId="0" fontId="4" fillId="8" borderId="0" xfId="0" quotePrefix="1" applyFont="1" applyFill="1" applyBorder="1" applyAlignment="1" applyProtection="1">
      <alignment horizontal="left"/>
    </xf>
    <xf numFmtId="0" fontId="12" fillId="0" borderId="0" xfId="0" applyFont="1" applyFill="1" applyAlignment="1">
      <alignment vertical="center"/>
    </xf>
    <xf numFmtId="0" fontId="1" fillId="0" borderId="0" xfId="0" applyFont="1" applyFill="1" applyAlignment="1">
      <alignment horizontal="left" indent="1"/>
    </xf>
    <xf numFmtId="0" fontId="1" fillId="0" borderId="0" xfId="0" applyFont="1" applyFill="1" applyAlignment="1">
      <alignment horizontal="left" indent="2"/>
    </xf>
    <xf numFmtId="0" fontId="1" fillId="0" borderId="0" xfId="0" applyFont="1" applyFill="1" applyAlignment="1">
      <alignment horizontal="left" indent="4"/>
    </xf>
    <xf numFmtId="0" fontId="0" fillId="0" borderId="0" xfId="0" applyFill="1" applyAlignment="1">
      <alignment horizontal="left" indent="3"/>
    </xf>
    <xf numFmtId="0" fontId="1" fillId="0" borderId="0" xfId="0" applyFont="1" applyFill="1" applyAlignment="1">
      <alignment horizontal="left" indent="5"/>
    </xf>
    <xf numFmtId="0" fontId="1" fillId="0" borderId="0" xfId="0" applyFont="1" applyFill="1" applyAlignment="1">
      <alignment horizontal="left" indent="3"/>
    </xf>
    <xf numFmtId="0" fontId="1" fillId="0" borderId="0" xfId="0" applyFont="1" applyFill="1" applyAlignment="1">
      <alignment horizontal="left"/>
    </xf>
    <xf numFmtId="0" fontId="1" fillId="0" borderId="0" xfId="0" applyFont="1" applyFill="1" applyAlignment="1">
      <alignment horizontal="left" vertical="center" indent="2"/>
    </xf>
    <xf numFmtId="0" fontId="132" fillId="0" borderId="0" xfId="0" applyFont="1" applyFill="1"/>
    <xf numFmtId="0" fontId="89" fillId="0" borderId="1" xfId="0" applyFont="1" applyFill="1" applyBorder="1" applyAlignment="1">
      <alignment vertical="top" wrapText="1"/>
    </xf>
    <xf numFmtId="0" fontId="90" fillId="0" borderId="1" xfId="0" applyFont="1" applyFill="1" applyBorder="1" applyAlignment="1">
      <alignment vertical="top" wrapText="1"/>
    </xf>
    <xf numFmtId="0" fontId="89" fillId="0" borderId="2" xfId="0" applyFont="1" applyFill="1" applyBorder="1" applyAlignment="1">
      <alignment vertical="top" wrapText="1"/>
    </xf>
    <xf numFmtId="0" fontId="89" fillId="0" borderId="2" xfId="0" applyFont="1" applyFill="1" applyBorder="1" applyAlignment="1">
      <alignment horizontal="left" vertical="top" wrapText="1"/>
    </xf>
    <xf numFmtId="0" fontId="89" fillId="0" borderId="3" xfId="0" applyFont="1" applyFill="1" applyBorder="1" applyAlignment="1">
      <alignment horizontal="left" vertical="top" wrapText="1" indent="1"/>
    </xf>
    <xf numFmtId="0" fontId="89" fillId="0" borderId="3" xfId="0" applyFont="1" applyFill="1" applyBorder="1" applyAlignment="1">
      <alignment horizontal="center" vertical="top" wrapText="1"/>
    </xf>
    <xf numFmtId="0" fontId="89" fillId="0" borderId="3" xfId="0" applyFont="1" applyFill="1" applyBorder="1" applyAlignment="1">
      <alignment vertical="top" wrapText="1"/>
    </xf>
    <xf numFmtId="0" fontId="89" fillId="0" borderId="4" xfId="0" applyFont="1" applyFill="1" applyBorder="1" applyAlignment="1">
      <alignment vertical="top" wrapText="1"/>
    </xf>
    <xf numFmtId="0" fontId="89" fillId="0" borderId="4" xfId="0" applyFont="1" applyFill="1" applyBorder="1" applyAlignment="1">
      <alignment horizontal="center" vertical="top" wrapText="1"/>
    </xf>
    <xf numFmtId="0" fontId="10" fillId="0" borderId="1" xfId="0" applyFont="1" applyFill="1" applyBorder="1" applyAlignment="1">
      <alignment vertical="top" wrapText="1"/>
    </xf>
    <xf numFmtId="0" fontId="89" fillId="0" borderId="2" xfId="0" applyFont="1" applyFill="1" applyBorder="1" applyAlignment="1">
      <alignment horizontal="center" vertical="top" wrapText="1"/>
    </xf>
    <xf numFmtId="0" fontId="89" fillId="0" borderId="6" xfId="0" applyFont="1" applyFill="1" applyBorder="1" applyAlignment="1">
      <alignment vertical="top" wrapText="1"/>
    </xf>
    <xf numFmtId="0" fontId="10" fillId="0" borderId="2" xfId="0" applyFont="1" applyFill="1" applyBorder="1" applyAlignment="1">
      <alignment vertical="top" wrapText="1"/>
    </xf>
    <xf numFmtId="0" fontId="89" fillId="0" borderId="9" xfId="0" applyFont="1" applyFill="1" applyBorder="1" applyAlignment="1">
      <alignment horizontal="left" vertical="top" wrapText="1" indent="1"/>
    </xf>
    <xf numFmtId="0" fontId="10" fillId="0" borderId="3" xfId="0" applyFont="1" applyFill="1" applyBorder="1" applyAlignment="1">
      <alignment vertical="top" wrapText="1"/>
    </xf>
    <xf numFmtId="0" fontId="89" fillId="0" borderId="9" xfId="0" applyFont="1" applyFill="1" applyBorder="1" applyAlignment="1">
      <alignment vertical="top" wrapText="1"/>
    </xf>
    <xf numFmtId="0" fontId="0" fillId="0" borderId="3" xfId="0" applyFill="1" applyBorder="1"/>
    <xf numFmtId="0" fontId="0" fillId="0" borderId="3" xfId="0" applyFill="1" applyBorder="1" applyAlignment="1">
      <alignment vertical="top" wrapText="1"/>
    </xf>
    <xf numFmtId="0" fontId="89" fillId="0" borderId="11" xfId="0" applyFont="1" applyFill="1" applyBorder="1" applyAlignment="1">
      <alignment vertical="top" wrapText="1"/>
    </xf>
    <xf numFmtId="0" fontId="0" fillId="0" borderId="4" xfId="0" applyFill="1" applyBorder="1" applyAlignment="1">
      <alignment vertical="top" wrapText="1"/>
    </xf>
    <xf numFmtId="0" fontId="10" fillId="0" borderId="7" xfId="0" applyFont="1" applyFill="1" applyBorder="1" applyAlignment="1">
      <alignment vertical="top" wrapText="1"/>
    </xf>
    <xf numFmtId="0" fontId="89" fillId="0" borderId="12" xfId="0" applyFont="1" applyFill="1" applyBorder="1" applyAlignment="1">
      <alignment vertical="top" wrapText="1"/>
    </xf>
    <xf numFmtId="0" fontId="99" fillId="0" borderId="0" xfId="0" applyFont="1" applyFill="1"/>
    <xf numFmtId="0" fontId="0" fillId="0" borderId="1" xfId="0" applyFill="1" applyBorder="1" applyAlignment="1">
      <alignment horizontal="left"/>
    </xf>
    <xf numFmtId="4" fontId="10" fillId="0" borderId="18" xfId="0" applyNumberFormat="1" applyFont="1" applyBorder="1" applyProtection="1">
      <protection locked="0"/>
    </xf>
    <xf numFmtId="165" fontId="4" fillId="0" borderId="18" xfId="1" applyNumberFormat="1" applyFont="1" applyFill="1" applyBorder="1" applyProtection="1">
      <protection locked="0"/>
    </xf>
    <xf numFmtId="4" fontId="10" fillId="0" borderId="18" xfId="0" applyNumberFormat="1" applyFont="1" applyFill="1" applyBorder="1" applyProtection="1">
      <protection locked="0"/>
    </xf>
    <xf numFmtId="165" fontId="10" fillId="0" borderId="18" xfId="1" applyNumberFormat="1" applyFont="1" applyBorder="1" applyProtection="1">
      <protection locked="0"/>
    </xf>
    <xf numFmtId="3" fontId="10" fillId="0" borderId="18" xfId="0" applyNumberFormat="1" applyFont="1" applyFill="1" applyBorder="1" applyProtection="1">
      <protection locked="0"/>
    </xf>
    <xf numFmtId="4" fontId="4" fillId="0" borderId="18" xfId="2" applyNumberFormat="1" applyFont="1" applyFill="1" applyBorder="1" applyProtection="1">
      <protection locked="0"/>
    </xf>
    <xf numFmtId="0" fontId="1" fillId="0" borderId="104" xfId="0" applyFont="1" applyBorder="1"/>
    <xf numFmtId="0" fontId="1" fillId="0" borderId="71" xfId="0" applyFont="1" applyBorder="1"/>
    <xf numFmtId="0" fontId="99" fillId="26" borderId="0" xfId="0" applyFont="1" applyFill="1"/>
    <xf numFmtId="0" fontId="150" fillId="4" borderId="25" xfId="0" applyFont="1" applyFill="1" applyBorder="1" applyProtection="1"/>
    <xf numFmtId="16" fontId="4" fillId="0" borderId="0" xfId="0" quotePrefix="1" applyNumberFormat="1" applyFont="1" applyProtection="1"/>
    <xf numFmtId="0" fontId="40" fillId="14" borderId="0" xfId="0" applyFont="1" applyFill="1" applyBorder="1" applyAlignment="1" applyProtection="1">
      <alignment horizontal="center"/>
    </xf>
    <xf numFmtId="0" fontId="40" fillId="14" borderId="23" xfId="0" applyFont="1" applyFill="1" applyBorder="1" applyAlignment="1" applyProtection="1">
      <alignment horizontal="center"/>
    </xf>
    <xf numFmtId="0" fontId="151" fillId="8" borderId="22" xfId="0" applyFont="1" applyFill="1" applyBorder="1" applyAlignment="1" applyProtection="1">
      <alignment horizontal="left"/>
    </xf>
    <xf numFmtId="0" fontId="0" fillId="0" borderId="1" xfId="0" applyBorder="1" applyAlignment="1">
      <alignment horizontal="right"/>
    </xf>
    <xf numFmtId="0" fontId="1" fillId="0" borderId="1" xfId="0" applyFont="1" applyFill="1" applyBorder="1" applyAlignment="1">
      <alignment horizontal="right"/>
    </xf>
    <xf numFmtId="0" fontId="0" fillId="0" borderId="17" xfId="0" applyFill="1" applyBorder="1" applyAlignment="1">
      <alignment horizontal="right"/>
    </xf>
    <xf numFmtId="0" fontId="7" fillId="0" borderId="0" xfId="0" applyFont="1" applyAlignment="1">
      <alignment horizontal="left"/>
    </xf>
    <xf numFmtId="0" fontId="1" fillId="0" borderId="0" xfId="0" applyFont="1" applyAlignment="1">
      <alignment horizontal="left" vertical="center" indent="1"/>
    </xf>
    <xf numFmtId="0" fontId="4" fillId="0" borderId="114" xfId="0" applyFont="1" applyFill="1" applyBorder="1"/>
    <xf numFmtId="0" fontId="99" fillId="0" borderId="66" xfId="0" applyFont="1" applyBorder="1" applyAlignment="1">
      <alignment horizontal="left" vertical="center" indent="1"/>
    </xf>
    <xf numFmtId="0" fontId="99" fillId="0" borderId="0" xfId="0" applyFont="1" applyBorder="1" applyAlignment="1">
      <alignment horizontal="left" vertical="center" indent="1"/>
    </xf>
    <xf numFmtId="0" fontId="115" fillId="0" borderId="114" xfId="0" applyFont="1" applyFill="1" applyBorder="1"/>
    <xf numFmtId="0" fontId="99" fillId="0" borderId="115" xfId="0" applyFont="1" applyBorder="1"/>
    <xf numFmtId="0" fontId="99" fillId="0" borderId="0" xfId="0" applyFont="1" applyBorder="1"/>
    <xf numFmtId="0" fontId="99" fillId="0" borderId="66" xfId="0" applyFont="1" applyBorder="1"/>
    <xf numFmtId="0" fontId="1" fillId="0" borderId="0" xfId="0" applyFont="1" applyAlignment="1">
      <alignment vertical="center"/>
    </xf>
    <xf numFmtId="0" fontId="115" fillId="0" borderId="0" xfId="0" applyFont="1" applyFill="1" applyBorder="1" applyAlignment="1">
      <alignment horizontal="left" indent="2"/>
    </xf>
    <xf numFmtId="0" fontId="4" fillId="0" borderId="0" xfId="0" applyFont="1" applyFill="1" applyBorder="1" applyAlignment="1">
      <alignment horizontal="left" indent="3"/>
    </xf>
    <xf numFmtId="0" fontId="152" fillId="0" borderId="0" xfId="0" applyFont="1" applyBorder="1"/>
    <xf numFmtId="0" fontId="99" fillId="0" borderId="77" xfId="0" applyFont="1" applyBorder="1" applyAlignment="1">
      <alignment vertical="center"/>
    </xf>
    <xf numFmtId="0" fontId="1" fillId="0" borderId="73" xfId="0" applyFont="1" applyFill="1" applyBorder="1" applyAlignment="1"/>
    <xf numFmtId="0" fontId="1" fillId="0" borderId="74" xfId="0" applyFont="1" applyFill="1" applyBorder="1" applyAlignment="1"/>
    <xf numFmtId="9" fontId="1" fillId="0" borderId="75" xfId="0" applyNumberFormat="1" applyFont="1" applyFill="1" applyBorder="1" applyAlignment="1"/>
    <xf numFmtId="1" fontId="117" fillId="0" borderId="0" xfId="0" applyNumberFormat="1" applyFont="1" applyFill="1" applyBorder="1" applyAlignment="1">
      <alignment horizontal="left"/>
    </xf>
    <xf numFmtId="3" fontId="115" fillId="0" borderId="58" xfId="0" applyNumberFormat="1" applyFont="1" applyFill="1" applyBorder="1"/>
    <xf numFmtId="0" fontId="114" fillId="0" borderId="113" xfId="0" applyFont="1" applyFill="1" applyBorder="1" applyAlignment="1">
      <alignment horizontal="left"/>
    </xf>
    <xf numFmtId="0" fontId="4" fillId="0" borderId="114" xfId="0" applyFont="1" applyBorder="1"/>
    <xf numFmtId="0" fontId="4" fillId="29" borderId="114" xfId="0" applyFont="1" applyFill="1" applyBorder="1"/>
    <xf numFmtId="0" fontId="4" fillId="0" borderId="115" xfId="0" applyFont="1" applyBorder="1"/>
    <xf numFmtId="0" fontId="114" fillId="0" borderId="65" xfId="0" applyFont="1" applyFill="1" applyBorder="1"/>
    <xf numFmtId="0" fontId="4" fillId="0" borderId="66" xfId="0" applyFont="1" applyBorder="1"/>
    <xf numFmtId="0" fontId="115" fillId="0" borderId="65" xfId="0" applyFont="1" applyBorder="1"/>
    <xf numFmtId="0" fontId="115" fillId="0" borderId="0" xfId="0" applyFont="1" applyBorder="1"/>
    <xf numFmtId="0" fontId="115" fillId="0" borderId="65" xfId="0" applyFont="1" applyFill="1" applyBorder="1" applyAlignment="1">
      <alignment horizontal="left"/>
    </xf>
    <xf numFmtId="0" fontId="114" fillId="0" borderId="115" xfId="0" applyFont="1" applyFill="1" applyBorder="1" applyAlignment="1">
      <alignment horizontal="right"/>
    </xf>
    <xf numFmtId="0" fontId="114" fillId="0" borderId="66" xfId="0" applyFont="1" applyFill="1" applyBorder="1" applyAlignment="1">
      <alignment horizontal="right"/>
    </xf>
    <xf numFmtId="1" fontId="115" fillId="0" borderId="66" xfId="0" applyNumberFormat="1" applyFont="1" applyFill="1" applyBorder="1" applyAlignment="1"/>
    <xf numFmtId="0" fontId="115" fillId="0" borderId="67" xfId="0" applyFont="1" applyFill="1" applyBorder="1" applyAlignment="1">
      <alignment horizontal="left"/>
    </xf>
    <xf numFmtId="0" fontId="4" fillId="0" borderId="67" xfId="0" applyFont="1" applyBorder="1"/>
    <xf numFmtId="0" fontId="4" fillId="0" borderId="68" xfId="0" applyFont="1" applyBorder="1"/>
    <xf numFmtId="0" fontId="126" fillId="0" borderId="68" xfId="0" applyFont="1" applyFill="1" applyBorder="1"/>
    <xf numFmtId="0" fontId="4" fillId="0" borderId="58" xfId="0" applyFont="1" applyBorder="1"/>
    <xf numFmtId="0" fontId="30" fillId="0" borderId="0" xfId="0" applyFont="1" applyFill="1" applyAlignment="1">
      <alignment horizontal="right"/>
    </xf>
    <xf numFmtId="0" fontId="99" fillId="0" borderId="0" xfId="0" applyFont="1" applyFill="1" applyAlignment="1">
      <alignment vertical="center"/>
    </xf>
    <xf numFmtId="0" fontId="4" fillId="0" borderId="114" xfId="0" applyFont="1" applyFill="1" applyBorder="1" applyAlignment="1">
      <alignment horizontal="left"/>
    </xf>
    <xf numFmtId="0" fontId="4" fillId="0" borderId="115" xfId="0" applyFont="1" applyFill="1" applyBorder="1"/>
    <xf numFmtId="0" fontId="126" fillId="0" borderId="0" xfId="0" applyFont="1" applyFill="1" applyAlignment="1">
      <alignment horizontal="right"/>
    </xf>
    <xf numFmtId="0" fontId="126" fillId="0" borderId="1" xfId="0" applyFont="1" applyFill="1" applyBorder="1" applyAlignment="1">
      <alignment horizontal="center"/>
    </xf>
    <xf numFmtId="3" fontId="126" fillId="0" borderId="1" xfId="0" applyNumberFormat="1" applyFont="1" applyFill="1" applyBorder="1"/>
    <xf numFmtId="0" fontId="126" fillId="0" borderId="0" xfId="0" applyFont="1" applyFill="1"/>
    <xf numFmtId="0" fontId="115" fillId="0" borderId="0" xfId="0" applyFont="1" applyFill="1" applyAlignment="1">
      <alignment horizontal="center"/>
    </xf>
    <xf numFmtId="0" fontId="40" fillId="0" borderId="114" xfId="0" applyFont="1" applyFill="1" applyBorder="1"/>
    <xf numFmtId="0" fontId="40" fillId="0" borderId="115" xfId="0" applyFont="1" applyFill="1" applyBorder="1"/>
    <xf numFmtId="0" fontId="40" fillId="0" borderId="66" xfId="0" applyFont="1" applyFill="1" applyBorder="1"/>
    <xf numFmtId="0" fontId="40" fillId="0" borderId="68" xfId="0" applyFont="1" applyFill="1" applyBorder="1"/>
    <xf numFmtId="0" fontId="40" fillId="0" borderId="58" xfId="0" applyFont="1" applyFill="1" applyBorder="1"/>
    <xf numFmtId="0" fontId="114" fillId="0" borderId="113" xfId="0" applyFont="1" applyFill="1" applyBorder="1"/>
    <xf numFmtId="0" fontId="40" fillId="0" borderId="105" xfId="0" applyFont="1" applyFill="1" applyBorder="1" applyAlignment="1">
      <alignment horizontal="left"/>
    </xf>
    <xf numFmtId="0" fontId="40" fillId="0" borderId="106" xfId="0" applyFont="1" applyFill="1" applyBorder="1"/>
    <xf numFmtId="0" fontId="40" fillId="0" borderId="107" xfId="0" applyFont="1" applyFill="1" applyBorder="1"/>
    <xf numFmtId="0" fontId="0" fillId="0" borderId="116" xfId="0" applyBorder="1"/>
    <xf numFmtId="0" fontId="0" fillId="0" borderId="36" xfId="0" applyBorder="1"/>
    <xf numFmtId="0" fontId="0" fillId="14" borderId="117" xfId="0" applyFill="1" applyBorder="1"/>
    <xf numFmtId="0" fontId="0" fillId="0" borderId="118" xfId="0" applyBorder="1"/>
    <xf numFmtId="0" fontId="0" fillId="0" borderId="57" xfId="0" applyBorder="1"/>
    <xf numFmtId="0" fontId="0" fillId="0" borderId="103" xfId="0" applyFill="1" applyBorder="1" applyAlignment="1">
      <alignment horizontal="right"/>
    </xf>
    <xf numFmtId="2" fontId="0" fillId="0" borderId="120" xfId="0" applyNumberFormat="1" applyFill="1" applyBorder="1"/>
    <xf numFmtId="0" fontId="1" fillId="0" borderId="103" xfId="0" applyFont="1" applyFill="1" applyBorder="1" applyAlignment="1">
      <alignment horizontal="right"/>
    </xf>
    <xf numFmtId="0" fontId="0" fillId="0" borderId="120" xfId="0" applyFill="1" applyBorder="1"/>
    <xf numFmtId="0" fontId="0" fillId="0" borderId="103" xfId="0" applyBorder="1" applyAlignment="1">
      <alignment horizontal="right"/>
    </xf>
    <xf numFmtId="0" fontId="0" fillId="0" borderId="120" xfId="0" applyBorder="1"/>
    <xf numFmtId="2" fontId="0" fillId="0" borderId="120" xfId="0" applyNumberFormat="1" applyBorder="1"/>
    <xf numFmtId="3" fontId="0" fillId="0" borderId="120" xfId="0" applyNumberFormat="1" applyBorder="1"/>
    <xf numFmtId="3" fontId="0" fillId="0" borderId="51" xfId="0" applyNumberFormat="1" applyBorder="1"/>
    <xf numFmtId="0" fontId="101" fillId="0" borderId="0" xfId="0" applyFont="1" applyAlignment="1">
      <alignment vertical="center"/>
    </xf>
    <xf numFmtId="0" fontId="154" fillId="0" borderId="73" xfId="0" applyFont="1" applyFill="1" applyBorder="1"/>
    <xf numFmtId="0" fontId="154" fillId="0" borderId="74" xfId="0" applyFont="1" applyFill="1" applyBorder="1"/>
    <xf numFmtId="0" fontId="154" fillId="14" borderId="75" xfId="0" applyFont="1" applyFill="1" applyBorder="1" applyAlignment="1">
      <alignment horizontal="right"/>
    </xf>
    <xf numFmtId="2" fontId="141" fillId="0" borderId="0" xfId="0" applyNumberFormat="1" applyFont="1" applyFill="1" applyBorder="1"/>
    <xf numFmtId="2" fontId="141" fillId="0" borderId="0" xfId="0" applyNumberFormat="1" applyFont="1" applyFill="1" applyBorder="1" applyAlignment="1">
      <alignment horizontal="left"/>
    </xf>
    <xf numFmtId="0" fontId="141" fillId="0" borderId="0" xfId="0" applyFont="1" applyFill="1" applyBorder="1" applyAlignment="1">
      <alignment horizontal="left"/>
    </xf>
    <xf numFmtId="1" fontId="141" fillId="0" borderId="0" xfId="0" applyNumberFormat="1" applyFont="1" applyFill="1" applyBorder="1" applyAlignment="1">
      <alignment horizontal="left"/>
    </xf>
    <xf numFmtId="0" fontId="141" fillId="0" borderId="0" xfId="0" applyFont="1" applyFill="1" applyBorder="1"/>
    <xf numFmtId="2" fontId="8" fillId="0" borderId="0" xfId="0" applyNumberFormat="1" applyFont="1" applyFill="1"/>
    <xf numFmtId="2" fontId="8" fillId="0" borderId="44" xfId="0" applyNumberFormat="1" applyFont="1" applyFill="1" applyBorder="1"/>
    <xf numFmtId="3" fontId="8" fillId="0" borderId="0" xfId="0" applyNumberFormat="1" applyFont="1" applyFill="1" applyBorder="1"/>
    <xf numFmtId="1" fontId="92" fillId="0" borderId="0" xfId="0" applyNumberFormat="1" applyFont="1" applyFill="1"/>
    <xf numFmtId="0" fontId="115" fillId="0" borderId="115" xfId="0" applyFont="1" applyFill="1" applyBorder="1"/>
    <xf numFmtId="0" fontId="115" fillId="0" borderId="63" xfId="0" applyFont="1" applyFill="1" applyBorder="1"/>
    <xf numFmtId="0" fontId="115" fillId="0" borderId="65" xfId="0" applyFont="1" applyFill="1" applyBorder="1" applyAlignment="1">
      <alignment horizontal="left" indent="1"/>
    </xf>
    <xf numFmtId="3" fontId="115" fillId="0" borderId="65" xfId="0" applyNumberFormat="1" applyFont="1" applyFill="1" applyBorder="1"/>
    <xf numFmtId="0" fontId="4" fillId="0" borderId="68" xfId="0" applyFont="1" applyFill="1" applyBorder="1" applyAlignment="1">
      <alignment horizontal="right"/>
    </xf>
    <xf numFmtId="0" fontId="4" fillId="0" borderId="113" xfId="0" applyFont="1" applyFill="1" applyBorder="1"/>
    <xf numFmtId="0" fontId="7" fillId="0" borderId="0" xfId="0" applyFont="1" applyBorder="1"/>
    <xf numFmtId="0" fontId="0" fillId="0" borderId="119" xfId="0" applyBorder="1"/>
    <xf numFmtId="0" fontId="89" fillId="0" borderId="103" xfId="0" applyFont="1" applyFill="1" applyBorder="1" applyAlignment="1">
      <alignment vertical="top" wrapText="1"/>
    </xf>
    <xf numFmtId="0" fontId="0" fillId="0" borderId="103" xfId="0" applyBorder="1"/>
    <xf numFmtId="0" fontId="1" fillId="0" borderId="119" xfId="0" applyFont="1" applyBorder="1"/>
    <xf numFmtId="0" fontId="1" fillId="0" borderId="49" xfId="0" applyFont="1" applyBorder="1"/>
    <xf numFmtId="0" fontId="0" fillId="0" borderId="50" xfId="0" applyBorder="1"/>
    <xf numFmtId="0" fontId="1" fillId="0" borderId="103" xfId="0" applyFont="1" applyBorder="1"/>
    <xf numFmtId="0" fontId="0" fillId="0" borderId="103" xfId="0" applyBorder="1" applyAlignment="1">
      <alignment horizontal="left"/>
    </xf>
    <xf numFmtId="0" fontId="0" fillId="0" borderId="50" xfId="0" applyBorder="1" applyAlignment="1">
      <alignment horizontal="left"/>
    </xf>
    <xf numFmtId="0" fontId="99" fillId="0" borderId="71" xfId="0" applyFont="1" applyBorder="1"/>
    <xf numFmtId="0" fontId="99" fillId="0" borderId="72" xfId="0" applyFont="1" applyBorder="1"/>
    <xf numFmtId="0" fontId="99" fillId="0" borderId="103" xfId="0" applyFont="1" applyBorder="1"/>
    <xf numFmtId="0" fontId="8" fillId="0" borderId="0" xfId="0" applyFont="1" applyFill="1" applyAlignment="1">
      <alignment horizontal="center"/>
    </xf>
    <xf numFmtId="0" fontId="114" fillId="0" borderId="62" xfId="0" applyFont="1" applyFill="1" applyBorder="1"/>
    <xf numFmtId="0" fontId="155" fillId="0" borderId="0" xfId="0" applyFont="1" applyFill="1" applyAlignment="1">
      <alignment horizontal="left"/>
    </xf>
    <xf numFmtId="0" fontId="0" fillId="14" borderId="121" xfId="0" applyFill="1" applyBorder="1"/>
    <xf numFmtId="0" fontId="4" fillId="4" borderId="122" xfId="0" applyFont="1" applyFill="1" applyBorder="1" applyProtection="1"/>
    <xf numFmtId="0" fontId="4" fillId="4" borderId="123" xfId="0" applyFont="1" applyFill="1" applyBorder="1" applyProtection="1"/>
    <xf numFmtId="0" fontId="4" fillId="4" borderId="124" xfId="0" applyFont="1" applyFill="1" applyBorder="1" applyProtection="1"/>
    <xf numFmtId="0" fontId="7" fillId="0" borderId="0" xfId="0" applyFont="1" applyFill="1" applyBorder="1" applyAlignment="1">
      <alignment horizontal="left"/>
    </xf>
    <xf numFmtId="0" fontId="58" fillId="5" borderId="0" xfId="0" applyFont="1" applyFill="1" applyBorder="1" applyAlignment="1" applyProtection="1">
      <alignment horizontal="center"/>
    </xf>
    <xf numFmtId="0" fontId="39" fillId="0" borderId="0" xfId="3" applyAlignment="1" applyProtection="1"/>
    <xf numFmtId="0" fontId="4" fillId="0" borderId="103" xfId="0" applyFont="1" applyBorder="1"/>
    <xf numFmtId="0" fontId="4" fillId="0" borderId="71" xfId="0" applyFont="1" applyBorder="1"/>
    <xf numFmtId="0" fontId="4" fillId="0" borderId="72" xfId="0" applyFont="1" applyBorder="1"/>
    <xf numFmtId="0" fontId="4" fillId="0" borderId="65" xfId="0" applyFont="1" applyBorder="1"/>
    <xf numFmtId="0" fontId="4" fillId="0" borderId="105" xfId="0" applyFont="1" applyBorder="1"/>
    <xf numFmtId="0" fontId="4" fillId="0" borderId="106" xfId="0" applyFont="1" applyBorder="1"/>
    <xf numFmtId="0" fontId="4" fillId="0" borderId="107" xfId="0" applyFont="1" applyBorder="1"/>
    <xf numFmtId="0" fontId="4" fillId="16" borderId="0" xfId="0" applyFont="1" applyFill="1"/>
    <xf numFmtId="0" fontId="8" fillId="16" borderId="0" xfId="0" applyFont="1" applyFill="1" applyProtection="1">
      <protection locked="0"/>
    </xf>
    <xf numFmtId="0" fontId="4" fillId="5" borderId="125" xfId="0" applyFont="1" applyFill="1" applyBorder="1"/>
    <xf numFmtId="0" fontId="4" fillId="5" borderId="126" xfId="0" applyFont="1" applyFill="1" applyBorder="1"/>
    <xf numFmtId="0" fontId="4" fillId="5" borderId="127" xfId="0" applyFont="1" applyFill="1" applyBorder="1"/>
    <xf numFmtId="0" fontId="4" fillId="5" borderId="122" xfId="0" applyFont="1" applyFill="1" applyBorder="1"/>
    <xf numFmtId="0" fontId="4" fillId="5" borderId="128" xfId="0" applyFont="1" applyFill="1" applyBorder="1"/>
    <xf numFmtId="0" fontId="4" fillId="16" borderId="122" xfId="0" applyFont="1" applyFill="1" applyBorder="1"/>
    <xf numFmtId="0" fontId="4" fillId="16" borderId="0" xfId="0" applyFont="1" applyFill="1" applyBorder="1"/>
    <xf numFmtId="0" fontId="4" fillId="16" borderId="128" xfId="0" applyFont="1" applyFill="1" applyBorder="1"/>
    <xf numFmtId="1" fontId="4" fillId="0" borderId="103" xfId="0" applyNumberFormat="1" applyFont="1" applyBorder="1" applyProtection="1">
      <protection locked="0"/>
    </xf>
    <xf numFmtId="0" fontId="4" fillId="16" borderId="123" xfId="0" applyFont="1" applyFill="1" applyBorder="1"/>
    <xf numFmtId="0" fontId="4" fillId="16" borderId="124" xfId="0" applyFont="1" applyFill="1" applyBorder="1"/>
    <xf numFmtId="0" fontId="4" fillId="16" borderId="129" xfId="0" applyFont="1" applyFill="1" applyBorder="1"/>
    <xf numFmtId="0" fontId="1" fillId="0" borderId="1" xfId="0" applyFont="1" applyFill="1" applyBorder="1" applyAlignment="1">
      <alignment horizontal="left"/>
    </xf>
    <xf numFmtId="0" fontId="1" fillId="0" borderId="120" xfId="0" applyFont="1" applyFill="1" applyBorder="1"/>
    <xf numFmtId="3" fontId="115" fillId="0" borderId="77" xfId="0" applyNumberFormat="1" applyFont="1" applyFill="1" applyBorder="1"/>
    <xf numFmtId="0" fontId="75" fillId="0" borderId="72" xfId="0" applyFont="1" applyFill="1" applyBorder="1" applyAlignment="1">
      <alignment horizontal="left"/>
    </xf>
    <xf numFmtId="0" fontId="8" fillId="0" borderId="1" xfId="0" applyFont="1" applyBorder="1" applyProtection="1">
      <protection locked="0"/>
    </xf>
    <xf numFmtId="0" fontId="8" fillId="0" borderId="1" xfId="0" applyFont="1" applyBorder="1" applyAlignment="1" applyProtection="1">
      <alignment horizontal="center"/>
      <protection locked="0"/>
    </xf>
    <xf numFmtId="0" fontId="4" fillId="10" borderId="0" xfId="0" applyFont="1" applyFill="1" applyBorder="1" applyAlignment="1">
      <alignment horizontal="center"/>
    </xf>
    <xf numFmtId="0" fontId="75" fillId="0" borderId="45" xfId="0" applyFont="1" applyFill="1" applyBorder="1" applyAlignment="1">
      <alignment horizontal="center"/>
    </xf>
    <xf numFmtId="0" fontId="75" fillId="0" borderId="77" xfId="0" applyFont="1" applyFill="1" applyBorder="1" applyAlignment="1">
      <alignment horizontal="center"/>
    </xf>
    <xf numFmtId="43" fontId="8" fillId="0" borderId="77" xfId="1" applyFont="1" applyBorder="1" applyAlignment="1" applyProtection="1">
      <protection locked="0"/>
    </xf>
    <xf numFmtId="1" fontId="8" fillId="15" borderId="48" xfId="0" applyNumberFormat="1" applyFont="1" applyFill="1" applyBorder="1" applyAlignment="1" applyProtection="1">
      <alignment horizontal="right"/>
      <protection locked="0"/>
    </xf>
    <xf numFmtId="2" fontId="8" fillId="15" borderId="48" xfId="0" applyNumberFormat="1" applyFont="1" applyFill="1" applyBorder="1" applyAlignment="1" applyProtection="1">
      <alignment horizontal="right"/>
      <protection locked="0"/>
    </xf>
    <xf numFmtId="0" fontId="8" fillId="0" borderId="77" xfId="0" applyFont="1" applyBorder="1" applyAlignment="1" applyProtection="1">
      <alignment horizontal="right"/>
      <protection locked="0"/>
    </xf>
    <xf numFmtId="0" fontId="8" fillId="15" borderId="48" xfId="0" applyFont="1" applyFill="1" applyBorder="1" applyAlignment="1" applyProtection="1">
      <alignment horizontal="center"/>
      <protection locked="0"/>
    </xf>
    <xf numFmtId="0" fontId="75" fillId="0" borderId="49" xfId="0" applyFont="1" applyFill="1" applyBorder="1" applyAlignment="1">
      <alignment horizontal="center"/>
    </xf>
    <xf numFmtId="0" fontId="75" fillId="0" borderId="50" xfId="0" applyFont="1" applyFill="1" applyBorder="1" applyAlignment="1">
      <alignment horizontal="center"/>
    </xf>
    <xf numFmtId="0" fontId="75" fillId="0" borderId="103" xfId="0" applyFont="1" applyFill="1" applyBorder="1" applyAlignment="1"/>
    <xf numFmtId="0" fontId="8" fillId="0" borderId="103" xfId="0" applyFont="1" applyBorder="1" applyProtection="1">
      <protection locked="0"/>
    </xf>
    <xf numFmtId="0" fontId="8" fillId="0" borderId="48" xfId="0" applyFont="1" applyBorder="1" applyProtection="1">
      <protection locked="0"/>
    </xf>
    <xf numFmtId="0" fontId="75" fillId="0" borderId="50" xfId="0" applyFont="1" applyFill="1" applyBorder="1" applyAlignment="1"/>
    <xf numFmtId="4" fontId="8" fillId="10" borderId="50" xfId="0" applyNumberFormat="1" applyFont="1" applyFill="1" applyBorder="1" applyProtection="1"/>
    <xf numFmtId="1" fontId="8" fillId="18" borderId="103" xfId="0" applyNumberFormat="1" applyFont="1" applyFill="1" applyBorder="1" applyAlignment="1" applyProtection="1">
      <alignment horizontal="center"/>
    </xf>
    <xf numFmtId="1" fontId="8" fillId="0" borderId="50" xfId="0" applyNumberFormat="1" applyFont="1" applyBorder="1" applyProtection="1">
      <protection locked="0"/>
    </xf>
    <xf numFmtId="0" fontId="8" fillId="0" borderId="1" xfId="0" applyFont="1" applyFill="1" applyBorder="1" applyAlignment="1" applyProtection="1">
      <alignment horizontal="center"/>
      <protection locked="0"/>
    </xf>
    <xf numFmtId="2" fontId="8" fillId="0" borderId="1" xfId="0" applyNumberFormat="1" applyFont="1" applyBorder="1" applyProtection="1">
      <protection locked="0"/>
    </xf>
    <xf numFmtId="2" fontId="8" fillId="10" borderId="1" xfId="0" applyNumberFormat="1" applyFont="1" applyFill="1" applyBorder="1"/>
    <xf numFmtId="0" fontId="8" fillId="0" borderId="103" xfId="0" applyFont="1" applyFill="1" applyBorder="1" applyAlignment="1">
      <alignment horizontal="center"/>
    </xf>
    <xf numFmtId="0" fontId="100" fillId="0" borderId="45" xfId="0" applyFont="1" applyFill="1" applyBorder="1"/>
    <xf numFmtId="43" fontId="8" fillId="0" borderId="1" xfId="1" applyFont="1" applyBorder="1" applyProtection="1">
      <protection locked="0"/>
    </xf>
    <xf numFmtId="43" fontId="8" fillId="0" borderId="48" xfId="1" applyFont="1" applyBorder="1" applyProtection="1">
      <protection locked="0"/>
    </xf>
    <xf numFmtId="43" fontId="8" fillId="0" borderId="1" xfId="1" applyFont="1" applyFill="1" applyBorder="1" applyProtection="1">
      <protection locked="0"/>
    </xf>
    <xf numFmtId="0" fontId="100" fillId="0" borderId="49" xfId="0" applyFont="1" applyFill="1" applyBorder="1"/>
    <xf numFmtId="1" fontId="8" fillId="0" borderId="1" xfId="0" applyNumberFormat="1" applyFont="1" applyBorder="1" applyProtection="1">
      <protection locked="0"/>
    </xf>
    <xf numFmtId="1" fontId="8" fillId="0" borderId="93" xfId="0" applyNumberFormat="1" applyFont="1" applyBorder="1" applyProtection="1">
      <protection locked="0"/>
    </xf>
    <xf numFmtId="0" fontId="8" fillId="0" borderId="93" xfId="0" applyFont="1" applyBorder="1" applyProtection="1">
      <protection locked="0"/>
    </xf>
    <xf numFmtId="2" fontId="8" fillId="10" borderId="48" xfId="0" applyNumberFormat="1" applyFont="1" applyFill="1" applyBorder="1"/>
    <xf numFmtId="1" fontId="8" fillId="0" borderId="83" xfId="0" applyNumberFormat="1" applyFont="1" applyBorder="1" applyProtection="1">
      <protection locked="0"/>
    </xf>
    <xf numFmtId="169" fontId="8" fillId="0" borderId="1" xfId="1" applyNumberFormat="1" applyFont="1" applyBorder="1" applyProtection="1">
      <protection locked="0"/>
    </xf>
    <xf numFmtId="169" fontId="8" fillId="0" borderId="17" xfId="1" applyNumberFormat="1" applyFont="1" applyBorder="1" applyProtection="1">
      <protection locked="0"/>
    </xf>
    <xf numFmtId="169" fontId="8" fillId="0" borderId="16" xfId="1" applyNumberFormat="1" applyFont="1" applyBorder="1" applyProtection="1">
      <protection locked="0"/>
    </xf>
    <xf numFmtId="169" fontId="8" fillId="0" borderId="1" xfId="1" applyNumberFormat="1" applyFont="1" applyBorder="1" applyAlignment="1" applyProtection="1">
      <alignment horizontal="center"/>
      <protection locked="0"/>
    </xf>
    <xf numFmtId="0" fontId="8" fillId="0" borderId="77" xfId="0" applyFont="1" applyFill="1" applyBorder="1" applyProtection="1">
      <protection locked="0"/>
    </xf>
    <xf numFmtId="0" fontId="100" fillId="0" borderId="110" xfId="0" applyFont="1" applyFill="1" applyBorder="1"/>
    <xf numFmtId="43" fontId="8" fillId="10" borderId="77" xfId="1" applyFont="1" applyFill="1" applyBorder="1" applyProtection="1"/>
    <xf numFmtId="2" fontId="8" fillId="0" borderId="77" xfId="0" applyNumberFormat="1" applyFont="1" applyFill="1" applyBorder="1" applyProtection="1"/>
    <xf numFmtId="2" fontId="8" fillId="10" borderId="77" xfId="0" applyNumberFormat="1" applyFont="1" applyFill="1" applyBorder="1" applyProtection="1"/>
    <xf numFmtId="2" fontId="8" fillId="10" borderId="48" xfId="0" applyNumberFormat="1" applyFont="1" applyFill="1" applyBorder="1" applyProtection="1"/>
    <xf numFmtId="43" fontId="8" fillId="0" borderId="50" xfId="1" applyFont="1" applyFill="1" applyBorder="1" applyProtection="1"/>
    <xf numFmtId="2" fontId="8" fillId="0" borderId="50" xfId="0" applyNumberFormat="1" applyFont="1" applyFill="1" applyBorder="1" applyProtection="1"/>
    <xf numFmtId="2" fontId="8" fillId="0" borderId="51" xfId="0" applyNumberFormat="1" applyFont="1" applyFill="1" applyBorder="1" applyProtection="1"/>
    <xf numFmtId="43" fontId="8" fillId="0" borderId="103" xfId="1" applyFont="1" applyBorder="1" applyProtection="1">
      <protection locked="0"/>
    </xf>
    <xf numFmtId="0" fontId="8" fillId="0" borderId="103" xfId="0" applyFont="1" applyBorder="1" applyAlignment="1" applyProtection="1">
      <alignment horizontal="center"/>
      <protection locked="0"/>
    </xf>
    <xf numFmtId="2" fontId="8" fillId="0" borderId="103" xfId="0" applyNumberFormat="1" applyFont="1" applyBorder="1" applyProtection="1">
      <protection locked="0"/>
    </xf>
    <xf numFmtId="2" fontId="8" fillId="0" borderId="48" xfId="0" applyNumberFormat="1" applyFont="1" applyBorder="1" applyProtection="1">
      <protection locked="0"/>
    </xf>
    <xf numFmtId="2" fontId="8" fillId="10" borderId="103" xfId="0" applyNumberFormat="1" applyFont="1" applyFill="1" applyBorder="1"/>
    <xf numFmtId="2" fontId="8" fillId="0" borderId="50" xfId="0" applyNumberFormat="1" applyFont="1" applyBorder="1" applyProtection="1">
      <protection locked="0"/>
    </xf>
    <xf numFmtId="2" fontId="8" fillId="0" borderId="51" xfId="0" applyNumberFormat="1" applyFont="1" applyBorder="1" applyProtection="1">
      <protection locked="0"/>
    </xf>
    <xf numFmtId="2" fontId="8" fillId="0" borderId="4" xfId="0" applyNumberFormat="1" applyFont="1" applyBorder="1" applyProtection="1">
      <protection locked="0"/>
    </xf>
    <xf numFmtId="43" fontId="8" fillId="0" borderId="4" xfId="1" applyFont="1" applyBorder="1" applyProtection="1">
      <protection locked="0"/>
    </xf>
    <xf numFmtId="4" fontId="8" fillId="0" borderId="50" xfId="0" applyNumberFormat="1" applyFont="1" applyBorder="1" applyProtection="1">
      <protection locked="0"/>
    </xf>
    <xf numFmtId="4" fontId="8" fillId="0" borderId="51" xfId="0" applyNumberFormat="1" applyFont="1" applyBorder="1" applyProtection="1">
      <protection locked="0"/>
    </xf>
    <xf numFmtId="0" fontId="8" fillId="0" borderId="105" xfId="0" applyFont="1" applyBorder="1" applyAlignment="1" applyProtection="1">
      <protection locked="0"/>
    </xf>
    <xf numFmtId="0" fontId="8" fillId="3" borderId="105" xfId="0" applyFont="1" applyFill="1" applyBorder="1" applyAlignment="1" applyProtection="1">
      <protection locked="0"/>
    </xf>
    <xf numFmtId="0" fontId="8" fillId="3" borderId="48" xfId="0" applyFont="1" applyFill="1" applyBorder="1" applyAlignment="1" applyProtection="1">
      <protection locked="0"/>
    </xf>
    <xf numFmtId="0" fontId="8" fillId="0" borderId="83" xfId="0" applyFont="1" applyBorder="1" applyAlignment="1" applyProtection="1">
      <protection locked="0"/>
    </xf>
    <xf numFmtId="0" fontId="8" fillId="3" borderId="83" xfId="0" applyFont="1" applyFill="1" applyBorder="1" applyAlignment="1" applyProtection="1">
      <protection locked="0"/>
    </xf>
    <xf numFmtId="0" fontId="8" fillId="3" borderId="51" xfId="0" applyFont="1" applyFill="1" applyBorder="1" applyAlignment="1" applyProtection="1">
      <protection locked="0"/>
    </xf>
    <xf numFmtId="43" fontId="8" fillId="0" borderId="103" xfId="1" applyFont="1" applyBorder="1" applyAlignment="1" applyProtection="1">
      <protection locked="0"/>
    </xf>
    <xf numFmtId="43" fontId="8" fillId="0" borderId="105" xfId="1" applyFont="1" applyBorder="1" applyAlignment="1" applyProtection="1">
      <protection locked="0"/>
    </xf>
    <xf numFmtId="43" fontId="8" fillId="10" borderId="103" xfId="1" applyFont="1" applyFill="1" applyBorder="1" applyAlignment="1"/>
    <xf numFmtId="43" fontId="8" fillId="0" borderId="73" xfId="1" applyFont="1" applyBorder="1" applyAlignment="1" applyProtection="1">
      <protection locked="0"/>
    </xf>
    <xf numFmtId="43" fontId="8" fillId="0" borderId="48" xfId="1" applyFont="1" applyBorder="1" applyAlignment="1" applyProtection="1">
      <protection locked="0"/>
    </xf>
    <xf numFmtId="43" fontId="8" fillId="0" borderId="83" xfId="1" applyFont="1" applyBorder="1" applyAlignment="1" applyProtection="1">
      <protection locked="0"/>
    </xf>
    <xf numFmtId="43" fontId="8" fillId="0" borderId="50" xfId="1" applyFont="1" applyBorder="1" applyAlignment="1" applyProtection="1">
      <protection locked="0"/>
    </xf>
    <xf numFmtId="43" fontId="8" fillId="0" borderId="51" xfId="1" applyFont="1" applyBorder="1" applyAlignment="1" applyProtection="1">
      <protection locked="0"/>
    </xf>
    <xf numFmtId="174" fontId="8" fillId="10" borderId="103" xfId="0" applyNumberFormat="1" applyFont="1" applyFill="1" applyBorder="1" applyAlignment="1" applyProtection="1">
      <alignment horizontal="center"/>
      <protection locked="0"/>
    </xf>
    <xf numFmtId="0" fontId="8" fillId="10" borderId="0" xfId="0" applyFont="1" applyFill="1" applyBorder="1" applyAlignment="1" applyProtection="1">
      <alignment horizontal="center"/>
      <protection locked="0"/>
    </xf>
    <xf numFmtId="174" fontId="8" fillId="10" borderId="48" xfId="0" applyNumberFormat="1" applyFont="1" applyFill="1" applyBorder="1" applyAlignment="1" applyProtection="1">
      <alignment horizontal="center"/>
      <protection locked="0"/>
    </xf>
    <xf numFmtId="174" fontId="8" fillId="10" borderId="103" xfId="0" applyNumberFormat="1" applyFont="1" applyFill="1" applyBorder="1" applyAlignment="1">
      <alignment horizontal="center"/>
    </xf>
    <xf numFmtId="174" fontId="8" fillId="10" borderId="48" xfId="0" applyNumberFormat="1" applyFont="1" applyFill="1" applyBorder="1" applyAlignment="1">
      <alignment horizontal="center"/>
    </xf>
    <xf numFmtId="2" fontId="8" fillId="0" borderId="103" xfId="0" applyNumberFormat="1" applyFont="1" applyBorder="1" applyAlignment="1" applyProtection="1">
      <alignment horizontal="center"/>
      <protection locked="0"/>
    </xf>
    <xf numFmtId="174" fontId="8" fillId="0" borderId="103" xfId="0" applyNumberFormat="1" applyFont="1" applyBorder="1" applyAlignment="1" applyProtection="1">
      <alignment horizontal="center"/>
      <protection locked="0"/>
    </xf>
    <xf numFmtId="2" fontId="8" fillId="0" borderId="48" xfId="0" applyNumberFormat="1" applyFont="1" applyBorder="1" applyAlignment="1" applyProtection="1">
      <alignment horizontal="center"/>
      <protection locked="0"/>
    </xf>
    <xf numFmtId="0" fontId="4" fillId="10" borderId="87" xfId="0" applyFont="1" applyFill="1" applyBorder="1" applyAlignment="1" applyProtection="1">
      <alignment horizontal="center"/>
    </xf>
    <xf numFmtId="0" fontId="40" fillId="0" borderId="52" xfId="0" applyFont="1" applyFill="1" applyBorder="1"/>
    <xf numFmtId="0" fontId="40" fillId="0" borderId="46" xfId="0" applyFont="1" applyFill="1" applyBorder="1"/>
    <xf numFmtId="0" fontId="75" fillId="0" borderId="110" xfId="0" applyFont="1" applyFill="1" applyBorder="1" applyAlignment="1">
      <alignment horizontal="center"/>
    </xf>
    <xf numFmtId="0" fontId="8" fillId="0" borderId="77" xfId="0" applyFont="1" applyBorder="1" applyProtection="1">
      <protection locked="0"/>
    </xf>
    <xf numFmtId="0" fontId="70" fillId="0" borderId="110" xfId="0" applyFont="1" applyFill="1" applyBorder="1" applyAlignment="1">
      <alignment horizontal="center"/>
    </xf>
    <xf numFmtId="0" fontId="4" fillId="0" borderId="48" xfId="0" applyFont="1" applyBorder="1" applyProtection="1">
      <protection locked="0"/>
    </xf>
    <xf numFmtId="0" fontId="70" fillId="0" borderId="42" xfId="0" applyFont="1" applyFill="1" applyBorder="1" applyAlignment="1">
      <alignment horizontal="left"/>
    </xf>
    <xf numFmtId="0" fontId="4" fillId="0" borderId="77" xfId="0" applyNumberFormat="1" applyFont="1" applyBorder="1" applyAlignment="1" applyProtection="1">
      <alignment horizontal="center"/>
      <protection locked="0"/>
    </xf>
    <xf numFmtId="0" fontId="40" fillId="0" borderId="50" xfId="0" applyNumberFormat="1" applyFont="1" applyBorder="1" applyAlignment="1" applyProtection="1">
      <alignment horizontal="right"/>
      <protection locked="0"/>
    </xf>
    <xf numFmtId="0" fontId="40" fillId="4" borderId="52" xfId="0" applyFont="1" applyFill="1" applyBorder="1" applyAlignment="1">
      <alignment horizontal="center"/>
    </xf>
    <xf numFmtId="0" fontId="40" fillId="4" borderId="46" xfId="0" applyFont="1" applyFill="1" applyBorder="1" applyAlignment="1">
      <alignment horizontal="center"/>
    </xf>
    <xf numFmtId="0" fontId="40" fillId="0" borderId="77" xfId="0" applyFont="1" applyBorder="1" applyProtection="1">
      <protection locked="0"/>
    </xf>
    <xf numFmtId="175" fontId="40" fillId="0" borderId="77" xfId="0" applyNumberFormat="1" applyFont="1" applyBorder="1" applyAlignment="1" applyProtection="1">
      <alignment horizontal="center"/>
      <protection locked="0"/>
    </xf>
    <xf numFmtId="175" fontId="40" fillId="0" borderId="77" xfId="0" applyNumberFormat="1" applyFont="1" applyBorder="1" applyProtection="1">
      <protection locked="0"/>
    </xf>
    <xf numFmtId="175" fontId="4" fillId="0" borderId="77" xfId="0" applyNumberFormat="1" applyFont="1" applyFill="1" applyBorder="1" applyAlignment="1" applyProtection="1">
      <alignment horizontal="center"/>
      <protection locked="0"/>
    </xf>
    <xf numFmtId="175" fontId="40" fillId="0" borderId="77" xfId="0" applyNumberFormat="1" applyFont="1" applyFill="1" applyBorder="1" applyProtection="1">
      <protection locked="0"/>
    </xf>
    <xf numFmtId="175" fontId="40" fillId="10" borderId="77" xfId="0" applyNumberFormat="1" applyFont="1" applyFill="1" applyBorder="1" applyAlignment="1" applyProtection="1">
      <alignment horizontal="center"/>
    </xf>
    <xf numFmtId="175" fontId="4" fillId="18" borderId="77" xfId="0" applyNumberFormat="1" applyFont="1" applyFill="1" applyBorder="1" applyAlignment="1" applyProtection="1">
      <alignment horizontal="center"/>
    </xf>
    <xf numFmtId="175" fontId="8" fillId="10" borderId="77" xfId="0" applyNumberFormat="1" applyFont="1" applyFill="1" applyBorder="1" applyAlignment="1" applyProtection="1">
      <alignment horizontal="center"/>
    </xf>
    <xf numFmtId="175" fontId="40" fillId="0" borderId="77" xfId="0" applyNumberFormat="1" applyFont="1" applyFill="1" applyBorder="1" applyAlignment="1" applyProtection="1">
      <alignment horizontal="center"/>
      <protection locked="0"/>
    </xf>
    <xf numFmtId="0" fontId="108" fillId="0" borderId="45" xfId="0" applyFont="1" applyFill="1" applyBorder="1" applyAlignment="1">
      <alignment horizontal="center"/>
    </xf>
    <xf numFmtId="175" fontId="4" fillId="0" borderId="77" xfId="0" applyNumberFormat="1" applyFont="1" applyBorder="1" applyAlignment="1" applyProtection="1">
      <alignment horizontal="center"/>
      <protection locked="0"/>
    </xf>
    <xf numFmtId="175" fontId="4" fillId="0" borderId="77" xfId="0" applyNumberFormat="1" applyFont="1" applyFill="1" applyBorder="1" applyProtection="1">
      <protection locked="0"/>
    </xf>
    <xf numFmtId="175" fontId="4" fillId="0" borderId="77" xfId="0" applyNumberFormat="1" applyFont="1" applyBorder="1" applyProtection="1">
      <protection locked="0"/>
    </xf>
    <xf numFmtId="175" fontId="4" fillId="10" borderId="77" xfId="0" applyNumberFormat="1" applyFont="1" applyFill="1" applyBorder="1" applyAlignment="1" applyProtection="1">
      <alignment horizontal="center"/>
    </xf>
    <xf numFmtId="175" fontId="40" fillId="0" borderId="77" xfId="0" applyNumberFormat="1" applyFont="1" applyBorder="1" applyAlignment="1">
      <alignment horizontal="center"/>
    </xf>
    <xf numFmtId="175" fontId="40" fillId="0" borderId="77" xfId="0" applyNumberFormat="1" applyFont="1" applyBorder="1"/>
    <xf numFmtId="0" fontId="40" fillId="0" borderId="77" xfId="0" applyFont="1" applyFill="1" applyBorder="1" applyProtection="1">
      <protection locked="0"/>
    </xf>
    <xf numFmtId="2" fontId="8" fillId="0" borderId="77" xfId="0" applyNumberFormat="1" applyFont="1" applyBorder="1" applyProtection="1">
      <protection locked="0"/>
    </xf>
    <xf numFmtId="2" fontId="40" fillId="10" borderId="77" xfId="0" applyNumberFormat="1" applyFont="1" applyFill="1" applyBorder="1"/>
    <xf numFmtId="2" fontId="8" fillId="10" borderId="77" xfId="0" applyNumberFormat="1" applyFont="1" applyFill="1" applyBorder="1"/>
    <xf numFmtId="3" fontId="4" fillId="0" borderId="77" xfId="0" applyNumberFormat="1" applyFont="1" applyFill="1" applyBorder="1" applyAlignment="1" applyProtection="1">
      <alignment horizontal="center"/>
      <protection locked="0"/>
    </xf>
    <xf numFmtId="0" fontId="4" fillId="0" borderId="77" xfId="0" applyFont="1" applyFill="1" applyBorder="1" applyAlignment="1">
      <alignment horizontal="center"/>
    </xf>
    <xf numFmtId="0" fontId="4" fillId="0" borderId="50" xfId="0" applyFont="1" applyBorder="1"/>
    <xf numFmtId="0" fontId="8" fillId="10" borderId="48"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175" fontId="4" fillId="0" borderId="48" xfId="0" applyNumberFormat="1" applyFont="1" applyFill="1" applyBorder="1" applyAlignment="1" applyProtection="1">
      <alignment horizontal="center"/>
      <protection locked="0"/>
    </xf>
    <xf numFmtId="175" fontId="40" fillId="0" borderId="48" xfId="0" applyNumberFormat="1" applyFont="1" applyFill="1" applyBorder="1" applyProtection="1">
      <protection locked="0"/>
    </xf>
    <xf numFmtId="175" fontId="40" fillId="10" borderId="48" xfId="0" applyNumberFormat="1" applyFont="1" applyFill="1" applyBorder="1" applyAlignment="1" applyProtection="1">
      <alignment horizontal="center"/>
    </xf>
    <xf numFmtId="175" fontId="8" fillId="10" borderId="48" xfId="0" applyNumberFormat="1" applyFont="1" applyFill="1" applyBorder="1" applyAlignment="1" applyProtection="1">
      <alignment horizontal="center"/>
    </xf>
    <xf numFmtId="175" fontId="4" fillId="0" borderId="48" xfId="0" applyNumberFormat="1" applyFont="1" applyBorder="1" applyAlignment="1" applyProtection="1">
      <alignment horizontal="center"/>
      <protection locked="0"/>
    </xf>
    <xf numFmtId="175" fontId="4" fillId="10" borderId="48" xfId="0" applyNumberFormat="1" applyFont="1" applyFill="1" applyBorder="1" applyAlignment="1" applyProtection="1">
      <alignment horizontal="center"/>
    </xf>
    <xf numFmtId="175" fontId="4" fillId="0" borderId="48" xfId="0" applyNumberFormat="1" applyFont="1" applyFill="1" applyBorder="1" applyProtection="1">
      <protection locked="0"/>
    </xf>
    <xf numFmtId="175" fontId="4" fillId="0" borderId="48" xfId="0" applyNumberFormat="1" applyFont="1" applyBorder="1" applyProtection="1">
      <protection locked="0"/>
    </xf>
    <xf numFmtId="0" fontId="4" fillId="0" borderId="48" xfId="0" applyFont="1" applyBorder="1"/>
    <xf numFmtId="175" fontId="40" fillId="0" borderId="48" xfId="0" applyNumberFormat="1" applyFont="1" applyBorder="1"/>
    <xf numFmtId="0" fontId="40" fillId="0" borderId="48" xfId="0" applyFont="1" applyBorder="1" applyAlignment="1">
      <alignment horizontal="center"/>
    </xf>
    <xf numFmtId="0" fontId="40" fillId="0" borderId="48" xfId="0" applyFont="1" applyFill="1" applyBorder="1" applyProtection="1">
      <protection locked="0"/>
    </xf>
    <xf numFmtId="175" fontId="40" fillId="0" borderId="48" xfId="0" applyNumberFormat="1" applyFont="1" applyBorder="1" applyProtection="1">
      <protection locked="0"/>
    </xf>
    <xf numFmtId="175" fontId="40" fillId="10" borderId="48" xfId="0" applyNumberFormat="1" applyFont="1" applyFill="1" applyBorder="1"/>
    <xf numFmtId="0" fontId="4" fillId="0" borderId="48" xfId="0" applyNumberFormat="1" applyFont="1" applyBorder="1" applyAlignment="1" applyProtection="1">
      <alignment horizontal="center"/>
      <protection locked="0"/>
    </xf>
    <xf numFmtId="175" fontId="40" fillId="10" borderId="48" xfId="0" applyNumberFormat="1" applyFont="1" applyFill="1" applyBorder="1" applyAlignment="1" applyProtection="1"/>
    <xf numFmtId="175" fontId="8" fillId="10" borderId="48" xfId="0" applyNumberFormat="1" applyFont="1" applyFill="1" applyBorder="1"/>
    <xf numFmtId="3" fontId="4" fillId="0" borderId="48" xfId="0" applyNumberFormat="1" applyFont="1" applyFill="1" applyBorder="1" applyAlignment="1" applyProtection="1">
      <alignment horizontal="center"/>
      <protection locked="0"/>
    </xf>
    <xf numFmtId="0" fontId="4" fillId="0" borderId="48" xfId="0" applyFont="1" applyFill="1" applyBorder="1" applyAlignment="1">
      <alignment horizontal="center"/>
    </xf>
    <xf numFmtId="0" fontId="40" fillId="0" borderId="1" xfId="0" applyFont="1" applyBorder="1" applyAlignment="1" applyProtection="1">
      <alignment horizontal="right"/>
      <protection locked="0"/>
    </xf>
    <xf numFmtId="0" fontId="100" fillId="0" borderId="52" xfId="0" applyFont="1" applyBorder="1" applyAlignment="1">
      <alignment horizontal="center"/>
    </xf>
    <xf numFmtId="0" fontId="100" fillId="0" borderId="46" xfId="0" applyFont="1" applyBorder="1" applyAlignment="1">
      <alignment horizontal="center"/>
    </xf>
    <xf numFmtId="0" fontId="74" fillId="0" borderId="45" xfId="0" applyFont="1" applyBorder="1" applyAlignment="1">
      <alignment horizontal="center"/>
    </xf>
    <xf numFmtId="0" fontId="74" fillId="4" borderId="45" xfId="0" applyFont="1" applyFill="1" applyBorder="1" applyAlignment="1">
      <alignment horizontal="center"/>
    </xf>
    <xf numFmtId="0" fontId="74" fillId="4" borderId="1" xfId="0" applyFont="1" applyFill="1" applyBorder="1" applyAlignment="1">
      <alignment horizontal="left"/>
    </xf>
    <xf numFmtId="0" fontId="138" fillId="18" borderId="130" xfId="0" applyFont="1" applyFill="1" applyBorder="1"/>
    <xf numFmtId="0" fontId="74" fillId="4" borderId="131" xfId="0" applyFont="1" applyFill="1" applyBorder="1" applyAlignment="1">
      <alignment horizontal="center"/>
    </xf>
    <xf numFmtId="0" fontId="74" fillId="4" borderId="130" xfId="0" applyFont="1" applyFill="1" applyBorder="1" applyAlignment="1">
      <alignment horizontal="left"/>
    </xf>
    <xf numFmtId="0" fontId="40" fillId="0" borderId="130" xfId="0" applyFont="1" applyBorder="1" applyAlignment="1" applyProtection="1">
      <alignment horizontal="right"/>
      <protection locked="0"/>
    </xf>
    <xf numFmtId="0" fontId="138" fillId="18" borderId="133" xfId="0" applyFont="1" applyFill="1" applyBorder="1"/>
    <xf numFmtId="0" fontId="74" fillId="0" borderId="134" xfId="0" applyFont="1" applyBorder="1" applyAlignment="1">
      <alignment horizontal="center"/>
    </xf>
    <xf numFmtId="0" fontId="74" fillId="0" borderId="133" xfId="0" applyFont="1" applyBorder="1" applyAlignment="1">
      <alignment horizontal="left"/>
    </xf>
    <xf numFmtId="0" fontId="157" fillId="10" borderId="47" xfId="0" applyFont="1" applyFill="1" applyBorder="1" applyAlignment="1">
      <alignment horizontal="center"/>
    </xf>
    <xf numFmtId="0" fontId="138" fillId="0" borderId="132" xfId="0" applyFont="1" applyBorder="1" applyAlignment="1" applyProtection="1">
      <alignment horizontal="right"/>
      <protection locked="0"/>
    </xf>
    <xf numFmtId="0" fontId="100" fillId="0" borderId="45" xfId="0" applyFont="1" applyBorder="1" applyAlignment="1">
      <alignment horizontal="center"/>
    </xf>
    <xf numFmtId="0" fontId="100" fillId="4" borderId="45" xfId="0" applyFont="1" applyFill="1" applyBorder="1" applyAlignment="1">
      <alignment horizontal="center"/>
    </xf>
    <xf numFmtId="0" fontId="4" fillId="10" borderId="105" xfId="0" applyFont="1" applyFill="1" applyBorder="1" applyAlignment="1" applyProtection="1">
      <alignment horizontal="center" wrapText="1"/>
    </xf>
    <xf numFmtId="0" fontId="40" fillId="12" borderId="108" xfId="0" applyFont="1" applyFill="1" applyBorder="1"/>
    <xf numFmtId="0" fontId="70" fillId="0" borderId="119" xfId="0" applyFont="1" applyFill="1" applyBorder="1" applyAlignment="1">
      <alignment horizontal="center"/>
    </xf>
    <xf numFmtId="1" fontId="40" fillId="0" borderId="103" xfId="0" applyNumberFormat="1" applyFont="1" applyBorder="1" applyAlignment="1" applyProtection="1">
      <alignment horizontal="center"/>
      <protection locked="0"/>
    </xf>
    <xf numFmtId="1" fontId="40" fillId="0" borderId="103" xfId="0" applyNumberFormat="1" applyFont="1" applyBorder="1" applyAlignment="1" applyProtection="1">
      <alignment horizontal="center" wrapText="1"/>
      <protection locked="0"/>
    </xf>
    <xf numFmtId="14" fontId="40" fillId="10" borderId="103" xfId="0" applyNumberFormat="1" applyFont="1" applyFill="1" applyBorder="1" applyProtection="1"/>
    <xf numFmtId="0" fontId="40" fillId="10" borderId="103" xfId="0" applyNumberFormat="1" applyFont="1" applyFill="1" applyBorder="1" applyProtection="1"/>
    <xf numFmtId="0" fontId="40" fillId="10" borderId="103" xfId="0" applyNumberFormat="1" applyFont="1" applyFill="1" applyBorder="1" applyAlignment="1" applyProtection="1">
      <alignment horizontal="center"/>
    </xf>
    <xf numFmtId="0" fontId="40" fillId="0" borderId="103" xfId="0" applyNumberFormat="1" applyFont="1" applyFill="1" applyBorder="1" applyAlignment="1" applyProtection="1">
      <alignment horizontal="center"/>
    </xf>
    <xf numFmtId="175" fontId="40" fillId="0" borderId="103" xfId="0" applyNumberFormat="1" applyFont="1" applyBorder="1" applyAlignment="1" applyProtection="1">
      <alignment horizontal="right"/>
      <protection locked="0"/>
    </xf>
    <xf numFmtId="173" fontId="40" fillId="0" borderId="103" xfId="0" applyNumberFormat="1" applyFont="1" applyBorder="1" applyAlignment="1" applyProtection="1">
      <alignment horizontal="right"/>
      <protection locked="0"/>
    </xf>
    <xf numFmtId="2" fontId="40" fillId="0" borderId="103" xfId="0" applyNumberFormat="1" applyFont="1" applyBorder="1" applyAlignment="1" applyProtection="1">
      <alignment horizontal="right"/>
      <protection locked="0"/>
    </xf>
    <xf numFmtId="175" fontId="8" fillId="0" borderId="103" xfId="0" applyNumberFormat="1" applyFont="1" applyBorder="1" applyAlignment="1" applyProtection="1">
      <alignment horizontal="right"/>
      <protection locked="0"/>
    </xf>
    <xf numFmtId="175" fontId="40" fillId="10" borderId="103" xfId="0" applyNumberFormat="1" applyFont="1" applyFill="1" applyBorder="1" applyAlignment="1" applyProtection="1">
      <alignment horizontal="right"/>
    </xf>
    <xf numFmtId="175" fontId="8" fillId="10" borderId="103" xfId="0" applyNumberFormat="1" applyFont="1" applyFill="1" applyBorder="1" applyAlignment="1" applyProtection="1">
      <alignment horizontal="right"/>
    </xf>
    <xf numFmtId="175" fontId="8" fillId="18" borderId="103" xfId="0" applyNumberFormat="1" applyFont="1" applyFill="1" applyBorder="1" applyAlignment="1" applyProtection="1">
      <alignment horizontal="center"/>
    </xf>
    <xf numFmtId="0" fontId="70" fillId="14" borderId="103" xfId="0" applyFont="1" applyFill="1" applyBorder="1" applyAlignment="1">
      <alignment horizontal="left"/>
    </xf>
    <xf numFmtId="175" fontId="40" fillId="10" borderId="103" xfId="0" applyNumberFormat="1" applyFont="1" applyFill="1" applyBorder="1" applyAlignment="1" applyProtection="1">
      <alignment horizontal="right"/>
      <protection locked="0"/>
    </xf>
    <xf numFmtId="175" fontId="40" fillId="0" borderId="103" xfId="0" applyNumberFormat="1" applyFont="1" applyBorder="1" applyProtection="1">
      <protection locked="0"/>
    </xf>
    <xf numFmtId="175" fontId="40" fillId="10" borderId="103" xfId="0" applyNumberFormat="1" applyFont="1" applyFill="1" applyBorder="1" applyProtection="1"/>
    <xf numFmtId="175" fontId="8" fillId="10" borderId="103" xfId="0" applyNumberFormat="1" applyFont="1" applyFill="1" applyBorder="1" applyProtection="1"/>
    <xf numFmtId="175" fontId="8" fillId="0" borderId="103" xfId="0" applyNumberFormat="1" applyFont="1" applyBorder="1" applyProtection="1">
      <protection locked="0"/>
    </xf>
    <xf numFmtId="0" fontId="75" fillId="0" borderId="119" xfId="0" applyFont="1" applyFill="1" applyBorder="1" applyAlignment="1">
      <alignment horizontal="center"/>
    </xf>
    <xf numFmtId="0" fontId="5" fillId="28" borderId="140" xfId="0" applyFont="1" applyFill="1" applyBorder="1" applyAlignment="1">
      <alignment vertical="center" wrapText="1"/>
    </xf>
    <xf numFmtId="0" fontId="40" fillId="0" borderId="139" xfId="0" applyFont="1" applyBorder="1"/>
    <xf numFmtId="0" fontId="5" fillId="28" borderId="141" xfId="0" applyFont="1" applyFill="1" applyBorder="1" applyAlignment="1">
      <alignment vertical="center" wrapText="1"/>
    </xf>
    <xf numFmtId="0" fontId="40" fillId="0" borderId="142" xfId="0" applyFont="1" applyBorder="1"/>
    <xf numFmtId="0" fontId="5" fillId="0" borderId="141" xfId="0" applyFont="1" applyFill="1" applyBorder="1" applyAlignment="1">
      <alignment vertical="center" wrapText="1"/>
    </xf>
    <xf numFmtId="0" fontId="5" fillId="0" borderId="142" xfId="0" applyFont="1" applyFill="1" applyBorder="1" applyAlignment="1">
      <alignment wrapText="1"/>
    </xf>
    <xf numFmtId="0" fontId="1" fillId="0" borderId="143" xfId="0" applyFont="1" applyFill="1" applyBorder="1" applyAlignment="1">
      <alignment vertical="top" wrapText="1"/>
    </xf>
    <xf numFmtId="0" fontId="7" fillId="0" borderId="143" xfId="0" applyFont="1" applyFill="1" applyBorder="1" applyAlignment="1">
      <alignment vertical="top" wrapText="1"/>
    </xf>
    <xf numFmtId="0" fontId="7" fillId="0" borderId="142" xfId="0" applyFont="1" applyBorder="1" applyAlignment="1" applyProtection="1">
      <alignment wrapText="1"/>
    </xf>
    <xf numFmtId="0" fontId="5" fillId="0" borderId="142" xfId="0" applyFont="1" applyFill="1" applyBorder="1"/>
    <xf numFmtId="0" fontId="6"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6" fillId="0" borderId="143" xfId="0" applyFont="1" applyFill="1" applyBorder="1" applyAlignment="1">
      <alignment horizontal="center"/>
    </xf>
    <xf numFmtId="0" fontId="5" fillId="0" borderId="142" xfId="0" applyFont="1" applyBorder="1" applyAlignment="1">
      <alignment wrapText="1"/>
    </xf>
    <xf numFmtId="0" fontId="114" fillId="0" borderId="98" xfId="0" applyFont="1" applyFill="1" applyBorder="1" applyAlignment="1">
      <alignment horizontal="left"/>
    </xf>
    <xf numFmtId="0" fontId="114" fillId="0" borderId="99" xfId="0" applyFont="1" applyFill="1" applyBorder="1" applyAlignment="1">
      <alignment horizontal="left"/>
    </xf>
    <xf numFmtId="0" fontId="74" fillId="0" borderId="119" xfId="0" applyFont="1" applyBorder="1" applyAlignment="1">
      <alignment horizontal="left"/>
    </xf>
    <xf numFmtId="2" fontId="40" fillId="0" borderId="120" xfId="0" applyNumberFormat="1" applyFont="1" applyBorder="1"/>
    <xf numFmtId="0" fontId="74" fillId="0" borderId="119" xfId="0" applyFont="1" applyFill="1" applyBorder="1" applyAlignment="1">
      <alignment horizontal="left"/>
    </xf>
    <xf numFmtId="2" fontId="40" fillId="18" borderId="120" xfId="0" applyNumberFormat="1" applyFont="1" applyFill="1" applyBorder="1"/>
    <xf numFmtId="0" fontId="74" fillId="0" borderId="136" xfId="0" applyFont="1" applyBorder="1" applyAlignment="1">
      <alignment horizontal="left"/>
    </xf>
    <xf numFmtId="0" fontId="74" fillId="0" borderId="137" xfId="0" applyFont="1" applyBorder="1" applyAlignment="1"/>
    <xf numFmtId="2" fontId="40" fillId="18" borderId="137" xfId="0" applyNumberFormat="1" applyFont="1" applyFill="1" applyBorder="1"/>
    <xf numFmtId="2" fontId="40" fillId="18" borderId="138" xfId="0" applyNumberFormat="1" applyFont="1" applyFill="1" applyBorder="1"/>
    <xf numFmtId="49" fontId="100" fillId="0" borderId="119" xfId="0" applyNumberFormat="1" applyFont="1" applyFill="1" applyBorder="1" applyAlignment="1" applyProtection="1">
      <alignment horizontal="center"/>
    </xf>
    <xf numFmtId="0" fontId="8" fillId="10" borderId="103" xfId="0" applyFont="1" applyFill="1" applyBorder="1" applyAlignment="1" applyProtection="1">
      <alignment horizontal="center"/>
      <protection locked="0"/>
    </xf>
    <xf numFmtId="0" fontId="40" fillId="10" borderId="120" xfId="0" applyFont="1" applyFill="1" applyBorder="1" applyAlignment="1" applyProtection="1">
      <alignment horizontal="center"/>
      <protection locked="0"/>
    </xf>
    <xf numFmtId="49" fontId="74" fillId="0" borderId="119" xfId="0" applyNumberFormat="1" applyFont="1" applyBorder="1" applyAlignment="1" applyProtection="1">
      <alignment horizontal="center"/>
    </xf>
    <xf numFmtId="0" fontId="40" fillId="0" borderId="103" xfId="0" applyFont="1" applyFill="1" applyBorder="1" applyAlignment="1" applyProtection="1">
      <alignment horizontal="center"/>
      <protection locked="0"/>
    </xf>
    <xf numFmtId="0" fontId="40" fillId="0" borderId="120" xfId="0" applyFont="1" applyFill="1" applyBorder="1" applyAlignment="1" applyProtection="1">
      <alignment horizontal="center"/>
      <protection locked="0"/>
    </xf>
    <xf numFmtId="0" fontId="4" fillId="0" borderId="103" xfId="0" applyFont="1" applyFill="1" applyBorder="1" applyAlignment="1" applyProtection="1">
      <alignment horizontal="center"/>
      <protection locked="0"/>
    </xf>
    <xf numFmtId="0" fontId="40" fillId="0" borderId="120" xfId="0" applyFont="1" applyBorder="1" applyAlignment="1" applyProtection="1">
      <alignment horizontal="center"/>
      <protection locked="0"/>
    </xf>
    <xf numFmtId="14" fontId="40" fillId="10" borderId="103" xfId="0" quotePrefix="1" applyNumberFormat="1" applyFont="1" applyFill="1" applyBorder="1" applyAlignment="1">
      <alignment horizontal="center"/>
    </xf>
    <xf numFmtId="14" fontId="40" fillId="10" borderId="120" xfId="0" quotePrefix="1" applyNumberFormat="1" applyFont="1" applyFill="1" applyBorder="1" applyAlignment="1">
      <alignment horizontal="center"/>
    </xf>
    <xf numFmtId="165" fontId="40" fillId="0" borderId="103" xfId="1" applyNumberFormat="1" applyFont="1" applyFill="1" applyBorder="1" applyAlignment="1" applyProtection="1">
      <alignment horizontal="center"/>
      <protection locked="0"/>
    </xf>
    <xf numFmtId="165" fontId="40" fillId="0" borderId="120" xfId="1" applyNumberFormat="1" applyFont="1" applyFill="1" applyBorder="1" applyAlignment="1" applyProtection="1">
      <alignment horizontal="center"/>
      <protection locked="0"/>
    </xf>
    <xf numFmtId="49" fontId="100" fillId="0" borderId="119" xfId="0" applyNumberFormat="1" applyFont="1" applyBorder="1" applyAlignment="1" applyProtection="1">
      <alignment horizontal="center"/>
    </xf>
    <xf numFmtId="0" fontId="8" fillId="0" borderId="103" xfId="0" applyFont="1" applyFill="1" applyBorder="1" applyAlignment="1" applyProtection="1">
      <alignment horizontal="center"/>
      <protection locked="0"/>
    </xf>
    <xf numFmtId="1" fontId="40" fillId="0" borderId="103" xfId="1" applyNumberFormat="1" applyFont="1" applyFill="1" applyBorder="1" applyAlignment="1" applyProtection="1">
      <alignment horizontal="center"/>
      <protection locked="0"/>
    </xf>
    <xf numFmtId="1" fontId="4" fillId="0" borderId="103" xfId="1" applyNumberFormat="1" applyFont="1" applyFill="1" applyBorder="1" applyAlignment="1" applyProtection="1">
      <alignment horizontal="center"/>
      <protection locked="0"/>
    </xf>
    <xf numFmtId="1" fontId="40" fillId="0" borderId="120" xfId="1" applyNumberFormat="1" applyFont="1" applyFill="1" applyBorder="1" applyAlignment="1" applyProtection="1">
      <alignment horizontal="center"/>
      <protection locked="0"/>
    </xf>
    <xf numFmtId="1" fontId="40" fillId="0" borderId="103" xfId="0" applyNumberFormat="1" applyFont="1" applyFill="1" applyBorder="1" applyAlignment="1" applyProtection="1">
      <alignment horizontal="center"/>
      <protection locked="0"/>
    </xf>
    <xf numFmtId="1" fontId="4" fillId="0" borderId="103" xfId="0" applyNumberFormat="1" applyFont="1" applyFill="1" applyBorder="1" applyAlignment="1" applyProtection="1">
      <alignment horizontal="center"/>
      <protection locked="0"/>
    </xf>
    <xf numFmtId="0" fontId="8" fillId="0" borderId="120" xfId="0" applyFont="1" applyBorder="1" applyAlignment="1" applyProtection="1">
      <alignment horizontal="center"/>
      <protection locked="0"/>
    </xf>
    <xf numFmtId="49" fontId="74" fillId="0" borderId="119" xfId="0" applyNumberFormat="1" applyFont="1" applyFill="1" applyBorder="1" applyAlignment="1" applyProtection="1">
      <alignment horizontal="center"/>
    </xf>
    <xf numFmtId="0" fontId="4" fillId="0" borderId="103" xfId="0" applyFont="1" applyBorder="1" applyAlignment="1" applyProtection="1">
      <alignment horizontal="center"/>
      <protection locked="0"/>
    </xf>
    <xf numFmtId="49" fontId="74" fillId="0" borderId="103" xfId="0" applyNumberFormat="1" applyFont="1" applyFill="1" applyBorder="1" applyAlignment="1" applyProtection="1"/>
    <xf numFmtId="14" fontId="4" fillId="10" borderId="103" xfId="0" quotePrefix="1" applyNumberFormat="1" applyFont="1" applyFill="1" applyBorder="1" applyAlignment="1">
      <alignment horizontal="center"/>
    </xf>
    <xf numFmtId="0" fontId="4" fillId="0" borderId="120" xfId="0" applyFont="1" applyBorder="1" applyAlignment="1" applyProtection="1">
      <alignment horizontal="center"/>
      <protection locked="0"/>
    </xf>
    <xf numFmtId="49" fontId="74" fillId="0" borderId="136" xfId="0" applyNumberFormat="1" applyFont="1" applyFill="1" applyBorder="1" applyAlignment="1" applyProtection="1">
      <alignment horizontal="center"/>
    </xf>
    <xf numFmtId="0" fontId="70" fillId="0" borderId="137" xfId="0" applyFont="1" applyFill="1" applyBorder="1" applyAlignment="1"/>
    <xf numFmtId="0" fontId="40" fillId="0" borderId="137" xfId="0" applyFont="1" applyFill="1" applyBorder="1" applyAlignment="1" applyProtection="1">
      <alignment horizontal="center"/>
      <protection locked="0"/>
    </xf>
    <xf numFmtId="0" fontId="4" fillId="0" borderId="137" xfId="0" applyFont="1" applyFill="1" applyBorder="1" applyAlignment="1" applyProtection="1">
      <alignment horizontal="center"/>
      <protection locked="0"/>
    </xf>
    <xf numFmtId="0" fontId="40" fillId="0" borderId="137" xfId="0" applyFont="1" applyBorder="1" applyAlignment="1" applyProtection="1">
      <alignment horizontal="center"/>
      <protection locked="0"/>
    </xf>
    <xf numFmtId="0" fontId="40" fillId="0" borderId="138" xfId="0" applyFont="1" applyBorder="1" applyAlignment="1" applyProtection="1">
      <alignment horizontal="center"/>
      <protection locked="0"/>
    </xf>
    <xf numFmtId="43" fontId="40" fillId="0" borderId="103" xfId="1" applyFont="1" applyBorder="1" applyAlignment="1">
      <alignment horizontal="center"/>
    </xf>
    <xf numFmtId="43" fontId="40" fillId="0" borderId="120" xfId="1" applyFont="1" applyBorder="1" applyAlignment="1">
      <alignment horizontal="center"/>
    </xf>
    <xf numFmtId="43" fontId="40" fillId="0" borderId="103" xfId="1" applyFont="1" applyBorder="1"/>
    <xf numFmtId="43" fontId="40" fillId="0" borderId="120" xfId="1" applyFont="1" applyBorder="1"/>
    <xf numFmtId="0" fontId="40" fillId="0" borderId="120" xfId="0" applyFont="1" applyFill="1" applyBorder="1" applyAlignment="1">
      <alignment horizontal="center"/>
    </xf>
    <xf numFmtId="43" fontId="8" fillId="18" borderId="103" xfId="1" applyFont="1" applyFill="1" applyBorder="1" applyAlignment="1">
      <alignment horizontal="right"/>
    </xf>
    <xf numFmtId="43" fontId="8" fillId="0" borderId="103" xfId="1" applyFont="1" applyFill="1" applyBorder="1" applyAlignment="1">
      <alignment horizontal="right"/>
    </xf>
    <xf numFmtId="43" fontId="8" fillId="0" borderId="120" xfId="1" applyFont="1" applyFill="1" applyBorder="1" applyAlignment="1">
      <alignment horizontal="right"/>
    </xf>
    <xf numFmtId="0" fontId="8" fillId="0" borderId="120" xfId="0" applyFont="1" applyFill="1" applyBorder="1" applyAlignment="1">
      <alignment horizontal="center"/>
    </xf>
    <xf numFmtId="43" fontId="40" fillId="0" borderId="103" xfId="1" applyFont="1" applyFill="1" applyBorder="1" applyAlignment="1">
      <alignment horizontal="center"/>
    </xf>
    <xf numFmtId="43" fontId="40" fillId="0" borderId="103" xfId="1" applyFont="1" applyFill="1" applyBorder="1"/>
    <xf numFmtId="43" fontId="40" fillId="0" borderId="120" xfId="1" applyFont="1" applyFill="1" applyBorder="1"/>
    <xf numFmtId="43" fontId="40" fillId="0" borderId="103" xfId="1" applyFont="1" applyFill="1" applyBorder="1" applyAlignment="1">
      <alignment horizontal="right"/>
    </xf>
    <xf numFmtId="43" fontId="40" fillId="0" borderId="120" xfId="1" applyFont="1" applyFill="1" applyBorder="1" applyAlignment="1">
      <alignment horizontal="right"/>
    </xf>
    <xf numFmtId="43" fontId="8" fillId="18" borderId="120" xfId="1" applyFont="1" applyFill="1" applyBorder="1" applyAlignment="1">
      <alignment horizontal="right"/>
    </xf>
    <xf numFmtId="43" fontId="8" fillId="0" borderId="103" xfId="1" applyFont="1" applyFill="1" applyBorder="1" applyAlignment="1">
      <alignment horizontal="center"/>
    </xf>
    <xf numFmtId="43" fontId="8" fillId="0" borderId="103" xfId="1" applyFont="1" applyFill="1" applyBorder="1"/>
    <xf numFmtId="0" fontId="40" fillId="0" borderId="103" xfId="0" applyFont="1" applyFill="1" applyBorder="1"/>
    <xf numFmtId="43" fontId="40" fillId="0" borderId="103" xfId="1" applyFont="1" applyBorder="1" applyAlignment="1">
      <alignment horizontal="right"/>
    </xf>
    <xf numFmtId="43" fontId="8" fillId="18" borderId="120" xfId="1" applyFont="1" applyFill="1" applyBorder="1"/>
    <xf numFmtId="43" fontId="40" fillId="0" borderId="120" xfId="1" applyFont="1" applyBorder="1" applyAlignment="1">
      <alignment horizontal="right"/>
    </xf>
    <xf numFmtId="43" fontId="40" fillId="10" borderId="103" xfId="1" applyFont="1" applyFill="1" applyBorder="1" applyAlignment="1">
      <alignment horizontal="right"/>
    </xf>
    <xf numFmtId="43" fontId="40" fillId="10" borderId="120" xfId="1" applyFont="1" applyFill="1" applyBorder="1" applyAlignment="1">
      <alignment horizontal="right"/>
    </xf>
    <xf numFmtId="43" fontId="8" fillId="0" borderId="103" xfId="1" applyFont="1" applyBorder="1" applyAlignment="1">
      <alignment horizontal="right"/>
    </xf>
    <xf numFmtId="43" fontId="8" fillId="0" borderId="120" xfId="1" applyFont="1" applyBorder="1" applyAlignment="1">
      <alignment horizontal="right"/>
    </xf>
    <xf numFmtId="0" fontId="74" fillId="0" borderId="137" xfId="0" applyFont="1" applyFill="1" applyBorder="1" applyAlignment="1"/>
    <xf numFmtId="0" fontId="40" fillId="0" borderId="137" xfId="0" applyFont="1" applyFill="1" applyBorder="1" applyAlignment="1">
      <alignment horizontal="center"/>
    </xf>
    <xf numFmtId="0" fontId="4" fillId="0" borderId="137" xfId="0" applyFont="1" applyFill="1" applyBorder="1" applyAlignment="1">
      <alignment horizontal="center"/>
    </xf>
    <xf numFmtId="0" fontId="4" fillId="0" borderId="138" xfId="0" applyFont="1" applyFill="1" applyBorder="1" applyAlignment="1">
      <alignment horizontal="center"/>
    </xf>
    <xf numFmtId="49" fontId="56" fillId="0" borderId="103" xfId="0" applyNumberFormat="1" applyFont="1" applyFill="1" applyBorder="1" applyAlignment="1" applyProtection="1">
      <alignment horizontal="center"/>
    </xf>
    <xf numFmtId="49" fontId="56" fillId="0" borderId="143" xfId="0" applyNumberFormat="1" applyFont="1" applyFill="1" applyBorder="1" applyAlignment="1" applyProtection="1">
      <alignment horizontal="center"/>
    </xf>
    <xf numFmtId="2" fontId="4" fillId="0" borderId="107" xfId="0" applyNumberFormat="1" applyFont="1" applyFill="1" applyBorder="1" applyAlignment="1" applyProtection="1">
      <alignment horizontal="center"/>
    </xf>
    <xf numFmtId="1" fontId="4" fillId="0" borderId="107" xfId="0" applyNumberFormat="1" applyFont="1" applyFill="1" applyBorder="1" applyAlignment="1" applyProtection="1">
      <alignment horizontal="center"/>
    </xf>
    <xf numFmtId="0" fontId="56" fillId="9" borderId="105" xfId="0" applyFont="1" applyFill="1" applyBorder="1" applyProtection="1"/>
    <xf numFmtId="0" fontId="4" fillId="9" borderId="106" xfId="0" applyFont="1" applyFill="1" applyBorder="1" applyProtection="1"/>
    <xf numFmtId="0" fontId="56" fillId="9" borderId="106" xfId="0" applyFont="1" applyFill="1" applyBorder="1" applyAlignment="1" applyProtection="1">
      <alignment horizontal="center"/>
    </xf>
    <xf numFmtId="0" fontId="56" fillId="9" borderId="106" xfId="0" applyFont="1" applyFill="1" applyBorder="1" applyProtection="1"/>
    <xf numFmtId="0" fontId="4" fillId="9" borderId="107" xfId="0" applyFont="1" applyFill="1" applyBorder="1" applyProtection="1"/>
    <xf numFmtId="0" fontId="56" fillId="9" borderId="107" xfId="0" applyFont="1" applyFill="1" applyBorder="1" applyProtection="1"/>
    <xf numFmtId="14" fontId="4" fillId="0" borderId="103" xfId="0" applyNumberFormat="1" applyFont="1" applyFill="1" applyBorder="1" applyAlignment="1" applyProtection="1">
      <alignment horizontal="center"/>
    </xf>
    <xf numFmtId="0" fontId="4" fillId="0" borderId="103" xfId="0" applyFont="1" applyFill="1" applyBorder="1" applyAlignment="1" applyProtection="1">
      <alignment horizontal="center"/>
    </xf>
    <xf numFmtId="49" fontId="56" fillId="30" borderId="33" xfId="0" applyNumberFormat="1" applyFont="1" applyFill="1" applyBorder="1" applyAlignment="1" applyProtection="1">
      <alignment horizontal="center"/>
    </xf>
    <xf numFmtId="0" fontId="4" fillId="30" borderId="0" xfId="0" applyFont="1" applyFill="1" applyAlignment="1" applyProtection="1">
      <alignment horizontal="center"/>
    </xf>
    <xf numFmtId="2" fontId="4" fillId="0" borderId="103" xfId="0" applyNumberFormat="1" applyFont="1" applyFill="1" applyBorder="1" applyAlignment="1" applyProtection="1">
      <alignment horizontal="center"/>
    </xf>
    <xf numFmtId="2" fontId="8" fillId="0" borderId="107" xfId="0" applyNumberFormat="1" applyFont="1" applyFill="1" applyBorder="1" applyAlignment="1" applyProtection="1">
      <alignment horizontal="center"/>
    </xf>
    <xf numFmtId="0" fontId="56" fillId="0" borderId="105" xfId="0" applyFont="1" applyFill="1" applyBorder="1" applyProtection="1"/>
    <xf numFmtId="0" fontId="56" fillId="0" borderId="107" xfId="0" applyFont="1" applyFill="1" applyBorder="1" applyProtection="1"/>
    <xf numFmtId="0" fontId="56" fillId="9" borderId="106" xfId="0" applyFont="1" applyFill="1" applyBorder="1" applyAlignment="1" applyProtection="1">
      <alignment horizontal="left"/>
    </xf>
    <xf numFmtId="0" fontId="4" fillId="9" borderId="107" xfId="0" applyFont="1" applyFill="1" applyBorder="1" applyAlignment="1" applyProtection="1">
      <alignment horizontal="center"/>
    </xf>
    <xf numFmtId="49" fontId="134" fillId="30" borderId="32" xfId="0" applyNumberFormat="1" applyFont="1" applyFill="1" applyBorder="1" applyAlignment="1" applyProtection="1">
      <alignment horizontal="center"/>
    </xf>
    <xf numFmtId="2" fontId="4" fillId="30" borderId="107" xfId="0" applyNumberFormat="1" applyFont="1" applyFill="1" applyBorder="1" applyAlignment="1" applyProtection="1">
      <alignment horizontal="center"/>
    </xf>
    <xf numFmtId="0" fontId="4" fillId="0" borderId="107" xfId="0" applyNumberFormat="1" applyFont="1" applyFill="1" applyBorder="1" applyAlignment="1" applyProtection="1">
      <alignment horizontal="center"/>
    </xf>
    <xf numFmtId="0" fontId="4" fillId="0" borderId="107" xfId="0" applyNumberFormat="1" applyFont="1" applyFill="1" applyBorder="1" applyAlignment="1" applyProtection="1">
      <alignment horizontal="left" indent="1"/>
    </xf>
    <xf numFmtId="0" fontId="70" fillId="0" borderId="32" xfId="0" applyFont="1" applyFill="1" applyBorder="1" applyAlignment="1">
      <alignment horizontal="center"/>
    </xf>
    <xf numFmtId="0" fontId="70" fillId="0" borderId="143" xfId="0" applyFont="1" applyFill="1" applyBorder="1" applyAlignment="1">
      <alignment horizontal="center"/>
    </xf>
    <xf numFmtId="4" fontId="4" fillId="0" borderId="107" xfId="0" applyNumberFormat="1" applyFont="1" applyFill="1" applyBorder="1" applyAlignment="1" applyProtection="1">
      <alignment horizontal="center"/>
    </xf>
    <xf numFmtId="49" fontId="134" fillId="30" borderId="143" xfId="0" applyNumberFormat="1" applyFont="1" applyFill="1" applyBorder="1" applyAlignment="1" applyProtection="1">
      <alignment horizontal="center"/>
    </xf>
    <xf numFmtId="4" fontId="4" fillId="30" borderId="107" xfId="0" applyNumberFormat="1" applyFont="1" applyFill="1" applyBorder="1" applyAlignment="1" applyProtection="1">
      <alignment horizontal="center"/>
    </xf>
    <xf numFmtId="0" fontId="70" fillId="0" borderId="33" xfId="0" applyFont="1" applyFill="1" applyBorder="1" applyAlignment="1">
      <alignment horizontal="center"/>
    </xf>
    <xf numFmtId="0" fontId="4" fillId="10" borderId="97" xfId="0" applyNumberFormat="1" applyFont="1" applyFill="1" applyBorder="1" applyAlignment="1" applyProtection="1">
      <alignment horizontal="center"/>
    </xf>
    <xf numFmtId="4" fontId="40" fillId="10" borderId="93" xfId="0" applyNumberFormat="1" applyFont="1" applyFill="1" applyBorder="1" applyAlignment="1" applyProtection="1">
      <alignment horizontal="center"/>
    </xf>
    <xf numFmtId="1" fontId="40" fillId="10" borderId="93" xfId="0" applyNumberFormat="1" applyFont="1" applyFill="1" applyBorder="1" applyAlignment="1" applyProtection="1">
      <alignment horizontal="center"/>
    </xf>
    <xf numFmtId="0" fontId="40" fillId="10" borderId="93" xfId="0" applyNumberFormat="1" applyFont="1" applyFill="1" applyBorder="1" applyAlignment="1" applyProtection="1">
      <alignment horizontal="center"/>
    </xf>
    <xf numFmtId="4" fontId="40" fillId="10" borderId="105" xfId="0" applyNumberFormat="1" applyFont="1" applyFill="1" applyBorder="1"/>
    <xf numFmtId="0" fontId="0" fillId="0" borderId="0" xfId="0" applyAlignment="1">
      <alignment wrapText="1"/>
    </xf>
    <xf numFmtId="14" fontId="4" fillId="0" borderId="107" xfId="0" applyNumberFormat="1" applyFont="1" applyFill="1" applyBorder="1" applyAlignment="1" applyProtection="1">
      <alignment horizontal="left" indent="1"/>
    </xf>
    <xf numFmtId="14" fontId="4" fillId="0" borderId="107" xfId="0" applyNumberFormat="1" applyFont="1" applyFill="1" applyBorder="1" applyAlignment="1" applyProtection="1">
      <alignment horizontal="center"/>
    </xf>
    <xf numFmtId="4" fontId="4" fillId="0" borderId="107" xfId="0" applyNumberFormat="1" applyFont="1" applyFill="1" applyBorder="1" applyAlignment="1" applyProtection="1">
      <alignment horizontal="left" indent="1"/>
    </xf>
    <xf numFmtId="49" fontId="56" fillId="0" borderId="69" xfId="0" applyNumberFormat="1" applyFont="1" applyFill="1" applyBorder="1" applyAlignment="1" applyProtection="1">
      <alignment horizontal="center"/>
    </xf>
    <xf numFmtId="2" fontId="8" fillId="15" borderId="103" xfId="0" applyNumberFormat="1" applyFont="1" applyFill="1" applyBorder="1" applyAlignment="1" applyProtection="1">
      <protection locked="0"/>
    </xf>
    <xf numFmtId="2" fontId="8" fillId="15" borderId="48" xfId="0" applyNumberFormat="1" applyFont="1" applyFill="1" applyBorder="1" applyAlignment="1" applyProtection="1">
      <protection locked="0"/>
    </xf>
    <xf numFmtId="0" fontId="8" fillId="15" borderId="103" xfId="0" applyFont="1" applyFill="1" applyBorder="1" applyAlignment="1" applyProtection="1">
      <protection locked="0"/>
    </xf>
    <xf numFmtId="0" fontId="8" fillId="15" borderId="48" xfId="0" applyFont="1" applyFill="1" applyBorder="1" applyAlignment="1" applyProtection="1">
      <protection locked="0"/>
    </xf>
    <xf numFmtId="2" fontId="8" fillId="15" borderId="103" xfId="0" applyNumberFormat="1" applyFont="1" applyFill="1" applyBorder="1" applyAlignment="1"/>
    <xf numFmtId="2" fontId="8" fillId="15" borderId="48" xfId="0" applyNumberFormat="1" applyFont="1" applyFill="1" applyBorder="1" applyAlignment="1"/>
    <xf numFmtId="2" fontId="40" fillId="15" borderId="103" xfId="0" applyNumberFormat="1" applyFont="1" applyFill="1" applyBorder="1" applyAlignment="1" applyProtection="1">
      <protection locked="0"/>
    </xf>
    <xf numFmtId="2" fontId="40" fillId="15" borderId="48" xfId="0" applyNumberFormat="1" applyFont="1" applyFill="1" applyBorder="1" applyAlignment="1" applyProtection="1">
      <protection locked="0"/>
    </xf>
    <xf numFmtId="0" fontId="40" fillId="15" borderId="103" xfId="0" applyFont="1" applyFill="1" applyBorder="1" applyAlignment="1" applyProtection="1">
      <protection locked="0"/>
    </xf>
    <xf numFmtId="0" fontId="40" fillId="15" borderId="48" xfId="0" applyFont="1" applyFill="1" applyBorder="1" applyAlignment="1" applyProtection="1">
      <protection locked="0"/>
    </xf>
    <xf numFmtId="0" fontId="40" fillId="15" borderId="50" xfId="0" applyFont="1" applyFill="1" applyBorder="1" applyAlignment="1" applyProtection="1">
      <protection locked="0"/>
    </xf>
    <xf numFmtId="0" fontId="40" fillId="15" borderId="51" xfId="0" applyFont="1" applyFill="1" applyBorder="1" applyAlignment="1" applyProtection="1">
      <protection locked="0"/>
    </xf>
    <xf numFmtId="4" fontId="8" fillId="0" borderId="50" xfId="0" applyNumberFormat="1" applyFont="1" applyFill="1" applyBorder="1" applyProtection="1"/>
    <xf numFmtId="0" fontId="40" fillId="15" borderId="103" xfId="0" applyFont="1" applyFill="1" applyBorder="1" applyAlignment="1" applyProtection="1">
      <alignment horizontal="center"/>
      <protection locked="0"/>
    </xf>
    <xf numFmtId="0" fontId="40" fillId="15" borderId="103" xfId="0" applyFont="1" applyFill="1" applyBorder="1" applyProtection="1">
      <protection locked="0"/>
    </xf>
    <xf numFmtId="0" fontId="40" fillId="15" borderId="48" xfId="0" applyFont="1" applyFill="1" applyBorder="1" applyProtection="1">
      <protection locked="0"/>
    </xf>
    <xf numFmtId="174" fontId="40" fillId="15" borderId="103" xfId="0" applyNumberFormat="1" applyFont="1" applyFill="1" applyBorder="1" applyProtection="1"/>
    <xf numFmtId="174" fontId="40" fillId="15" borderId="48" xfId="0" applyNumberFormat="1" applyFont="1" applyFill="1" applyBorder="1" applyProtection="1"/>
    <xf numFmtId="174" fontId="40" fillId="15" borderId="103" xfId="0" applyNumberFormat="1" applyFont="1" applyFill="1" applyBorder="1" applyProtection="1">
      <protection locked="0"/>
    </xf>
    <xf numFmtId="174" fontId="40" fillId="15" borderId="48" xfId="0" applyNumberFormat="1" applyFont="1" applyFill="1" applyBorder="1" applyProtection="1">
      <protection locked="0"/>
    </xf>
    <xf numFmtId="0" fontId="40" fillId="15" borderId="103" xfId="0" applyFont="1" applyFill="1" applyBorder="1"/>
    <xf numFmtId="0" fontId="40" fillId="15" borderId="48" xfId="0" applyFont="1" applyFill="1" applyBorder="1"/>
    <xf numFmtId="1" fontId="8" fillId="15" borderId="103" xfId="0" applyNumberFormat="1" applyFont="1" applyFill="1" applyBorder="1" applyAlignment="1" applyProtection="1">
      <alignment horizontal="center"/>
    </xf>
    <xf numFmtId="1" fontId="8" fillId="15" borderId="48" xfId="0" applyNumberFormat="1" applyFont="1" applyFill="1" applyBorder="1" applyAlignment="1" applyProtection="1">
      <alignment horizontal="center"/>
    </xf>
    <xf numFmtId="174" fontId="40" fillId="15" borderId="103" xfId="0" applyNumberFormat="1" applyFont="1" applyFill="1" applyBorder="1" applyAlignment="1" applyProtection="1">
      <alignment horizontal="center"/>
      <protection locked="0"/>
    </xf>
    <xf numFmtId="174" fontId="40" fillId="15" borderId="48" xfId="0" applyNumberFormat="1" applyFont="1" applyFill="1" applyBorder="1" applyAlignment="1" applyProtection="1">
      <alignment horizontal="center"/>
      <protection locked="0"/>
    </xf>
    <xf numFmtId="1" fontId="40" fillId="15" borderId="50" xfId="0" applyNumberFormat="1" applyFont="1" applyFill="1" applyBorder="1" applyProtection="1">
      <protection locked="0"/>
    </xf>
    <xf numFmtId="1" fontId="40" fillId="15" borderId="51" xfId="0" applyNumberFormat="1" applyFont="1" applyFill="1" applyBorder="1" applyProtection="1">
      <protection locked="0"/>
    </xf>
    <xf numFmtId="1" fontId="40" fillId="15" borderId="50" xfId="0" applyNumberFormat="1" applyFont="1" applyFill="1" applyBorder="1" applyAlignment="1" applyProtection="1">
      <alignment horizontal="right"/>
      <protection locked="0"/>
    </xf>
    <xf numFmtId="1" fontId="40" fillId="15" borderId="51" xfId="0" applyNumberFormat="1" applyFont="1" applyFill="1" applyBorder="1" applyAlignment="1" applyProtection="1">
      <alignment horizontal="right"/>
      <protection locked="0"/>
    </xf>
    <xf numFmtId="175" fontId="40" fillId="0" borderId="103" xfId="0" applyNumberFormat="1" applyFont="1" applyFill="1" applyBorder="1" applyAlignment="1" applyProtection="1">
      <alignment horizontal="right"/>
    </xf>
    <xf numFmtId="175" fontId="8" fillId="0" borderId="103" xfId="0" applyNumberFormat="1" applyFont="1" applyFill="1" applyBorder="1" applyAlignment="1" applyProtection="1">
      <alignment horizontal="right"/>
      <protection locked="0"/>
    </xf>
    <xf numFmtId="175" fontId="40" fillId="0" borderId="103" xfId="0" applyNumberFormat="1" applyFont="1" applyFill="1" applyBorder="1" applyAlignment="1" applyProtection="1">
      <alignment horizontal="right"/>
      <protection locked="0"/>
    </xf>
    <xf numFmtId="175" fontId="40" fillId="0" borderId="103" xfId="0" applyNumberFormat="1" applyFont="1" applyFill="1" applyBorder="1" applyProtection="1"/>
    <xf numFmtId="175" fontId="8" fillId="0" borderId="103" xfId="0" applyNumberFormat="1" applyFont="1" applyFill="1" applyBorder="1" applyProtection="1"/>
    <xf numFmtId="175" fontId="40" fillId="0" borderId="103" xfId="0" applyNumberFormat="1" applyFont="1" applyFill="1" applyBorder="1" applyProtection="1">
      <protection locked="0"/>
    </xf>
    <xf numFmtId="0" fontId="4" fillId="0" borderId="1" xfId="0" applyFont="1" applyBorder="1" applyAlignment="1" applyProtection="1">
      <alignment horizontal="right"/>
      <protection locked="0"/>
    </xf>
    <xf numFmtId="0" fontId="4" fillId="0" borderId="130" xfId="0" applyFont="1" applyBorder="1" applyAlignment="1" applyProtection="1">
      <alignment horizontal="right"/>
      <protection locked="0"/>
    </xf>
    <xf numFmtId="175" fontId="40" fillId="0" borderId="77" xfId="0" applyNumberFormat="1" applyFont="1" applyFill="1" applyBorder="1" applyAlignment="1" applyProtection="1">
      <alignment horizontal="center"/>
    </xf>
    <xf numFmtId="175" fontId="8" fillId="0" borderId="77" xfId="0" applyNumberFormat="1" applyFont="1" applyFill="1" applyBorder="1" applyAlignment="1" applyProtection="1">
      <alignment horizontal="center"/>
    </xf>
    <xf numFmtId="175" fontId="4" fillId="0" borderId="77" xfId="0" applyNumberFormat="1" applyFont="1" applyFill="1" applyBorder="1" applyAlignment="1" applyProtection="1">
      <alignment horizontal="center"/>
    </xf>
    <xf numFmtId="0" fontId="4" fillId="0" borderId="77" xfId="0" applyFont="1" applyFill="1" applyBorder="1" applyProtection="1">
      <protection locked="0"/>
    </xf>
    <xf numFmtId="2" fontId="8" fillId="0" borderId="77" xfId="0" applyNumberFormat="1" applyFont="1" applyFill="1" applyBorder="1" applyProtection="1">
      <protection locked="0"/>
    </xf>
    <xf numFmtId="2" fontId="40" fillId="0" borderId="77" xfId="0" applyNumberFormat="1" applyFont="1" applyFill="1" applyBorder="1"/>
    <xf numFmtId="2" fontId="8" fillId="0" borderId="77" xfId="0" applyNumberFormat="1" applyFont="1" applyFill="1" applyBorder="1"/>
    <xf numFmtId="175" fontId="8" fillId="0" borderId="77" xfId="0" applyNumberFormat="1" applyFont="1" applyFill="1" applyBorder="1"/>
    <xf numFmtId="1" fontId="40" fillId="0" borderId="103" xfId="1" applyNumberFormat="1" applyFont="1" applyFill="1" applyBorder="1" applyAlignment="1">
      <alignment horizontal="center"/>
    </xf>
    <xf numFmtId="1" fontId="40" fillId="0" borderId="103" xfId="1" applyNumberFormat="1" applyFont="1" applyFill="1" applyBorder="1"/>
    <xf numFmtId="1" fontId="40" fillId="0" borderId="103" xfId="1" applyNumberFormat="1" applyFont="1" applyBorder="1" applyAlignment="1">
      <alignment horizontal="center"/>
    </xf>
    <xf numFmtId="0" fontId="4" fillId="0" borderId="103" xfId="1" applyNumberFormat="1" applyFont="1" applyFill="1" applyBorder="1" applyAlignment="1">
      <alignment horizontal="center"/>
    </xf>
    <xf numFmtId="0" fontId="4" fillId="0" borderId="103" xfId="1" applyNumberFormat="1" applyFont="1" applyFill="1" applyBorder="1"/>
    <xf numFmtId="0" fontId="40" fillId="0" borderId="103" xfId="0" applyNumberFormat="1" applyFont="1" applyBorder="1"/>
    <xf numFmtId="0" fontId="40" fillId="0" borderId="103" xfId="1" applyNumberFormat="1" applyFont="1" applyFill="1" applyBorder="1" applyAlignment="1">
      <alignment horizontal="center"/>
    </xf>
    <xf numFmtId="0" fontId="40" fillId="0" borderId="103" xfId="1" applyNumberFormat="1" applyFont="1" applyFill="1" applyBorder="1"/>
    <xf numFmtId="0" fontId="40" fillId="0" borderId="103" xfId="1" applyNumberFormat="1" applyFont="1" applyBorder="1"/>
    <xf numFmtId="0" fontId="40" fillId="0" borderId="120" xfId="1" applyNumberFormat="1" applyFont="1" applyBorder="1"/>
    <xf numFmtId="1" fontId="40" fillId="0" borderId="120" xfId="1" applyNumberFormat="1" applyFont="1" applyBorder="1" applyAlignment="1">
      <alignment horizontal="center"/>
    </xf>
    <xf numFmtId="0" fontId="75" fillId="0" borderId="45" xfId="0" applyFont="1" applyFill="1" applyBorder="1" applyAlignment="1">
      <alignment horizontal="left"/>
    </xf>
    <xf numFmtId="0" fontId="75" fillId="0" borderId="103" xfId="0" applyFont="1" applyFill="1" applyBorder="1" applyAlignment="1">
      <alignment horizontal="left"/>
    </xf>
    <xf numFmtId="0" fontId="4" fillId="10" borderId="93" xfId="0" applyFont="1" applyFill="1" applyBorder="1" applyAlignment="1" applyProtection="1">
      <alignment horizontal="center"/>
    </xf>
    <xf numFmtId="0" fontId="40" fillId="12" borderId="52" xfId="0" applyFont="1" applyFill="1" applyBorder="1"/>
    <xf numFmtId="0" fontId="40" fillId="12" borderId="46" xfId="0" applyFont="1" applyFill="1" applyBorder="1"/>
    <xf numFmtId="0" fontId="70" fillId="0" borderId="144" xfId="0" applyFont="1" applyFill="1" applyBorder="1" applyAlignment="1">
      <alignment horizontal="center"/>
    </xf>
    <xf numFmtId="1" fontId="40" fillId="0" borderId="69" xfId="0" applyNumberFormat="1" applyFont="1" applyBorder="1" applyAlignment="1" applyProtection="1">
      <alignment horizontal="center"/>
      <protection locked="0"/>
    </xf>
    <xf numFmtId="1" fontId="40" fillId="0" borderId="69" xfId="0" applyNumberFormat="1" applyFont="1" applyBorder="1" applyAlignment="1" applyProtection="1">
      <alignment horizontal="center" wrapText="1"/>
      <protection locked="0"/>
    </xf>
    <xf numFmtId="2" fontId="40" fillId="0" borderId="69" xfId="0" applyNumberFormat="1" applyFont="1" applyBorder="1" applyAlignment="1" applyProtection="1">
      <alignment horizontal="center"/>
      <protection locked="0"/>
    </xf>
    <xf numFmtId="0" fontId="40" fillId="0" borderId="69" xfId="0" applyFont="1" applyBorder="1" applyAlignment="1" applyProtection="1">
      <alignment horizontal="center"/>
      <protection locked="0"/>
    </xf>
    <xf numFmtId="0" fontId="40" fillId="0" borderId="69" xfId="0" applyNumberFormat="1" applyFont="1" applyBorder="1" applyAlignment="1" applyProtection="1">
      <alignment horizontal="center"/>
      <protection locked="0"/>
    </xf>
    <xf numFmtId="0" fontId="40" fillId="10" borderId="69" xfId="0" applyNumberFormat="1" applyFont="1" applyFill="1" applyBorder="1" applyAlignment="1" applyProtection="1">
      <alignment horizontal="center"/>
    </xf>
    <xf numFmtId="14" fontId="40" fillId="10" borderId="69" xfId="0" applyNumberFormat="1" applyFont="1" applyFill="1" applyBorder="1" applyProtection="1"/>
    <xf numFmtId="0" fontId="40" fillId="10" borderId="69" xfId="0" applyFont="1" applyFill="1" applyBorder="1" applyProtection="1"/>
    <xf numFmtId="175" fontId="40" fillId="0" borderId="69" xfId="0" applyNumberFormat="1" applyFont="1" applyBorder="1" applyAlignment="1" applyProtection="1">
      <alignment horizontal="right"/>
      <protection locked="0"/>
    </xf>
    <xf numFmtId="173" fontId="40" fillId="0" borderId="69" xfId="0" applyNumberFormat="1" applyFont="1" applyBorder="1" applyAlignment="1" applyProtection="1">
      <alignment horizontal="right"/>
      <protection locked="0"/>
    </xf>
    <xf numFmtId="2" fontId="40" fillId="0" borderId="69" xfId="0" applyNumberFormat="1" applyFont="1" applyBorder="1" applyAlignment="1" applyProtection="1">
      <alignment horizontal="right"/>
      <protection locked="0"/>
    </xf>
    <xf numFmtId="0" fontId="75" fillId="0" borderId="144" xfId="0" applyFont="1" applyFill="1" applyBorder="1" applyAlignment="1">
      <alignment horizontal="center"/>
    </xf>
    <xf numFmtId="175" fontId="8" fillId="0" borderId="69" xfId="0" applyNumberFormat="1" applyFont="1" applyBorder="1" applyAlignment="1" applyProtection="1">
      <alignment horizontal="right"/>
      <protection locked="0"/>
    </xf>
    <xf numFmtId="2" fontId="8" fillId="0" borderId="69" xfId="0" applyNumberFormat="1" applyFont="1" applyBorder="1" applyAlignment="1" applyProtection="1">
      <alignment horizontal="right"/>
      <protection locked="0"/>
    </xf>
    <xf numFmtId="175" fontId="40" fillId="10" borderId="69" xfId="0" applyNumberFormat="1" applyFont="1" applyFill="1" applyBorder="1" applyAlignment="1" applyProtection="1">
      <alignment horizontal="right"/>
    </xf>
    <xf numFmtId="175" fontId="8" fillId="10" borderId="69" xfId="0" applyNumberFormat="1" applyFont="1" applyFill="1" applyBorder="1" applyAlignment="1" applyProtection="1">
      <alignment horizontal="right"/>
    </xf>
    <xf numFmtId="175" fontId="8" fillId="18" borderId="69" xfId="0" applyNumberFormat="1" applyFont="1" applyFill="1" applyBorder="1" applyAlignment="1" applyProtection="1">
      <alignment horizontal="center"/>
    </xf>
    <xf numFmtId="0" fontId="70" fillId="0" borderId="136" xfId="0" applyFont="1" applyFill="1" applyBorder="1" applyAlignment="1">
      <alignment horizontal="center"/>
    </xf>
    <xf numFmtId="0" fontId="70" fillId="0" borderId="137" xfId="0" applyFont="1" applyFill="1" applyBorder="1" applyAlignment="1">
      <alignment horizontal="left"/>
    </xf>
    <xf numFmtId="175" fontId="40" fillId="0" borderId="137" xfId="0" applyNumberFormat="1" applyFont="1" applyBorder="1" applyAlignment="1" applyProtection="1">
      <alignment horizontal="right"/>
      <protection locked="0"/>
    </xf>
    <xf numFmtId="0" fontId="40" fillId="15" borderId="69" xfId="0" applyFont="1" applyFill="1" applyBorder="1"/>
    <xf numFmtId="0" fontId="40" fillId="15" borderId="145" xfId="0" applyFont="1" applyFill="1" applyBorder="1"/>
    <xf numFmtId="0" fontId="40" fillId="15" borderId="137" xfId="0" applyFont="1" applyFill="1" applyBorder="1"/>
    <xf numFmtId="0" fontId="40" fillId="15" borderId="138" xfId="0" applyFont="1" applyFill="1" applyBorder="1"/>
    <xf numFmtId="0" fontId="7" fillId="0" borderId="0" xfId="0" applyFont="1" applyFill="1" applyBorder="1" applyAlignment="1" applyProtection="1">
      <alignment wrapText="1"/>
    </xf>
    <xf numFmtId="0" fontId="0" fillId="29" borderId="0" xfId="0" applyFill="1" applyAlignment="1">
      <alignment wrapText="1"/>
    </xf>
    <xf numFmtId="0" fontId="0" fillId="0" borderId="69" xfId="0" applyBorder="1" applyAlignment="1">
      <alignment wrapText="1"/>
    </xf>
    <xf numFmtId="0" fontId="0" fillId="0" borderId="69" xfId="0" applyFill="1" applyBorder="1" applyAlignment="1">
      <alignment wrapText="1"/>
    </xf>
    <xf numFmtId="0" fontId="6" fillId="0" borderId="0" xfId="0" applyFont="1" applyFill="1" applyBorder="1" applyAlignment="1" applyProtection="1">
      <alignment wrapText="1"/>
    </xf>
    <xf numFmtId="0" fontId="7" fillId="0" borderId="69" xfId="0" applyFont="1" applyFill="1" applyBorder="1" applyAlignment="1">
      <alignment vertical="top" wrapText="1"/>
    </xf>
    <xf numFmtId="0" fontId="5" fillId="0" borderId="69" xfId="0" applyFont="1" applyBorder="1" applyAlignment="1">
      <alignment wrapText="1"/>
    </xf>
    <xf numFmtId="0" fontId="5" fillId="0" borderId="69" xfId="0" applyFont="1" applyFill="1" applyBorder="1" applyAlignment="1">
      <alignment vertical="top" wrapText="1"/>
    </xf>
    <xf numFmtId="4" fontId="8" fillId="0" borderId="77" xfId="0" applyNumberFormat="1" applyFont="1" applyBorder="1" applyAlignment="1" applyProtection="1">
      <alignment horizontal="center"/>
      <protection locked="0"/>
    </xf>
    <xf numFmtId="4" fontId="8" fillId="0" borderId="77" xfId="0" applyNumberFormat="1" applyFont="1" applyBorder="1" applyAlignment="1" applyProtection="1">
      <protection locked="0"/>
    </xf>
    <xf numFmtId="4" fontId="8" fillId="0" borderId="77" xfId="0" applyNumberFormat="1" applyFont="1" applyBorder="1" applyProtection="1">
      <protection locked="0"/>
    </xf>
    <xf numFmtId="4" fontId="8" fillId="0" borderId="48" xfId="0" applyNumberFormat="1" applyFont="1" applyBorder="1" applyProtection="1">
      <protection locked="0"/>
    </xf>
    <xf numFmtId="4" fontId="8" fillId="0" borderId="77" xfId="0" applyNumberFormat="1" applyFont="1" applyBorder="1" applyAlignment="1" applyProtection="1">
      <alignment horizontal="right"/>
      <protection locked="0"/>
    </xf>
    <xf numFmtId="4" fontId="8" fillId="0" borderId="72" xfId="0" applyNumberFormat="1" applyFont="1" applyBorder="1" applyAlignment="1" applyProtection="1">
      <protection locked="0"/>
    </xf>
    <xf numFmtId="4" fontId="8" fillId="0" borderId="0" xfId="0" applyNumberFormat="1" applyFont="1" applyBorder="1" applyProtection="1">
      <protection locked="0"/>
    </xf>
    <xf numFmtId="4" fontId="8" fillId="0" borderId="77" xfId="0" applyNumberFormat="1" applyFont="1" applyBorder="1" applyAlignment="1" applyProtection="1">
      <alignment wrapText="1"/>
      <protection locked="0"/>
    </xf>
    <xf numFmtId="4" fontId="8" fillId="18" borderId="77" xfId="0" applyNumberFormat="1" applyFont="1" applyFill="1" applyBorder="1" applyProtection="1">
      <protection locked="0"/>
    </xf>
    <xf numFmtId="4" fontId="8" fillId="0" borderId="77" xfId="0" applyNumberFormat="1" applyFont="1" applyFill="1" applyBorder="1" applyProtection="1">
      <protection locked="0"/>
    </xf>
    <xf numFmtId="4" fontId="8" fillId="0" borderId="77" xfId="0" applyNumberFormat="1" applyFont="1" applyBorder="1"/>
    <xf numFmtId="4" fontId="8" fillId="0" borderId="48" xfId="0" applyNumberFormat="1" applyFont="1" applyBorder="1"/>
    <xf numFmtId="0" fontId="7" fillId="0" borderId="69" xfId="0" applyFont="1" applyFill="1" applyBorder="1" applyAlignment="1" applyProtection="1">
      <alignment wrapText="1"/>
    </xf>
    <xf numFmtId="0" fontId="4" fillId="0" borderId="69" xfId="0" applyFont="1" applyFill="1" applyBorder="1" applyAlignment="1" applyProtection="1">
      <alignment horizontal="center"/>
      <protection locked="0"/>
    </xf>
    <xf numFmtId="0" fontId="4" fillId="0" borderId="69" xfId="0" applyFont="1" applyBorder="1" applyAlignment="1" applyProtection="1">
      <alignment horizontal="center"/>
      <protection locked="0"/>
    </xf>
    <xf numFmtId="4" fontId="8" fillId="0" borderId="103" xfId="0" applyNumberFormat="1" applyFont="1" applyFill="1" applyBorder="1" applyAlignment="1" applyProtection="1">
      <alignment horizontal="center"/>
      <protection locked="0"/>
    </xf>
    <xf numFmtId="4" fontId="8" fillId="0" borderId="103" xfId="1" applyNumberFormat="1" applyFont="1" applyFill="1" applyBorder="1" applyAlignment="1" applyProtection="1">
      <alignment horizontal="center"/>
      <protection locked="0"/>
    </xf>
    <xf numFmtId="4" fontId="8" fillId="0" borderId="103" xfId="0" applyNumberFormat="1" applyFont="1" applyBorder="1" applyAlignment="1" applyProtection="1">
      <alignment horizontal="center"/>
      <protection locked="0"/>
    </xf>
    <xf numFmtId="4" fontId="8" fillId="0" borderId="120" xfId="0" applyNumberFormat="1" applyFont="1" applyBorder="1" applyAlignment="1" applyProtection="1">
      <alignment horizontal="center"/>
      <protection locked="0"/>
    </xf>
    <xf numFmtId="4" fontId="40" fillId="0" borderId="103" xfId="0" applyNumberFormat="1" applyFont="1" applyFill="1" applyBorder="1" applyAlignment="1" applyProtection="1">
      <alignment horizontal="center"/>
      <protection locked="0"/>
    </xf>
    <xf numFmtId="4" fontId="40" fillId="0" borderId="103" xfId="0" applyNumberFormat="1" applyFont="1" applyBorder="1" applyAlignment="1" applyProtection="1">
      <alignment horizontal="center"/>
      <protection locked="0"/>
    </xf>
    <xf numFmtId="4" fontId="40" fillId="0" borderId="120" xfId="0" applyNumberFormat="1" applyFont="1" applyBorder="1" applyAlignment="1" applyProtection="1">
      <alignment horizontal="center"/>
      <protection locked="0"/>
    </xf>
    <xf numFmtId="4" fontId="40" fillId="0" borderId="103" xfId="0" applyNumberFormat="1" applyFont="1" applyBorder="1" applyProtection="1">
      <protection locked="0"/>
    </xf>
    <xf numFmtId="4" fontId="40" fillId="0" borderId="103" xfId="0" applyNumberFormat="1" applyFont="1" applyFill="1" applyBorder="1" applyProtection="1">
      <protection locked="0"/>
    </xf>
    <xf numFmtId="4" fontId="8" fillId="0" borderId="103" xfId="0" applyNumberFormat="1" applyFont="1" applyBorder="1" applyProtection="1">
      <protection locked="0"/>
    </xf>
    <xf numFmtId="4" fontId="40" fillId="10" borderId="103" xfId="0" applyNumberFormat="1" applyFont="1" applyFill="1" applyBorder="1"/>
    <xf numFmtId="4" fontId="40" fillId="0" borderId="103" xfId="0" applyNumberFormat="1" applyFont="1" applyFill="1" applyBorder="1"/>
    <xf numFmtId="4" fontId="8" fillId="0" borderId="103" xfId="0" applyNumberFormat="1" applyFont="1" applyFill="1" applyBorder="1" applyProtection="1">
      <protection locked="0"/>
    </xf>
    <xf numFmtId="4" fontId="8" fillId="10" borderId="103" xfId="0" applyNumberFormat="1" applyFont="1" applyFill="1" applyBorder="1"/>
    <xf numFmtId="4" fontId="40" fillId="10" borderId="103" xfId="0" applyNumberFormat="1" applyFont="1" applyFill="1" applyBorder="1" applyProtection="1"/>
    <xf numFmtId="4" fontId="40" fillId="0" borderId="103" xfId="0" applyNumberFormat="1" applyFont="1" applyFill="1" applyBorder="1" applyProtection="1"/>
    <xf numFmtId="4" fontId="8" fillId="10" borderId="103" xfId="0" applyNumberFormat="1" applyFont="1" applyFill="1" applyBorder="1" applyProtection="1"/>
    <xf numFmtId="4" fontId="8" fillId="15" borderId="48" xfId="0" applyNumberFormat="1" applyFont="1" applyFill="1" applyBorder="1" applyAlignment="1" applyProtection="1">
      <alignment horizontal="right"/>
      <protection locked="0"/>
    </xf>
    <xf numFmtId="4" fontId="8" fillId="0" borderId="50" xfId="0" applyNumberFormat="1" applyFont="1" applyBorder="1" applyAlignment="1" applyProtection="1">
      <alignment horizontal="right"/>
      <protection locked="0"/>
    </xf>
    <xf numFmtId="4" fontId="8" fillId="0" borderId="50" xfId="0" applyNumberFormat="1" applyFont="1" applyBorder="1" applyAlignment="1" applyProtection="1">
      <alignment horizontal="center"/>
      <protection locked="0"/>
    </xf>
    <xf numFmtId="4" fontId="8" fillId="15" borderId="51" xfId="0" applyNumberFormat="1" applyFont="1" applyFill="1" applyBorder="1" applyAlignment="1" applyProtection="1">
      <alignment horizontal="right"/>
      <protection locked="0"/>
    </xf>
    <xf numFmtId="4" fontId="8" fillId="0" borderId="77" xfId="1" applyNumberFormat="1" applyFont="1" applyBorder="1" applyAlignment="1" applyProtection="1">
      <alignment horizontal="right"/>
      <protection locked="0"/>
    </xf>
    <xf numFmtId="4" fontId="8" fillId="0" borderId="77" xfId="1" applyNumberFormat="1" applyFont="1" applyBorder="1" applyAlignment="1" applyProtection="1">
      <protection locked="0"/>
    </xf>
    <xf numFmtId="4" fontId="8" fillId="10" borderId="77" xfId="1" applyNumberFormat="1" applyFont="1" applyFill="1" applyBorder="1" applyAlignment="1">
      <alignment horizontal="right"/>
    </xf>
    <xf numFmtId="4" fontId="8" fillId="0" borderId="77" xfId="1" applyNumberFormat="1" applyFont="1" applyFill="1" applyBorder="1" applyAlignment="1">
      <alignment horizontal="right"/>
    </xf>
    <xf numFmtId="4" fontId="40" fillId="15" borderId="103" xfId="0" applyNumberFormat="1" applyFont="1" applyFill="1" applyBorder="1" applyProtection="1">
      <protection locked="0"/>
    </xf>
    <xf numFmtId="4" fontId="40" fillId="15" borderId="48" xfId="0" applyNumberFormat="1" applyFont="1" applyFill="1" applyBorder="1" applyProtection="1">
      <protection locked="0"/>
    </xf>
    <xf numFmtId="4" fontId="40" fillId="15" borderId="103" xfId="0" applyNumberFormat="1" applyFont="1" applyFill="1" applyBorder="1" applyAlignment="1">
      <alignment horizontal="right"/>
    </xf>
    <xf numFmtId="4" fontId="40" fillId="15" borderId="48" xfId="0" applyNumberFormat="1" applyFont="1" applyFill="1" applyBorder="1" applyAlignment="1">
      <alignment horizontal="right"/>
    </xf>
    <xf numFmtId="4" fontId="8" fillId="15" borderId="103" xfId="0" applyNumberFormat="1" applyFont="1" applyFill="1" applyBorder="1" applyProtection="1">
      <protection locked="0"/>
    </xf>
    <xf numFmtId="4" fontId="8" fillId="15" borderId="48" xfId="0" applyNumberFormat="1" applyFont="1" applyFill="1" applyBorder="1" applyProtection="1">
      <protection locked="0"/>
    </xf>
    <xf numFmtId="4" fontId="40" fillId="15" borderId="103" xfId="0" applyNumberFormat="1" applyFont="1" applyFill="1" applyBorder="1"/>
    <xf numFmtId="4" fontId="40" fillId="15" borderId="48" xfId="0" applyNumberFormat="1" applyFont="1" applyFill="1" applyBorder="1"/>
    <xf numFmtId="4" fontId="8" fillId="15" borderId="103" xfId="0" applyNumberFormat="1" applyFont="1" applyFill="1" applyBorder="1"/>
    <xf numFmtId="4" fontId="8" fillId="15" borderId="48" xfId="0" applyNumberFormat="1" applyFont="1" applyFill="1" applyBorder="1"/>
    <xf numFmtId="4" fontId="40" fillId="15" borderId="103" xfId="0" applyNumberFormat="1" applyFont="1" applyFill="1" applyBorder="1" applyProtection="1"/>
    <xf numFmtId="4" fontId="40" fillId="15" borderId="48" xfId="0" applyNumberFormat="1" applyFont="1" applyFill="1" applyBorder="1" applyProtection="1"/>
    <xf numFmtId="4" fontId="8" fillId="15" borderId="103" xfId="0" applyNumberFormat="1" applyFont="1" applyFill="1" applyBorder="1" applyProtection="1"/>
    <xf numFmtId="4" fontId="8" fillId="15" borderId="48" xfId="0" applyNumberFormat="1" applyFont="1" applyFill="1" applyBorder="1" applyProtection="1"/>
    <xf numFmtId="4" fontId="8" fillId="15" borderId="50" xfId="0" applyNumberFormat="1" applyFont="1" applyFill="1" applyBorder="1" applyProtection="1"/>
    <xf numFmtId="4" fontId="8" fillId="15" borderId="51" xfId="0" applyNumberFormat="1" applyFont="1" applyFill="1" applyBorder="1" applyProtection="1"/>
    <xf numFmtId="4" fontId="40" fillId="0" borderId="103" xfId="0" applyNumberFormat="1" applyFont="1" applyBorder="1" applyAlignment="1" applyProtection="1">
      <alignment horizontal="right"/>
      <protection locked="0"/>
    </xf>
    <xf numFmtId="4" fontId="40" fillId="15" borderId="103" xfId="0" applyNumberFormat="1" applyFont="1" applyFill="1" applyBorder="1" applyAlignment="1" applyProtection="1">
      <alignment horizontal="right"/>
      <protection locked="0"/>
    </xf>
    <xf numFmtId="4" fontId="40" fillId="15" borderId="48" xfId="0" applyNumberFormat="1" applyFont="1" applyFill="1" applyBorder="1" applyAlignment="1" applyProtection="1">
      <alignment horizontal="right"/>
      <protection locked="0"/>
    </xf>
    <xf numFmtId="4" fontId="40" fillId="0" borderId="103" xfId="0" applyNumberFormat="1" applyFont="1" applyFill="1" applyBorder="1" applyAlignment="1" applyProtection="1">
      <alignment horizontal="right"/>
    </xf>
    <xf numFmtId="4" fontId="40" fillId="10" borderId="103" xfId="0" applyNumberFormat="1" applyFont="1" applyFill="1" applyBorder="1" applyAlignment="1" applyProtection="1">
      <alignment horizontal="right"/>
    </xf>
    <xf numFmtId="4" fontId="40" fillId="15" borderId="103" xfId="0" applyNumberFormat="1" applyFont="1" applyFill="1" applyBorder="1" applyAlignment="1" applyProtection="1">
      <alignment horizontal="right"/>
    </xf>
    <xf numFmtId="4" fontId="40" fillId="15" borderId="48" xfId="0" applyNumberFormat="1" applyFont="1" applyFill="1" applyBorder="1" applyAlignment="1" applyProtection="1">
      <alignment horizontal="right"/>
    </xf>
    <xf numFmtId="4" fontId="8" fillId="0" borderId="103" xfId="0" applyNumberFormat="1" applyFont="1" applyBorder="1" applyAlignment="1" applyProtection="1">
      <alignment horizontal="right"/>
      <protection locked="0"/>
    </xf>
    <xf numFmtId="4" fontId="8" fillId="0" borderId="103" xfId="0" applyNumberFormat="1" applyFont="1" applyFill="1" applyBorder="1" applyAlignment="1" applyProtection="1">
      <alignment horizontal="right"/>
      <protection locked="0"/>
    </xf>
    <xf numFmtId="4" fontId="8" fillId="15" borderId="103" xfId="0" applyNumberFormat="1" applyFont="1" applyFill="1" applyBorder="1" applyAlignment="1" applyProtection="1">
      <alignment horizontal="right"/>
      <protection locked="0"/>
    </xf>
    <xf numFmtId="4" fontId="8" fillId="10" borderId="103" xfId="0" applyNumberFormat="1" applyFont="1" applyFill="1" applyBorder="1" applyAlignment="1" applyProtection="1">
      <alignment horizontal="right"/>
    </xf>
    <xf numFmtId="4" fontId="8" fillId="0" borderId="103" xfId="0" applyNumberFormat="1" applyFont="1" applyFill="1" applyBorder="1" applyAlignment="1" applyProtection="1">
      <alignment horizontal="right"/>
    </xf>
    <xf numFmtId="4" fontId="8" fillId="15" borderId="103" xfId="0" applyNumberFormat="1" applyFont="1" applyFill="1" applyBorder="1" applyAlignment="1" applyProtection="1">
      <alignment horizontal="right"/>
    </xf>
    <xf numFmtId="4" fontId="8" fillId="15" borderId="48" xfId="0" applyNumberFormat="1" applyFont="1" applyFill="1" applyBorder="1" applyAlignment="1" applyProtection="1">
      <alignment horizontal="right"/>
    </xf>
    <xf numFmtId="4" fontId="8" fillId="15" borderId="50" xfId="0" applyNumberFormat="1" applyFont="1" applyFill="1" applyBorder="1" applyProtection="1">
      <protection locked="0"/>
    </xf>
    <xf numFmtId="4" fontId="8" fillId="15" borderId="51" xfId="0" applyNumberFormat="1" applyFont="1" applyFill="1" applyBorder="1" applyProtection="1">
      <protection locked="0"/>
    </xf>
    <xf numFmtId="4" fontId="40" fillId="0" borderId="69" xfId="0" applyNumberFormat="1" applyFont="1" applyBorder="1"/>
    <xf numFmtId="4" fontId="8" fillId="18" borderId="103" xfId="0" applyNumberFormat="1" applyFont="1" applyFill="1" applyBorder="1" applyAlignment="1" applyProtection="1">
      <alignment horizontal="right"/>
      <protection locked="0"/>
    </xf>
    <xf numFmtId="4" fontId="40" fillId="0" borderId="0" xfId="0" applyNumberFormat="1" applyFont="1" applyBorder="1" applyProtection="1">
      <protection locked="0"/>
    </xf>
    <xf numFmtId="4" fontId="40" fillId="10" borderId="145" xfId="0" applyNumberFormat="1" applyFont="1" applyFill="1" applyBorder="1" applyAlignment="1" applyProtection="1">
      <alignment horizontal="right"/>
    </xf>
    <xf numFmtId="4" fontId="40" fillId="25" borderId="103" xfId="0" applyNumberFormat="1" applyFont="1" applyFill="1" applyBorder="1" applyAlignment="1" applyProtection="1">
      <alignment horizontal="right"/>
      <protection locked="0"/>
    </xf>
    <xf numFmtId="4" fontId="40" fillId="0" borderId="103" xfId="0" applyNumberFormat="1" applyFont="1" applyFill="1" applyBorder="1" applyAlignment="1" applyProtection="1">
      <alignment horizontal="right"/>
      <protection locked="0"/>
    </xf>
    <xf numFmtId="4" fontId="40" fillId="0" borderId="103" xfId="1" applyNumberFormat="1" applyFont="1" applyFill="1" applyBorder="1" applyProtection="1"/>
    <xf numFmtId="4" fontId="40" fillId="10" borderId="103" xfId="1" applyNumberFormat="1" applyFont="1" applyFill="1" applyBorder="1" applyProtection="1"/>
    <xf numFmtId="4" fontId="40" fillId="15" borderId="103" xfId="1" applyNumberFormat="1" applyFont="1" applyFill="1" applyBorder="1" applyProtection="1"/>
    <xf numFmtId="4" fontId="40" fillId="15" borderId="48" xfId="1" applyNumberFormat="1" applyFont="1" applyFill="1" applyBorder="1" applyProtection="1"/>
    <xf numFmtId="4" fontId="40" fillId="10" borderId="103" xfId="1" applyNumberFormat="1" applyFont="1" applyFill="1" applyBorder="1" applyProtection="1">
      <protection locked="0"/>
    </xf>
    <xf numFmtId="4" fontId="40" fillId="15" borderId="103" xfId="1" applyNumberFormat="1" applyFont="1" applyFill="1" applyBorder="1" applyProtection="1">
      <protection locked="0"/>
    </xf>
    <xf numFmtId="4" fontId="40" fillId="15" borderId="48" xfId="1" applyNumberFormat="1" applyFont="1" applyFill="1" applyBorder="1" applyProtection="1">
      <protection locked="0"/>
    </xf>
    <xf numFmtId="4" fontId="8" fillId="10" borderId="103" xfId="0" applyNumberFormat="1" applyFont="1" applyFill="1" applyBorder="1" applyProtection="1">
      <protection locked="0"/>
    </xf>
    <xf numFmtId="4" fontId="40" fillId="0" borderId="103" xfId="0" applyNumberFormat="1" applyFont="1" applyBorder="1"/>
    <xf numFmtId="4" fontId="8" fillId="0" borderId="103" xfId="0" applyNumberFormat="1" applyFont="1" applyBorder="1"/>
    <xf numFmtId="4" fontId="40" fillId="10" borderId="103" xfId="0" applyNumberFormat="1" applyFont="1" applyFill="1" applyBorder="1" applyAlignment="1" applyProtection="1">
      <alignment horizontal="right"/>
      <protection locked="0"/>
    </xf>
    <xf numFmtId="4" fontId="40" fillId="0" borderId="1" xfId="0" applyNumberFormat="1" applyFont="1" applyBorder="1" applyAlignment="1" applyProtection="1">
      <alignment horizontal="right"/>
      <protection locked="0"/>
    </xf>
    <xf numFmtId="4" fontId="4" fillId="0" borderId="1" xfId="0" applyNumberFormat="1" applyFont="1" applyBorder="1" applyAlignment="1" applyProtection="1">
      <alignment horizontal="right"/>
      <protection locked="0"/>
    </xf>
    <xf numFmtId="4" fontId="8" fillId="10" borderId="1" xfId="0" applyNumberFormat="1" applyFont="1" applyFill="1" applyBorder="1" applyAlignment="1">
      <alignment horizontal="right"/>
    </xf>
    <xf numFmtId="4" fontId="8" fillId="0" borderId="1" xfId="0" applyNumberFormat="1" applyFont="1" applyBorder="1" applyAlignment="1" applyProtection="1">
      <alignment horizontal="right"/>
      <protection locked="0"/>
    </xf>
    <xf numFmtId="4" fontId="8" fillId="0" borderId="1" xfId="0" applyNumberFormat="1" applyFont="1" applyFill="1" applyBorder="1" applyAlignment="1" applyProtection="1">
      <alignment horizontal="right"/>
      <protection locked="0"/>
    </xf>
    <xf numFmtId="4" fontId="40" fillId="0" borderId="1" xfId="0" applyNumberFormat="1" applyFont="1" applyFill="1" applyBorder="1" applyAlignment="1">
      <alignment horizontal="right"/>
    </xf>
    <xf numFmtId="4" fontId="40" fillId="10" borderId="1" xfId="0" applyNumberFormat="1" applyFont="1" applyFill="1" applyBorder="1" applyAlignment="1">
      <alignment horizontal="right"/>
    </xf>
    <xf numFmtId="4" fontId="4" fillId="0" borderId="1" xfId="0" applyNumberFormat="1" applyFont="1" applyFill="1" applyBorder="1" applyAlignment="1">
      <alignment horizontal="right"/>
    </xf>
    <xf numFmtId="4" fontId="40" fillId="0" borderId="133" xfId="0" applyNumberFormat="1" applyFont="1" applyBorder="1" applyAlignment="1" applyProtection="1">
      <alignment horizontal="right"/>
      <protection locked="0"/>
    </xf>
    <xf numFmtId="4" fontId="4" fillId="0" borderId="133" xfId="0" applyNumberFormat="1" applyFont="1" applyBorder="1" applyAlignment="1" applyProtection="1">
      <alignment horizontal="right"/>
      <protection locked="0"/>
    </xf>
    <xf numFmtId="4" fontId="138" fillId="0" borderId="135" xfId="0" applyNumberFormat="1" applyFont="1" applyBorder="1" applyAlignment="1" applyProtection="1">
      <alignment horizontal="right"/>
      <protection locked="0"/>
    </xf>
    <xf numFmtId="4" fontId="40" fillId="0" borderId="1" xfId="0" applyNumberFormat="1" applyFont="1" applyFill="1" applyBorder="1" applyAlignment="1" applyProtection="1">
      <alignment horizontal="right"/>
      <protection locked="0"/>
    </xf>
    <xf numFmtId="4" fontId="4" fillId="0" borderId="1" xfId="0" applyNumberFormat="1" applyFont="1" applyFill="1" applyBorder="1" applyAlignment="1" applyProtection="1">
      <alignment horizontal="right"/>
      <protection locked="0"/>
    </xf>
    <xf numFmtId="4" fontId="4" fillId="10" borderId="1" xfId="0" applyNumberFormat="1" applyFont="1" applyFill="1" applyBorder="1" applyAlignment="1">
      <alignment horizontal="right"/>
    </xf>
    <xf numFmtId="0" fontId="74" fillId="27" borderId="1" xfId="0" applyFont="1" applyFill="1" applyBorder="1" applyAlignment="1">
      <alignment horizontal="left"/>
    </xf>
    <xf numFmtId="0" fontId="74" fillId="27" borderId="45" xfId="0" applyFont="1" applyFill="1" applyBorder="1" applyAlignment="1">
      <alignment horizontal="center"/>
    </xf>
    <xf numFmtId="0" fontId="100" fillId="27" borderId="45" xfId="0" applyFont="1" applyFill="1" applyBorder="1" applyAlignment="1">
      <alignment horizontal="center"/>
    </xf>
    <xf numFmtId="0" fontId="5" fillId="0" borderId="0" xfId="0" applyFont="1" applyAlignment="1">
      <alignment wrapText="1"/>
    </xf>
    <xf numFmtId="0" fontId="141" fillId="0" borderId="0" xfId="0" applyFont="1" applyFill="1" applyAlignment="1">
      <alignment horizontal="left"/>
    </xf>
    <xf numFmtId="0" fontId="155" fillId="0" borderId="0" xfId="0" applyFont="1" applyFill="1" applyBorder="1"/>
    <xf numFmtId="0" fontId="4" fillId="0" borderId="146" xfId="0" applyFont="1" applyFill="1" applyBorder="1"/>
    <xf numFmtId="3" fontId="4" fillId="0" borderId="146" xfId="0" applyNumberFormat="1" applyFont="1" applyFill="1" applyBorder="1"/>
    <xf numFmtId="0" fontId="161" fillId="26" borderId="0" xfId="0" applyFont="1" applyFill="1"/>
    <xf numFmtId="180" fontId="0" fillId="26" borderId="0" xfId="0" applyNumberFormat="1" applyFill="1"/>
    <xf numFmtId="0" fontId="115" fillId="0" borderId="146" xfId="0" quotePrefix="1" applyFont="1" applyFill="1" applyBorder="1"/>
    <xf numFmtId="0" fontId="7" fillId="0" borderId="77" xfId="0" applyFont="1" applyBorder="1" applyAlignment="1">
      <alignment vertical="top" wrapText="1"/>
    </xf>
    <xf numFmtId="0" fontId="7" fillId="0" borderId="94" xfId="0" applyFont="1" applyBorder="1" applyAlignment="1">
      <alignment vertical="top" wrapText="1"/>
    </xf>
    <xf numFmtId="0" fontId="7" fillId="0" borderId="71" xfId="0" applyFont="1" applyBorder="1" applyAlignment="1">
      <alignment vertical="top" wrapText="1"/>
    </xf>
    <xf numFmtId="0" fontId="7" fillId="0" borderId="72" xfId="0" applyFont="1" applyBorder="1" applyAlignment="1">
      <alignment vertical="top" wrapText="1"/>
    </xf>
    <xf numFmtId="0" fontId="7" fillId="0" borderId="0" xfId="0" applyFont="1" applyAlignment="1">
      <alignment vertical="top" wrapText="1"/>
    </xf>
    <xf numFmtId="0" fontId="40" fillId="0" borderId="147" xfId="0" applyFont="1" applyFill="1" applyBorder="1"/>
    <xf numFmtId="1" fontId="40" fillId="0" borderId="0" xfId="0" quotePrefix="1" applyNumberFormat="1" applyFont="1" applyFill="1" applyBorder="1"/>
    <xf numFmtId="181" fontId="4" fillId="0" borderId="0" xfId="0" applyNumberFormat="1" applyFont="1" applyFill="1"/>
    <xf numFmtId="4" fontId="40" fillId="0" borderId="18" xfId="0" applyNumberFormat="1" applyFont="1" applyBorder="1" applyProtection="1">
      <protection locked="0"/>
    </xf>
    <xf numFmtId="0" fontId="67" fillId="0" borderId="56" xfId="0" applyFont="1" applyFill="1" applyBorder="1" applyAlignment="1">
      <alignment horizontal="left"/>
    </xf>
    <xf numFmtId="0" fontId="1" fillId="0" borderId="56" xfId="0" applyFont="1" applyFill="1" applyBorder="1" applyAlignment="1"/>
    <xf numFmtId="0" fontId="1" fillId="0" borderId="0" xfId="0" applyFont="1" applyFill="1" applyAlignment="1"/>
    <xf numFmtId="0" fontId="5" fillId="0" borderId="0" xfId="0" quotePrefix="1" applyFont="1" applyFill="1" applyBorder="1" applyAlignment="1">
      <alignment horizontal="center"/>
    </xf>
    <xf numFmtId="0" fontId="5" fillId="0" borderId="0" xfId="1" applyNumberFormat="1" applyFont="1" applyFill="1" applyBorder="1" applyAlignment="1" applyProtection="1">
      <alignment horizontal="center"/>
      <protection locked="0"/>
    </xf>
    <xf numFmtId="0" fontId="132" fillId="0" borderId="0" xfId="0" applyFont="1" applyFill="1" applyAlignment="1">
      <alignment horizontal="justify" vertical="center"/>
    </xf>
    <xf numFmtId="0" fontId="0" fillId="0" borderId="0" xfId="0" applyFill="1" applyAlignment="1">
      <alignment horizontal="left" indent="2"/>
    </xf>
    <xf numFmtId="0" fontId="1" fillId="0" borderId="0" xfId="0" applyFont="1" applyFill="1" applyAlignment="1">
      <alignment horizontal="justify" vertical="center"/>
    </xf>
    <xf numFmtId="0" fontId="1" fillId="0" borderId="0" xfId="0" applyFont="1" applyFill="1" applyAlignment="1">
      <alignment horizontal="right"/>
    </xf>
    <xf numFmtId="0" fontId="60" fillId="0" borderId="0" xfId="0" applyFont="1" applyFill="1"/>
    <xf numFmtId="0" fontId="4" fillId="0" borderId="1" xfId="0" applyFont="1" applyFill="1" applyBorder="1" applyAlignment="1">
      <alignment vertical="top"/>
    </xf>
    <xf numFmtId="177" fontId="57" fillId="0" borderId="1" xfId="0" applyNumberFormat="1" applyFont="1" applyFill="1" applyBorder="1" applyAlignment="1">
      <alignment vertical="top"/>
    </xf>
    <xf numFmtId="0" fontId="57" fillId="0" borderId="1" xfId="0" applyFont="1" applyFill="1" applyBorder="1" applyAlignment="1">
      <alignment vertical="top"/>
    </xf>
    <xf numFmtId="0" fontId="115" fillId="0" borderId="1" xfId="0" applyFont="1" applyFill="1" applyBorder="1" applyAlignment="1">
      <alignment vertical="top"/>
    </xf>
    <xf numFmtId="177" fontId="115" fillId="0" borderId="1" xfId="0" applyNumberFormat="1" applyFont="1" applyFill="1" applyBorder="1" applyAlignment="1">
      <alignment vertical="top"/>
    </xf>
    <xf numFmtId="0" fontId="92" fillId="0" borderId="1" xfId="0" applyFont="1" applyFill="1" applyBorder="1" applyAlignment="1">
      <alignment vertical="top"/>
    </xf>
    <xf numFmtId="177" fontId="92" fillId="0" borderId="1" xfId="0" applyNumberFormat="1" applyFont="1" applyFill="1" applyBorder="1" applyAlignment="1">
      <alignment vertical="top"/>
    </xf>
    <xf numFmtId="0" fontId="57" fillId="0" borderId="1" xfId="0" applyFont="1" applyFill="1" applyBorder="1" applyAlignment="1">
      <alignment vertical="top" wrapText="1"/>
    </xf>
    <xf numFmtId="177" fontId="4" fillId="0" borderId="1" xfId="0" applyNumberFormat="1" applyFont="1" applyFill="1" applyBorder="1" applyAlignment="1">
      <alignment vertical="top" wrapText="1"/>
    </xf>
    <xf numFmtId="0" fontId="93" fillId="0" borderId="73" xfId="0" applyFont="1" applyFill="1" applyBorder="1"/>
    <xf numFmtId="0" fontId="93" fillId="0" borderId="74" xfId="0" applyFont="1" applyFill="1" applyBorder="1"/>
    <xf numFmtId="0" fontId="1" fillId="0" borderId="85" xfId="0" applyFont="1" applyFill="1" applyBorder="1"/>
    <xf numFmtId="170" fontId="0" fillId="0" borderId="75" xfId="1" applyNumberFormat="1" applyFont="1" applyFill="1" applyBorder="1"/>
    <xf numFmtId="9" fontId="1" fillId="0" borderId="75" xfId="0" applyNumberFormat="1" applyFont="1" applyFill="1" applyBorder="1"/>
    <xf numFmtId="6" fontId="0" fillId="0" borderId="0" xfId="0" applyNumberFormat="1" applyFill="1"/>
    <xf numFmtId="6" fontId="1" fillId="0" borderId="0" xfId="0" quotePrefix="1" applyNumberFormat="1" applyFont="1" applyFill="1"/>
    <xf numFmtId="0" fontId="1" fillId="0" borderId="0" xfId="0" quotePrefix="1" applyFont="1" applyFill="1"/>
    <xf numFmtId="8" fontId="0" fillId="0" borderId="0" xfId="0" applyNumberFormat="1" applyFill="1" applyAlignment="1">
      <alignment horizontal="left"/>
    </xf>
    <xf numFmtId="0" fontId="7" fillId="0" borderId="0" xfId="0" applyFont="1" applyFill="1" applyBorder="1"/>
    <xf numFmtId="0" fontId="93" fillId="0" borderId="75" xfId="0" applyFont="1" applyFill="1" applyBorder="1" applyAlignment="1">
      <alignment horizontal="right"/>
    </xf>
    <xf numFmtId="15" fontId="0" fillId="0" borderId="0" xfId="0" applyNumberFormat="1" applyFill="1"/>
    <xf numFmtId="14" fontId="0" fillId="0" borderId="0" xfId="0" applyNumberFormat="1" applyFill="1"/>
    <xf numFmtId="9" fontId="0" fillId="0" borderId="0" xfId="4" applyFont="1" applyFill="1" applyBorder="1"/>
    <xf numFmtId="0" fontId="10" fillId="0" borderId="1" xfId="0" applyFont="1" applyFill="1" applyBorder="1" applyProtection="1"/>
    <xf numFmtId="0" fontId="93" fillId="0" borderId="1" xfId="0" applyFont="1" applyFill="1" applyBorder="1"/>
    <xf numFmtId="0" fontId="93" fillId="0" borderId="1" xfId="0" applyFont="1" applyFill="1" applyBorder="1" applyProtection="1"/>
    <xf numFmtId="0" fontId="93" fillId="0" borderId="1" xfId="0" applyFont="1" applyFill="1" applyBorder="1" applyProtection="1">
      <protection locked="0"/>
    </xf>
    <xf numFmtId="0" fontId="93" fillId="0" borderId="0" xfId="0" applyFont="1" applyFill="1" applyProtection="1"/>
    <xf numFmtId="0" fontId="93" fillId="0" borderId="0" xfId="0" applyFont="1" applyFill="1" applyAlignment="1" applyProtection="1">
      <alignment horizontal="right"/>
    </xf>
    <xf numFmtId="0" fontId="93" fillId="0" borderId="1" xfId="0" applyFont="1" applyFill="1" applyBorder="1" applyAlignment="1" applyProtection="1">
      <alignment horizontal="center"/>
      <protection locked="0"/>
    </xf>
    <xf numFmtId="0" fontId="0" fillId="0" borderId="0" xfId="0" applyFill="1" applyProtection="1"/>
    <xf numFmtId="0" fontId="0" fillId="0" borderId="1" xfId="0" applyFill="1" applyBorder="1" applyProtection="1"/>
    <xf numFmtId="0" fontId="10" fillId="0" borderId="1" xfId="0" applyFont="1" applyFill="1" applyBorder="1"/>
    <xf numFmtId="0" fontId="0" fillId="0" borderId="0" xfId="0" applyFill="1" applyAlignment="1" applyProtection="1">
      <alignment horizontal="right"/>
    </xf>
    <xf numFmtId="0" fontId="0" fillId="0" borderId="1" xfId="0" applyFill="1" applyBorder="1" applyAlignment="1" applyProtection="1">
      <alignment horizontal="center"/>
      <protection locked="0"/>
    </xf>
    <xf numFmtId="0" fontId="1" fillId="0" borderId="0" xfId="0" applyFont="1" applyFill="1" applyAlignment="1" applyProtection="1">
      <alignment horizontal="right"/>
    </xf>
    <xf numFmtId="0" fontId="61" fillId="0" borderId="1" xfId="0" applyFont="1" applyFill="1" applyBorder="1" applyAlignment="1">
      <alignment vertical="top"/>
    </xf>
    <xf numFmtId="0" fontId="80" fillId="0" borderId="1" xfId="0" applyFont="1" applyFill="1" applyBorder="1" applyAlignment="1">
      <alignment vertical="top" wrapText="1"/>
    </xf>
    <xf numFmtId="170" fontId="4" fillId="0" borderId="1" xfId="0" applyNumberFormat="1" applyFont="1" applyFill="1" applyBorder="1" applyAlignment="1">
      <alignment vertical="top"/>
    </xf>
    <xf numFmtId="9" fontId="61" fillId="0" borderId="1" xfId="0" applyNumberFormat="1" applyFont="1" applyFill="1" applyBorder="1" applyAlignment="1">
      <alignment vertical="top"/>
    </xf>
    <xf numFmtId="9" fontId="115" fillId="0" borderId="1" xfId="0" applyNumberFormat="1" applyFont="1" applyFill="1" applyBorder="1" applyAlignment="1">
      <alignment vertical="top"/>
    </xf>
    <xf numFmtId="10" fontId="92" fillId="0" borderId="1" xfId="0" applyNumberFormat="1" applyFont="1" applyFill="1" applyBorder="1" applyAlignment="1">
      <alignment vertical="top"/>
    </xf>
    <xf numFmtId="9" fontId="80" fillId="0" borderId="1" xfId="0" applyNumberFormat="1" applyFont="1" applyFill="1" applyBorder="1" applyAlignment="1">
      <alignment vertical="top" wrapText="1"/>
    </xf>
    <xf numFmtId="10" fontId="4" fillId="0" borderId="1" xfId="0" applyNumberFormat="1" applyFont="1" applyFill="1" applyBorder="1" applyAlignment="1">
      <alignment vertical="top"/>
    </xf>
    <xf numFmtId="0" fontId="1" fillId="0" borderId="0" xfId="0" quotePrefix="1" applyFont="1" applyAlignment="1">
      <alignment horizontal="center"/>
    </xf>
    <xf numFmtId="0" fontId="4" fillId="0" borderId="105" xfId="0" applyFont="1" applyFill="1" applyBorder="1" applyAlignment="1" applyProtection="1">
      <alignment vertical="top" wrapText="1"/>
      <protection locked="0"/>
    </xf>
    <xf numFmtId="0" fontId="4" fillId="0" borderId="107" xfId="0" applyFont="1" applyFill="1" applyBorder="1" applyAlignment="1" applyProtection="1">
      <alignment vertical="top" wrapText="1"/>
      <protection locked="0"/>
    </xf>
    <xf numFmtId="0" fontId="4" fillId="0" borderId="105" xfId="0" applyFont="1" applyFill="1" applyBorder="1" applyAlignment="1" applyProtection="1">
      <alignment wrapText="1"/>
      <protection locked="0"/>
    </xf>
    <xf numFmtId="0" fontId="4" fillId="0" borderId="0" xfId="0" applyFont="1" applyFill="1" applyAlignment="1" applyProtection="1">
      <alignment wrapText="1"/>
      <protection locked="0"/>
    </xf>
    <xf numFmtId="0" fontId="4" fillId="0" borderId="103" xfId="0" applyFont="1" applyFill="1" applyBorder="1" applyProtection="1">
      <protection locked="0"/>
    </xf>
    <xf numFmtId="1" fontId="36" fillId="0" borderId="0" xfId="0" quotePrefix="1" applyNumberFormat="1" applyFont="1" applyFill="1" applyBorder="1" applyAlignment="1">
      <alignment horizontal="left"/>
    </xf>
    <xf numFmtId="1" fontId="36" fillId="0" borderId="77" xfId="0" applyNumberFormat="1" applyFont="1" applyFill="1" applyBorder="1" applyAlignment="1">
      <alignment horizontal="left"/>
    </xf>
    <xf numFmtId="2" fontId="116" fillId="0" borderId="66" xfId="0" applyNumberFormat="1" applyFont="1" applyFill="1" applyBorder="1" applyAlignment="1">
      <alignment horizontal="right"/>
    </xf>
    <xf numFmtId="3" fontId="1" fillId="14" borderId="75" xfId="0" applyNumberFormat="1" applyFont="1" applyFill="1" applyBorder="1"/>
    <xf numFmtId="0" fontId="71" fillId="0" borderId="1" xfId="0" applyFont="1" applyFill="1" applyBorder="1" applyAlignment="1">
      <alignment horizontal="left"/>
    </xf>
    <xf numFmtId="0" fontId="99" fillId="0" borderId="0" xfId="0" applyFont="1" applyFill="1" applyAlignment="1" applyProtection="1">
      <alignment horizontal="right"/>
      <protection hidden="1"/>
    </xf>
    <xf numFmtId="1" fontId="92" fillId="0" borderId="0" xfId="0" applyNumberFormat="1" applyFont="1" applyFill="1" applyAlignment="1">
      <alignment horizontal="right"/>
    </xf>
    <xf numFmtId="0" fontId="4" fillId="0" borderId="0" xfId="0" applyFont="1" applyFill="1" applyAlignment="1">
      <alignment horizontal="center" wrapText="1"/>
    </xf>
    <xf numFmtId="4" fontId="1" fillId="14" borderId="75" xfId="0" applyNumberFormat="1" applyFont="1" applyFill="1" applyBorder="1"/>
    <xf numFmtId="4" fontId="0" fillId="14" borderId="75" xfId="0" applyNumberFormat="1" applyFill="1" applyBorder="1"/>
    <xf numFmtId="3" fontId="0" fillId="14" borderId="1" xfId="1" applyNumberFormat="1" applyFont="1" applyFill="1" applyBorder="1"/>
    <xf numFmtId="0" fontId="1" fillId="14" borderId="74" xfId="0" applyFont="1" applyFill="1" applyBorder="1"/>
    <xf numFmtId="0" fontId="1" fillId="14" borderId="73" xfId="0" applyFont="1" applyFill="1" applyBorder="1"/>
    <xf numFmtId="0" fontId="1" fillId="0" borderId="146" xfId="0" applyFont="1" applyBorder="1" applyAlignment="1">
      <alignment wrapText="1"/>
    </xf>
    <xf numFmtId="0" fontId="0" fillId="0" borderId="146" xfId="0" applyBorder="1" applyAlignment="1">
      <alignment wrapText="1"/>
    </xf>
    <xf numFmtId="0" fontId="10" fillId="0" borderId="146" xfId="0" applyFont="1" applyBorder="1" applyAlignment="1">
      <alignment wrapText="1"/>
    </xf>
    <xf numFmtId="1" fontId="30" fillId="0" borderId="0" xfId="0" applyNumberFormat="1" applyFont="1" applyFill="1"/>
    <xf numFmtId="1" fontId="141" fillId="0" borderId="0" xfId="0" applyNumberFormat="1" applyFont="1" applyFill="1" applyAlignment="1">
      <alignment horizontal="left"/>
    </xf>
    <xf numFmtId="0" fontId="92" fillId="0" borderId="17" xfId="0" applyFont="1" applyFill="1" applyBorder="1" applyAlignment="1">
      <alignment horizontal="left"/>
    </xf>
    <xf numFmtId="0" fontId="92" fillId="0" borderId="27" xfId="0" applyFont="1" applyFill="1" applyBorder="1"/>
    <xf numFmtId="1" fontId="92" fillId="0" borderId="16" xfId="0" applyNumberFormat="1" applyFont="1" applyFill="1" applyBorder="1"/>
    <xf numFmtId="0" fontId="142" fillId="0" borderId="0" xfId="0" applyFont="1" applyFill="1"/>
    <xf numFmtId="0" fontId="36" fillId="0" borderId="17" xfId="0" applyFont="1" applyFill="1" applyBorder="1" applyAlignment="1">
      <alignment horizontal="center"/>
    </xf>
    <xf numFmtId="0" fontId="114" fillId="0" borderId="0" xfId="0" applyFont="1" applyFill="1" applyBorder="1"/>
    <xf numFmtId="0" fontId="126" fillId="0" borderId="104" xfId="0" quotePrefix="1" applyFont="1" applyFill="1" applyBorder="1"/>
    <xf numFmtId="0" fontId="126" fillId="0" borderId="71" xfId="0" applyFont="1" applyFill="1" applyBorder="1"/>
    <xf numFmtId="0" fontId="126" fillId="0" borderId="72" xfId="0" applyFont="1" applyFill="1" applyBorder="1"/>
    <xf numFmtId="0" fontId="115" fillId="0" borderId="105" xfId="0" applyFont="1" applyFill="1" applyBorder="1" applyAlignment="1">
      <alignment horizontal="left" indent="1"/>
    </xf>
    <xf numFmtId="0" fontId="4" fillId="0" borderId="106" xfId="0" applyFont="1" applyFill="1" applyBorder="1"/>
    <xf numFmtId="0" fontId="4" fillId="0" borderId="107" xfId="0" applyFont="1" applyFill="1" applyBorder="1"/>
    <xf numFmtId="1" fontId="4" fillId="0" borderId="1" xfId="0" applyNumberFormat="1" applyFont="1" applyFill="1" applyBorder="1" applyAlignment="1">
      <alignment horizontal="center"/>
    </xf>
    <xf numFmtId="0" fontId="92" fillId="0" borderId="0" xfId="0" applyFont="1" applyFill="1" applyBorder="1" applyAlignment="1">
      <alignment horizontal="left"/>
    </xf>
    <xf numFmtId="0" fontId="115" fillId="0" borderId="84" xfId="0" applyFont="1" applyFill="1" applyBorder="1"/>
    <xf numFmtId="0" fontId="115" fillId="0" borderId="86" xfId="0" applyFont="1" applyFill="1" applyBorder="1"/>
    <xf numFmtId="0" fontId="115" fillId="0" borderId="0" xfId="0" applyFont="1" applyFill="1" applyBorder="1" applyAlignment="1">
      <alignment horizontal="right"/>
    </xf>
    <xf numFmtId="0" fontId="115" fillId="0" borderId="77" xfId="0" applyFont="1" applyFill="1" applyBorder="1" applyAlignment="1">
      <alignment horizontal="center"/>
    </xf>
    <xf numFmtId="0" fontId="114" fillId="0" borderId="65" xfId="0" applyFont="1" applyFill="1" applyBorder="1" applyAlignment="1">
      <alignment horizontal="left"/>
    </xf>
    <xf numFmtId="0" fontId="4" fillId="14" borderId="9" xfId="0" applyFont="1" applyFill="1" applyBorder="1"/>
    <xf numFmtId="0" fontId="4" fillId="14" borderId="11" xfId="0" applyFont="1" applyFill="1" applyBorder="1"/>
    <xf numFmtId="6" fontId="4" fillId="14" borderId="7" xfId="0" applyNumberFormat="1" applyFont="1" applyFill="1" applyBorder="1"/>
    <xf numFmtId="6" fontId="4" fillId="14" borderId="10" xfId="0" applyNumberFormat="1" applyFont="1" applyFill="1" applyBorder="1"/>
    <xf numFmtId="0" fontId="1" fillId="0" borderId="0" xfId="0" applyFont="1" applyFill="1" applyAlignment="1">
      <alignment horizontal="left" vertical="center"/>
    </xf>
    <xf numFmtId="0" fontId="1" fillId="0" borderId="0" xfId="0" applyFont="1" applyFill="1" applyAlignment="1">
      <alignment horizontal="left" vertical="center" indent="1"/>
    </xf>
    <xf numFmtId="0" fontId="99" fillId="0" borderId="113" xfId="0" applyFont="1" applyFill="1" applyBorder="1" applyAlignment="1">
      <alignment horizontal="left" vertical="center" indent="5"/>
    </xf>
    <xf numFmtId="0" fontId="99" fillId="0" borderId="114" xfId="0" applyFont="1" applyFill="1" applyBorder="1"/>
    <xf numFmtId="0" fontId="99" fillId="0" borderId="114" xfId="0" applyFont="1" applyFill="1" applyBorder="1" applyAlignment="1">
      <alignment horizontal="left" vertical="center" indent="1"/>
    </xf>
    <xf numFmtId="0" fontId="99" fillId="0" borderId="0" xfId="0" applyFont="1" applyFill="1" applyBorder="1"/>
    <xf numFmtId="0" fontId="99" fillId="0" borderId="65" xfId="0" applyFont="1" applyFill="1" applyBorder="1" applyAlignment="1">
      <alignment horizontal="left" vertical="center" indent="5"/>
    </xf>
    <xf numFmtId="0" fontId="99" fillId="0" borderId="0" xfId="0" applyFont="1" applyFill="1" applyBorder="1" applyAlignment="1">
      <alignment horizontal="left" vertical="center" indent="1"/>
    </xf>
    <xf numFmtId="0" fontId="115" fillId="0" borderId="0" xfId="0" applyFont="1" applyFill="1" applyBorder="1" applyAlignment="1">
      <alignment horizontal="left" indent="3"/>
    </xf>
    <xf numFmtId="0" fontId="99" fillId="0" borderId="67" xfId="0" applyFont="1" applyFill="1" applyBorder="1" applyAlignment="1">
      <alignment horizontal="left" vertical="center" indent="5"/>
    </xf>
    <xf numFmtId="0" fontId="99" fillId="0" borderId="68" xfId="0" applyFont="1" applyFill="1" applyBorder="1"/>
    <xf numFmtId="0" fontId="121" fillId="0" borderId="62" xfId="0" applyFont="1" applyFill="1" applyBorder="1"/>
    <xf numFmtId="0" fontId="99" fillId="0" borderId="0" xfId="0" applyFont="1" applyFill="1" applyAlignment="1">
      <alignment horizontal="left" vertical="center" indent="2"/>
    </xf>
    <xf numFmtId="0" fontId="115" fillId="0" borderId="65" xfId="0" applyFont="1" applyFill="1" applyBorder="1" applyAlignment="1">
      <alignment horizontal="left" vertical="center" indent="1"/>
    </xf>
    <xf numFmtId="0" fontId="115" fillId="0" borderId="65" xfId="0" applyFont="1" applyFill="1" applyBorder="1" applyAlignment="1">
      <alignment horizontal="left" vertical="center" indent="2"/>
    </xf>
    <xf numFmtId="0" fontId="36" fillId="0" borderId="30" xfId="0" applyFont="1" applyFill="1" applyBorder="1" applyAlignment="1">
      <alignment horizontal="right"/>
    </xf>
    <xf numFmtId="0" fontId="36" fillId="0" borderId="77" xfId="0" applyFont="1" applyFill="1" applyBorder="1"/>
    <xf numFmtId="0" fontId="153" fillId="0" borderId="113" xfId="0" applyFont="1" applyFill="1" applyBorder="1" applyAlignment="1">
      <alignment horizontal="left"/>
    </xf>
    <xf numFmtId="0" fontId="4" fillId="0" borderId="68" xfId="0" applyFont="1" applyFill="1" applyBorder="1" applyAlignment="1">
      <alignment horizontal="left"/>
    </xf>
    <xf numFmtId="0" fontId="92" fillId="0" borderId="0" xfId="0" applyFont="1" applyFill="1" applyAlignment="1">
      <alignment horizontal="left"/>
    </xf>
    <xf numFmtId="0" fontId="159" fillId="0" borderId="0" xfId="0" applyFont="1" applyFill="1" applyBorder="1" applyAlignment="1">
      <alignment horizontal="left"/>
    </xf>
    <xf numFmtId="0" fontId="144" fillId="0" borderId="0" xfId="0" applyFont="1" applyFill="1" applyAlignment="1">
      <alignment horizontal="left"/>
    </xf>
    <xf numFmtId="0" fontId="133" fillId="0" borderId="0" xfId="0" applyFont="1" applyFill="1" applyAlignment="1">
      <alignment horizontal="right"/>
    </xf>
    <xf numFmtId="0" fontId="7" fillId="14" borderId="113" xfId="0" applyFont="1" applyFill="1" applyBorder="1" applyAlignment="1">
      <alignment vertical="top" wrapText="1"/>
    </xf>
    <xf numFmtId="0" fontId="0" fillId="0" borderId="115" xfId="0" applyBorder="1" applyAlignment="1">
      <alignment wrapText="1"/>
    </xf>
    <xf numFmtId="0" fontId="0" fillId="0" borderId="148" xfId="0" applyFill="1" applyBorder="1" applyAlignment="1">
      <alignment wrapText="1"/>
    </xf>
    <xf numFmtId="0" fontId="1" fillId="0" borderId="148" xfId="0" applyFont="1" applyFill="1" applyBorder="1" applyAlignment="1">
      <alignment vertical="top" wrapText="1"/>
    </xf>
    <xf numFmtId="0" fontId="7" fillId="0" borderId="148" xfId="0" applyFont="1" applyBorder="1" applyAlignment="1">
      <alignment vertical="top" wrapText="1"/>
    </xf>
    <xf numFmtId="0" fontId="1" fillId="0" borderId="148" xfId="0" applyFont="1" applyBorder="1" applyAlignment="1">
      <alignment wrapText="1"/>
    </xf>
    <xf numFmtId="1" fontId="4" fillId="14" borderId="0" xfId="0" applyNumberFormat="1" applyFont="1" applyFill="1" applyBorder="1" applyAlignment="1">
      <alignment horizontal="right"/>
    </xf>
    <xf numFmtId="0" fontId="101" fillId="0" borderId="148" xfId="0" applyFont="1" applyBorder="1" applyAlignment="1">
      <alignment vertical="center" wrapText="1"/>
    </xf>
    <xf numFmtId="0" fontId="27" fillId="0" borderId="94" xfId="0" applyFont="1" applyFill="1" applyBorder="1" applyAlignment="1">
      <alignment horizontal="right"/>
    </xf>
    <xf numFmtId="172" fontId="4" fillId="0" borderId="0" xfId="0" quotePrefix="1" applyNumberFormat="1" applyFont="1" applyFill="1" applyAlignment="1">
      <alignment horizontal="right"/>
    </xf>
    <xf numFmtId="0" fontId="27" fillId="0" borderId="77" xfId="0" applyFont="1" applyFill="1" applyBorder="1" applyAlignment="1">
      <alignment horizontal="right"/>
    </xf>
    <xf numFmtId="172" fontId="4" fillId="0" borderId="0" xfId="0" applyNumberFormat="1" applyFont="1" applyFill="1" applyBorder="1"/>
    <xf numFmtId="7" fontId="4" fillId="0" borderId="1" xfId="0" applyNumberFormat="1" applyFont="1" applyFill="1" applyBorder="1" applyProtection="1">
      <protection locked="0"/>
    </xf>
    <xf numFmtId="0" fontId="7" fillId="0" borderId="104" xfId="0" applyFont="1" applyFill="1" applyBorder="1" applyAlignment="1">
      <alignment vertical="top" wrapText="1"/>
    </xf>
    <xf numFmtId="0" fontId="7" fillId="0" borderId="72" xfId="0" applyFont="1" applyFill="1" applyBorder="1" applyAlignment="1">
      <alignment vertical="top" wrapText="1"/>
    </xf>
    <xf numFmtId="0" fontId="1" fillId="0" borderId="104" xfId="0" applyFont="1" applyBorder="1" applyAlignment="1">
      <alignment wrapText="1"/>
    </xf>
    <xf numFmtId="0" fontId="4" fillId="0" borderId="60" xfId="0" applyFont="1" applyFill="1" applyBorder="1" applyAlignment="1">
      <alignment horizontal="center"/>
    </xf>
    <xf numFmtId="1" fontId="8" fillId="14" borderId="0" xfId="0" applyNumberFormat="1" applyFont="1" applyFill="1" applyBorder="1" applyAlignment="1">
      <alignment horizontal="left"/>
    </xf>
    <xf numFmtId="1" fontId="4" fillId="14" borderId="0" xfId="0" applyNumberFormat="1" applyFont="1" applyFill="1" applyBorder="1"/>
    <xf numFmtId="0" fontId="4" fillId="14" borderId="0" xfId="0" applyFont="1" applyFill="1" applyBorder="1" applyAlignment="1">
      <alignment horizontal="center"/>
    </xf>
    <xf numFmtId="0" fontId="1" fillId="14" borderId="0" xfId="0" applyFont="1" applyFill="1" applyBorder="1" applyAlignment="1">
      <alignment vertical="center"/>
    </xf>
    <xf numFmtId="2" fontId="4" fillId="14" borderId="0" xfId="0" applyNumberFormat="1" applyFont="1" applyFill="1" applyBorder="1"/>
    <xf numFmtId="1" fontId="116" fillId="14" borderId="148" xfId="0" applyNumberFormat="1" applyFont="1" applyFill="1" applyBorder="1" applyAlignment="1">
      <alignment horizontal="center"/>
    </xf>
    <xf numFmtId="1" fontId="4" fillId="14" borderId="148" xfId="0" applyNumberFormat="1" applyFont="1" applyFill="1" applyBorder="1"/>
    <xf numFmtId="1" fontId="116" fillId="14" borderId="0" xfId="0" applyNumberFormat="1" applyFont="1" applyFill="1" applyBorder="1" applyAlignment="1">
      <alignment horizontal="right"/>
    </xf>
    <xf numFmtId="1" fontId="4" fillId="14" borderId="0" xfId="0" applyNumberFormat="1" applyFont="1" applyFill="1" applyBorder="1" applyAlignment="1">
      <alignment horizontal="center"/>
    </xf>
    <xf numFmtId="1" fontId="8" fillId="14" borderId="0" xfId="0" applyNumberFormat="1" applyFont="1" applyFill="1" applyBorder="1"/>
    <xf numFmtId="1" fontId="115" fillId="14" borderId="0" xfId="0" applyNumberFormat="1" applyFont="1" applyFill="1" applyBorder="1"/>
    <xf numFmtId="2" fontId="4" fillId="14" borderId="148" xfId="0" applyNumberFormat="1" applyFont="1" applyFill="1" applyBorder="1"/>
    <xf numFmtId="0" fontId="115" fillId="14" borderId="0" xfId="0" applyFont="1" applyFill="1" applyBorder="1"/>
    <xf numFmtId="0" fontId="101" fillId="14" borderId="0" xfId="0" applyFont="1" applyFill="1" applyAlignment="1">
      <alignment horizontal="left" vertical="center" indent="2"/>
    </xf>
    <xf numFmtId="1" fontId="36" fillId="14" borderId="1" xfId="0" applyNumberFormat="1" applyFont="1" applyFill="1" applyBorder="1"/>
    <xf numFmtId="1" fontId="4" fillId="14" borderId="0" xfId="0" applyNumberFormat="1" applyFont="1" applyFill="1"/>
    <xf numFmtId="1" fontId="4" fillId="14" borderId="0" xfId="0" applyNumberFormat="1" applyFont="1" applyFill="1" applyAlignment="1">
      <alignment horizontal="right"/>
    </xf>
    <xf numFmtId="1" fontId="36" fillId="14" borderId="0" xfId="0" applyNumberFormat="1" applyFont="1" applyFill="1" applyAlignment="1">
      <alignment horizontal="left"/>
    </xf>
    <xf numFmtId="1" fontId="36" fillId="14" borderId="1" xfId="0" applyNumberFormat="1" applyFont="1" applyFill="1" applyBorder="1" applyAlignment="1">
      <alignment horizontal="center"/>
    </xf>
    <xf numFmtId="4" fontId="4" fillId="14" borderId="1" xfId="0" applyNumberFormat="1" applyFont="1" applyFill="1" applyBorder="1"/>
    <xf numFmtId="1" fontId="116" fillId="14" borderId="1" xfId="0" applyNumberFormat="1" applyFont="1" applyFill="1" applyBorder="1" applyAlignment="1">
      <alignment horizontal="center"/>
    </xf>
    <xf numFmtId="0" fontId="7" fillId="0" borderId="148" xfId="0" applyFont="1" applyBorder="1" applyAlignment="1">
      <alignment vertical="center"/>
    </xf>
    <xf numFmtId="1" fontId="118" fillId="0" borderId="1" xfId="0" applyNumberFormat="1" applyFont="1" applyFill="1" applyBorder="1"/>
    <xf numFmtId="1" fontId="5" fillId="0" borderId="1" xfId="0" applyNumberFormat="1" applyFont="1" applyFill="1" applyBorder="1" applyAlignment="1">
      <alignment wrapText="1"/>
    </xf>
    <xf numFmtId="0" fontId="118" fillId="0" borderId="17" xfId="0" applyFont="1" applyFill="1" applyBorder="1" applyAlignment="1"/>
    <xf numFmtId="0" fontId="143" fillId="0" borderId="1" xfId="0" applyFont="1" applyFill="1" applyBorder="1" applyAlignment="1"/>
    <xf numFmtId="4" fontId="118" fillId="0" borderId="1" xfId="0" applyNumberFormat="1" applyFont="1" applyFill="1" applyBorder="1"/>
    <xf numFmtId="0" fontId="27" fillId="14" borderId="1" xfId="0" applyFont="1" applyFill="1" applyBorder="1" applyAlignment="1">
      <alignment horizontal="right"/>
    </xf>
    <xf numFmtId="0" fontId="5" fillId="14" borderId="0" xfId="0" applyFont="1" applyFill="1" applyBorder="1" applyAlignment="1"/>
    <xf numFmtId="0" fontId="5" fillId="14" borderId="0" xfId="0" applyFont="1" applyFill="1"/>
    <xf numFmtId="0" fontId="4" fillId="14" borderId="0" xfId="0" applyFont="1" applyFill="1" applyAlignment="1"/>
    <xf numFmtId="166" fontId="4" fillId="14" borderId="0" xfId="1" applyNumberFormat="1" applyFont="1" applyFill="1" applyAlignment="1"/>
    <xf numFmtId="171" fontId="4" fillId="14" borderId="0" xfId="0" applyNumberFormat="1" applyFont="1" applyFill="1" applyAlignment="1">
      <alignment horizontal="right"/>
    </xf>
    <xf numFmtId="0" fontId="58" fillId="14" borderId="0" xfId="0" applyFont="1" applyFill="1"/>
    <xf numFmtId="0" fontId="65" fillId="14" borderId="0" xfId="0" applyFont="1" applyFill="1"/>
    <xf numFmtId="0" fontId="40" fillId="14" borderId="0" xfId="0" applyFont="1" applyFill="1" applyBorder="1" applyAlignment="1"/>
    <xf numFmtId="0" fontId="4" fillId="14" borderId="0" xfId="0" applyFont="1" applyFill="1" applyBorder="1" applyAlignment="1"/>
    <xf numFmtId="2" fontId="4" fillId="14" borderId="1" xfId="0" applyNumberFormat="1" applyFont="1" applyFill="1" applyBorder="1"/>
    <xf numFmtId="172" fontId="4" fillId="14" borderId="0" xfId="0" applyNumberFormat="1" applyFont="1" applyFill="1" applyAlignment="1">
      <alignment horizontal="right"/>
    </xf>
    <xf numFmtId="3" fontId="93" fillId="14" borderId="75" xfId="0" applyNumberFormat="1" applyFont="1" applyFill="1" applyBorder="1"/>
    <xf numFmtId="0" fontId="93" fillId="14" borderId="73" xfId="0" applyFont="1" applyFill="1" applyBorder="1"/>
    <xf numFmtId="0" fontId="93" fillId="14" borderId="74" xfId="0" applyFont="1" applyFill="1" applyBorder="1"/>
    <xf numFmtId="0" fontId="8" fillId="0" borderId="77" xfId="0" quotePrefix="1" applyFont="1" applyFill="1" applyBorder="1" applyAlignment="1" applyProtection="1">
      <alignment horizontal="center"/>
      <protection locked="0"/>
    </xf>
    <xf numFmtId="0" fontId="8" fillId="0" borderId="77" xfId="0" quotePrefix="1" applyFont="1" applyFill="1" applyBorder="1" applyAlignment="1">
      <alignment horizontal="center"/>
    </xf>
    <xf numFmtId="0" fontId="1" fillId="0" borderId="69" xfId="0" applyFont="1" applyFill="1" applyBorder="1" applyAlignment="1">
      <alignment wrapText="1"/>
    </xf>
    <xf numFmtId="0" fontId="74" fillId="0" borderId="136" xfId="0" applyFont="1" applyFill="1" applyBorder="1"/>
    <xf numFmtId="0" fontId="74" fillId="0" borderId="137" xfId="0" applyFont="1" applyFill="1" applyBorder="1"/>
    <xf numFmtId="0" fontId="40" fillId="18" borderId="103" xfId="0" applyFont="1" applyFill="1" applyBorder="1" applyAlignment="1" applyProtection="1">
      <alignment horizontal="center"/>
    </xf>
    <xf numFmtId="175" fontId="8" fillId="0" borderId="69" xfId="0" applyNumberFormat="1" applyFont="1" applyFill="1" applyBorder="1" applyAlignment="1" applyProtection="1">
      <alignment horizontal="right"/>
      <protection locked="0"/>
    </xf>
    <xf numFmtId="0" fontId="70" fillId="18" borderId="144" xfId="0" applyFont="1" applyFill="1" applyBorder="1" applyAlignment="1">
      <alignment horizontal="center"/>
    </xf>
    <xf numFmtId="0" fontId="70" fillId="18" borderId="69" xfId="0" applyFont="1" applyFill="1" applyBorder="1" applyAlignment="1">
      <alignment horizontal="left"/>
    </xf>
    <xf numFmtId="175" fontId="8" fillId="18" borderId="69" xfId="0" applyNumberFormat="1" applyFont="1" applyFill="1" applyBorder="1" applyAlignment="1" applyProtection="1">
      <alignment horizontal="right"/>
      <protection locked="0"/>
    </xf>
    <xf numFmtId="0" fontId="40" fillId="18" borderId="145" xfId="0" applyFont="1" applyFill="1" applyBorder="1"/>
    <xf numFmtId="0" fontId="74" fillId="0" borderId="1" xfId="0" applyFont="1" applyFill="1" applyBorder="1" applyAlignment="1">
      <alignment horizontal="left"/>
    </xf>
    <xf numFmtId="0" fontId="74" fillId="0" borderId="45" xfId="0" applyFont="1" applyFill="1" applyBorder="1" applyAlignment="1">
      <alignment horizontal="center"/>
    </xf>
    <xf numFmtId="4" fontId="8" fillId="18" borderId="1" xfId="0" applyNumberFormat="1" applyFont="1" applyFill="1" applyBorder="1" applyAlignment="1">
      <alignment horizontal="right"/>
    </xf>
    <xf numFmtId="4" fontId="40" fillId="18" borderId="1" xfId="0" applyNumberFormat="1" applyFont="1" applyFill="1" applyBorder="1" applyAlignment="1">
      <alignment horizontal="right"/>
    </xf>
    <xf numFmtId="0" fontId="4" fillId="0" borderId="77" xfId="0" applyNumberFormat="1" applyFont="1" applyFill="1" applyBorder="1" applyAlignment="1" applyProtection="1">
      <alignment horizontal="center"/>
      <protection locked="0"/>
    </xf>
    <xf numFmtId="175" fontId="4" fillId="0" borderId="77" xfId="0" applyNumberFormat="1" applyFont="1" applyFill="1" applyBorder="1"/>
    <xf numFmtId="175" fontId="4" fillId="0" borderId="77" xfId="0" applyNumberFormat="1" applyFont="1" applyFill="1" applyBorder="1" applyAlignment="1" applyProtection="1"/>
    <xf numFmtId="2" fontId="4" fillId="0" borderId="77" xfId="0" applyNumberFormat="1" applyFont="1" applyFill="1" applyBorder="1"/>
    <xf numFmtId="175" fontId="4" fillId="10" borderId="77" xfId="0" applyNumberFormat="1" applyFont="1" applyFill="1" applyBorder="1"/>
    <xf numFmtId="0" fontId="4" fillId="0" borderId="77" xfId="0" applyNumberFormat="1" applyFont="1" applyBorder="1" applyProtection="1">
      <protection locked="0"/>
    </xf>
    <xf numFmtId="175" fontId="4" fillId="10" borderId="77" xfId="0" applyNumberFormat="1" applyFont="1" applyFill="1" applyBorder="1" applyAlignment="1" applyProtection="1"/>
    <xf numFmtId="175" fontId="4" fillId="0" borderId="77" xfId="0" applyNumberFormat="1" applyFont="1" applyFill="1" applyBorder="1" applyAlignment="1" applyProtection="1">
      <alignment horizontal="right"/>
      <protection locked="0"/>
    </xf>
    <xf numFmtId="0" fontId="148" fillId="18" borderId="69" xfId="0" applyFont="1" applyFill="1" applyBorder="1"/>
    <xf numFmtId="0" fontId="92" fillId="18" borderId="87" xfId="0" applyFont="1" applyFill="1" applyBorder="1" applyAlignment="1" applyProtection="1">
      <alignment horizontal="center"/>
    </xf>
    <xf numFmtId="0" fontId="156" fillId="18" borderId="110" xfId="0" applyFont="1" applyFill="1" applyBorder="1" applyAlignment="1">
      <alignment horizontal="center"/>
    </xf>
    <xf numFmtId="0" fontId="156" fillId="18" borderId="72" xfId="0" applyFont="1" applyFill="1" applyBorder="1" applyAlignment="1">
      <alignment horizontal="left"/>
    </xf>
    <xf numFmtId="4" fontId="111" fillId="18" borderId="77" xfId="0" applyNumberFormat="1" applyFont="1" applyFill="1" applyBorder="1" applyAlignment="1" applyProtection="1">
      <alignment horizontal="right"/>
      <protection locked="0"/>
    </xf>
    <xf numFmtId="4" fontId="111" fillId="18" borderId="77" xfId="0" applyNumberFormat="1" applyFont="1" applyFill="1" applyBorder="1" applyProtection="1">
      <protection locked="0"/>
    </xf>
    <xf numFmtId="4" fontId="111" fillId="18" borderId="48" xfId="0" applyNumberFormat="1" applyFont="1" applyFill="1" applyBorder="1" applyProtection="1">
      <protection locked="0"/>
    </xf>
    <xf numFmtId="0" fontId="40" fillId="0" borderId="50" xfId="0" applyFont="1" applyFill="1" applyBorder="1" applyProtection="1">
      <protection locked="0"/>
    </xf>
    <xf numFmtId="179" fontId="40" fillId="0" borderId="103" xfId="1" applyNumberFormat="1" applyFont="1" applyFill="1" applyBorder="1" applyAlignment="1">
      <alignment horizontal="center"/>
    </xf>
    <xf numFmtId="0" fontId="100" fillId="0" borderId="119" xfId="0" applyFont="1" applyFill="1" applyBorder="1" applyAlignment="1">
      <alignment horizontal="left"/>
    </xf>
    <xf numFmtId="0" fontId="8" fillId="0" borderId="119" xfId="0" applyFont="1" applyFill="1" applyBorder="1" applyAlignment="1">
      <alignment horizontal="left"/>
    </xf>
    <xf numFmtId="0" fontId="74" fillId="0" borderId="136" xfId="0" applyFont="1" applyFill="1" applyBorder="1" applyAlignment="1">
      <alignment horizontal="left"/>
    </xf>
    <xf numFmtId="179" fontId="160" fillId="0" borderId="103" xfId="1" applyNumberFormat="1" applyFont="1" applyFill="1" applyBorder="1" applyAlignment="1">
      <alignment horizontal="center"/>
    </xf>
    <xf numFmtId="179" fontId="40" fillId="0" borderId="120" xfId="1" applyNumberFormat="1" applyFont="1" applyFill="1" applyBorder="1" applyAlignment="1">
      <alignment horizontal="center"/>
    </xf>
    <xf numFmtId="0" fontId="4" fillId="0" borderId="103" xfId="0" applyFont="1" applyFill="1" applyBorder="1" applyAlignment="1">
      <alignment horizontal="center"/>
    </xf>
    <xf numFmtId="3" fontId="8" fillId="0" borderId="103" xfId="0" applyNumberFormat="1" applyFont="1" applyFill="1" applyBorder="1" applyAlignment="1">
      <alignment horizontal="center"/>
    </xf>
    <xf numFmtId="3" fontId="40" fillId="0" borderId="103" xfId="0" applyNumberFormat="1" applyFont="1" applyFill="1" applyBorder="1" applyAlignment="1">
      <alignment horizontal="center"/>
    </xf>
    <xf numFmtId="4" fontId="8" fillId="0" borderId="120" xfId="1" applyNumberFormat="1" applyFont="1" applyFill="1" applyBorder="1" applyAlignment="1">
      <alignment horizontal="right"/>
    </xf>
    <xf numFmtId="4" fontId="40" fillId="0" borderId="120" xfId="0" applyNumberFormat="1" applyFont="1" applyFill="1" applyBorder="1" applyAlignment="1">
      <alignment horizontal="center"/>
    </xf>
    <xf numFmtId="0" fontId="40" fillId="0" borderId="103" xfId="0" applyNumberFormat="1" applyFont="1" applyFill="1" applyBorder="1"/>
    <xf numFmtId="1" fontId="40" fillId="0" borderId="120" xfId="1" applyNumberFormat="1" applyFont="1" applyFill="1" applyBorder="1" applyAlignment="1">
      <alignment horizontal="center"/>
    </xf>
    <xf numFmtId="0" fontId="40" fillId="0" borderId="142" xfId="0" applyFont="1" applyFill="1" applyBorder="1"/>
    <xf numFmtId="0" fontId="158" fillId="0" borderId="141" xfId="0" applyFont="1" applyFill="1" applyBorder="1" applyAlignment="1">
      <alignment vertical="center" wrapText="1"/>
    </xf>
    <xf numFmtId="0" fontId="118" fillId="0" borderId="141" xfId="0" applyFont="1" applyFill="1" applyBorder="1" applyAlignment="1">
      <alignment vertical="center" wrapText="1"/>
    </xf>
    <xf numFmtId="1" fontId="4" fillId="0" borderId="103" xfId="1" applyNumberFormat="1" applyFont="1" applyFill="1" applyBorder="1" applyAlignment="1">
      <alignment horizontal="center"/>
    </xf>
    <xf numFmtId="43" fontId="4" fillId="0" borderId="103" xfId="1" applyFont="1" applyFill="1" applyBorder="1" applyAlignment="1">
      <alignment horizontal="right"/>
    </xf>
    <xf numFmtId="0" fontId="8" fillId="16" borderId="1" xfId="0" applyFont="1" applyFill="1" applyBorder="1" applyProtection="1"/>
    <xf numFmtId="0" fontId="7" fillId="0" borderId="104" xfId="0" applyFont="1" applyBorder="1" applyAlignment="1">
      <alignment vertical="top" wrapText="1"/>
    </xf>
    <xf numFmtId="0" fontId="0" fillId="0" borderId="0" xfId="0" applyAlignment="1">
      <alignment wrapText="1"/>
    </xf>
    <xf numFmtId="0" fontId="1" fillId="26" borderId="0" xfId="0" applyFont="1" applyFill="1" applyBorder="1"/>
    <xf numFmtId="2" fontId="5" fillId="0" borderId="4" xfId="0" applyNumberFormat="1" applyFont="1" applyFill="1" applyBorder="1"/>
    <xf numFmtId="0" fontId="74" fillId="0" borderId="144" xfId="0" applyFont="1" applyBorder="1" applyAlignment="1">
      <alignment horizontal="center"/>
    </xf>
    <xf numFmtId="4" fontId="40" fillId="0" borderId="145" xfId="0" applyNumberFormat="1" applyFont="1" applyFill="1" applyBorder="1" applyAlignment="1" applyProtection="1">
      <alignment horizontal="right"/>
      <protection locked="0"/>
    </xf>
    <xf numFmtId="0" fontId="138" fillId="14" borderId="69" xfId="0" applyFont="1" applyFill="1" applyBorder="1"/>
    <xf numFmtId="0" fontId="4" fillId="14" borderId="87" xfId="0" applyFont="1" applyFill="1" applyBorder="1" applyAlignment="1" applyProtection="1">
      <alignment horizontal="center"/>
    </xf>
    <xf numFmtId="0" fontId="74" fillId="14" borderId="136" xfId="0" applyFont="1" applyFill="1" applyBorder="1" applyAlignment="1">
      <alignment horizontal="center"/>
    </xf>
    <xf numFmtId="49" fontId="56" fillId="14" borderId="33" xfId="0" applyNumberFormat="1" applyFont="1" applyFill="1" applyBorder="1" applyAlignment="1" applyProtection="1">
      <alignment horizontal="center"/>
    </xf>
    <xf numFmtId="4" fontId="4" fillId="14" borderId="107" xfId="0" applyNumberFormat="1" applyFont="1" applyFill="1" applyBorder="1" applyAlignment="1" applyProtection="1">
      <alignment horizontal="center"/>
    </xf>
    <xf numFmtId="0" fontId="74" fillId="0" borderId="32" xfId="0" applyFont="1" applyFill="1" applyBorder="1" applyAlignment="1">
      <alignment horizontal="left"/>
    </xf>
    <xf numFmtId="0" fontId="74" fillId="0" borderId="33" xfId="0" applyFont="1" applyFill="1" applyBorder="1" applyAlignment="1">
      <alignment horizontal="left"/>
    </xf>
    <xf numFmtId="1" fontId="36" fillId="16" borderId="0" xfId="0" applyNumberFormat="1" applyFont="1" applyFill="1" applyBorder="1" applyAlignment="1">
      <alignment horizontal="left"/>
    </xf>
    <xf numFmtId="1" fontId="36" fillId="14" borderId="0" xfId="0" applyNumberFormat="1" applyFont="1" applyFill="1" applyBorder="1" applyAlignment="1">
      <alignment horizontal="left"/>
    </xf>
    <xf numFmtId="0" fontId="4" fillId="16" borderId="0" xfId="0" applyFont="1" applyFill="1" applyAlignment="1">
      <alignment horizontal="center"/>
    </xf>
    <xf numFmtId="0" fontId="8" fillId="16" borderId="17" xfId="0" applyFont="1" applyFill="1" applyBorder="1" applyAlignment="1">
      <alignment horizontal="left"/>
    </xf>
    <xf numFmtId="0" fontId="4" fillId="16" borderId="27" xfId="0" applyFont="1" applyFill="1" applyBorder="1"/>
    <xf numFmtId="0" fontId="4" fillId="16" borderId="16" xfId="0" applyFont="1" applyFill="1" applyBorder="1"/>
    <xf numFmtId="1" fontId="4" fillId="16" borderId="0" xfId="0" applyNumberFormat="1" applyFont="1" applyFill="1" applyBorder="1" applyAlignment="1">
      <alignment horizontal="center"/>
    </xf>
    <xf numFmtId="1" fontId="116" fillId="16" borderId="0" xfId="0" applyNumberFormat="1" applyFont="1" applyFill="1" applyBorder="1" applyAlignment="1">
      <alignment horizontal="right"/>
    </xf>
    <xf numFmtId="1" fontId="116" fillId="16" borderId="148" xfId="0" applyNumberFormat="1" applyFont="1" applyFill="1" applyBorder="1" applyAlignment="1">
      <alignment horizontal="center"/>
    </xf>
    <xf numFmtId="1" fontId="4" fillId="16" borderId="148" xfId="0" applyNumberFormat="1" applyFont="1" applyFill="1" applyBorder="1"/>
    <xf numFmtId="0" fontId="16" fillId="16" borderId="1" xfId="0" applyFont="1" applyFill="1" applyBorder="1" applyAlignment="1"/>
    <xf numFmtId="1" fontId="5" fillId="16" borderId="1" xfId="0" applyNumberFormat="1" applyFont="1" applyFill="1" applyBorder="1"/>
    <xf numFmtId="4" fontId="5" fillId="16" borderId="1" xfId="0" applyNumberFormat="1" applyFont="1" applyFill="1" applyBorder="1"/>
    <xf numFmtId="0" fontId="5" fillId="16" borderId="17" xfId="0" applyFont="1" applyFill="1" applyBorder="1" applyAlignment="1"/>
    <xf numFmtId="0" fontId="4" fillId="14" borderId="0" xfId="0" quotePrefix="1" applyFont="1" applyFill="1" applyBorder="1" applyAlignment="1">
      <alignment horizontal="center"/>
    </xf>
    <xf numFmtId="3" fontId="5" fillId="16" borderId="1" xfId="0" applyNumberFormat="1" applyFont="1" applyFill="1" applyBorder="1"/>
    <xf numFmtId="0" fontId="7" fillId="0" borderId="149" xfId="0" applyFont="1" applyBorder="1" applyAlignment="1">
      <alignment vertical="top" wrapText="1"/>
    </xf>
    <xf numFmtId="0" fontId="4" fillId="16" borderId="0" xfId="0" applyFont="1" applyFill="1" applyBorder="1" applyAlignment="1"/>
    <xf numFmtId="0" fontId="4" fillId="16" borderId="0" xfId="0" applyFont="1" applyFill="1" applyBorder="1" applyAlignment="1">
      <alignment horizontal="left" indent="2"/>
    </xf>
    <xf numFmtId="0" fontId="4" fillId="16" borderId="0" xfId="0" applyFont="1" applyFill="1" applyBorder="1" applyAlignment="1">
      <alignment horizontal="right" indent="2"/>
    </xf>
    <xf numFmtId="0" fontId="4" fillId="14" borderId="0" xfId="0" applyFont="1" applyFill="1" applyAlignment="1">
      <alignment horizontal="left"/>
    </xf>
    <xf numFmtId="6" fontId="91" fillId="0" borderId="0" xfId="0" applyNumberFormat="1" applyFont="1" applyFill="1" applyAlignment="1">
      <alignment horizontal="left"/>
    </xf>
    <xf numFmtId="0" fontId="0" fillId="0" borderId="0" xfId="0" applyAlignment="1">
      <alignment wrapText="1"/>
    </xf>
    <xf numFmtId="0" fontId="4" fillId="16" borderId="103" xfId="0" applyFont="1" applyFill="1" applyBorder="1" applyAlignment="1" applyProtection="1">
      <alignment horizontal="center"/>
      <protection locked="0"/>
    </xf>
    <xf numFmtId="0" fontId="4" fillId="16" borderId="0" xfId="0" applyFont="1" applyFill="1" applyBorder="1" applyProtection="1"/>
    <xf numFmtId="2" fontId="5" fillId="14" borderId="3" xfId="0" applyNumberFormat="1" applyFont="1" applyFill="1" applyBorder="1" applyAlignment="1">
      <alignment horizontal="center"/>
    </xf>
    <xf numFmtId="1" fontId="5" fillId="14" borderId="3" xfId="0" applyNumberFormat="1" applyFont="1" applyFill="1" applyBorder="1" applyAlignment="1">
      <alignment horizontal="center"/>
    </xf>
    <xf numFmtId="0" fontId="4" fillId="16" borderId="0" xfId="0" applyFont="1" applyFill="1" applyAlignment="1">
      <alignment horizontal="right"/>
    </xf>
    <xf numFmtId="0" fontId="155" fillId="16" borderId="0" xfId="0" applyFont="1" applyFill="1" applyBorder="1"/>
    <xf numFmtId="0" fontId="155" fillId="0" borderId="0" xfId="0" applyFont="1" applyFill="1" applyBorder="1" applyAlignment="1">
      <alignment horizontal="left"/>
    </xf>
    <xf numFmtId="0" fontId="4" fillId="20" borderId="0" xfId="0" applyFont="1" applyFill="1" applyProtection="1"/>
    <xf numFmtId="0" fontId="4" fillId="14" borderId="0" xfId="0" applyFont="1" applyFill="1" applyProtection="1"/>
    <xf numFmtId="0" fontId="4" fillId="20" borderId="0" xfId="0" applyFont="1" applyFill="1" applyBorder="1" applyProtection="1"/>
    <xf numFmtId="0" fontId="4" fillId="4" borderId="150" xfId="0" applyFont="1" applyFill="1" applyBorder="1" applyProtection="1"/>
    <xf numFmtId="3" fontId="4" fillId="4" borderId="151" xfId="0" applyNumberFormat="1" applyFont="1" applyFill="1" applyBorder="1" applyProtection="1"/>
    <xf numFmtId="0" fontId="4" fillId="20" borderId="22" xfId="0" applyFont="1" applyFill="1" applyBorder="1" applyProtection="1"/>
    <xf numFmtId="0" fontId="5" fillId="14" borderId="3" xfId="0" applyNumberFormat="1" applyFont="1" applyFill="1" applyBorder="1" applyAlignment="1">
      <alignment horizontal="center"/>
    </xf>
    <xf numFmtId="0" fontId="62" fillId="14" borderId="152" xfId="0" applyFont="1" applyFill="1" applyBorder="1" applyAlignment="1">
      <alignment horizontal="center"/>
    </xf>
    <xf numFmtId="3" fontId="5" fillId="14" borderId="71" xfId="0" applyNumberFormat="1" applyFont="1" applyFill="1" applyBorder="1" applyAlignment="1">
      <alignment horizontal="center"/>
    </xf>
    <xf numFmtId="0" fontId="5" fillId="14" borderId="71" xfId="0" applyFont="1" applyFill="1" applyBorder="1" applyAlignment="1">
      <alignment horizontal="center"/>
    </xf>
    <xf numFmtId="0" fontId="5" fillId="14" borderId="149" xfId="0" applyFont="1" applyFill="1" applyBorder="1" applyAlignment="1">
      <alignment horizontal="center"/>
    </xf>
    <xf numFmtId="0" fontId="4" fillId="14" borderId="105" xfId="0" applyFont="1" applyFill="1" applyBorder="1" applyAlignment="1" applyProtection="1">
      <alignment horizontal="center" wrapText="1"/>
    </xf>
    <xf numFmtId="0" fontId="70" fillId="14" borderId="119" xfId="0" applyFont="1" applyFill="1" applyBorder="1" applyAlignment="1">
      <alignment horizontal="center"/>
    </xf>
    <xf numFmtId="175" fontId="40" fillId="14" borderId="103" xfId="0" applyNumberFormat="1" applyFont="1" applyFill="1" applyBorder="1" applyAlignment="1" applyProtection="1">
      <alignment horizontal="right"/>
    </xf>
    <xf numFmtId="0" fontId="40" fillId="14" borderId="0" xfId="0" applyFont="1" applyFill="1" applyBorder="1" applyAlignment="1">
      <alignment horizontal="center"/>
    </xf>
    <xf numFmtId="0" fontId="0" fillId="14" borderId="0" xfId="0" applyFill="1" applyAlignment="1">
      <alignment wrapText="1"/>
    </xf>
    <xf numFmtId="0" fontId="99" fillId="0" borderId="146" xfId="0" applyFont="1" applyBorder="1" applyAlignment="1">
      <alignment wrapText="1"/>
    </xf>
    <xf numFmtId="0" fontId="99" fillId="0" borderId="148" xfId="0" applyFont="1" applyBorder="1" applyAlignment="1">
      <alignment wrapText="1"/>
    </xf>
    <xf numFmtId="0" fontId="75" fillId="14" borderId="110" xfId="0" applyFont="1" applyFill="1" applyBorder="1" applyAlignment="1">
      <alignment horizontal="center"/>
    </xf>
    <xf numFmtId="0" fontId="75" fillId="14" borderId="72" xfId="0" applyFont="1" applyFill="1" applyBorder="1" applyAlignment="1">
      <alignment horizontal="left"/>
    </xf>
    <xf numFmtId="4" fontId="8" fillId="14" borderId="77" xfId="0" applyNumberFormat="1" applyFont="1" applyFill="1" applyBorder="1" applyAlignment="1" applyProtection="1">
      <alignment horizontal="right"/>
      <protection locked="0"/>
    </xf>
    <xf numFmtId="4" fontId="8" fillId="14" borderId="77" xfId="0" applyNumberFormat="1" applyFont="1" applyFill="1" applyBorder="1" applyProtection="1">
      <protection locked="0"/>
    </xf>
    <xf numFmtId="4" fontId="8" fillId="14" borderId="48" xfId="0" applyNumberFormat="1" applyFont="1" applyFill="1" applyBorder="1" applyProtection="1">
      <protection locked="0"/>
    </xf>
    <xf numFmtId="0" fontId="5" fillId="14" borderId="103" xfId="0" applyFont="1" applyFill="1" applyBorder="1" applyAlignment="1">
      <alignment vertical="top" wrapText="1"/>
    </xf>
    <xf numFmtId="0" fontId="1" fillId="0" borderId="103" xfId="0" applyFont="1" applyFill="1" applyBorder="1" applyAlignment="1">
      <alignment wrapText="1"/>
    </xf>
    <xf numFmtId="0" fontId="70" fillId="14" borderId="41" xfId="0" applyFont="1" applyFill="1" applyBorder="1" applyAlignment="1">
      <alignment horizontal="center"/>
    </xf>
    <xf numFmtId="0" fontId="99" fillId="0" borderId="0" xfId="0" applyFont="1"/>
    <xf numFmtId="0" fontId="163" fillId="0" borderId="149" xfId="0" applyFont="1" applyBorder="1" applyAlignment="1">
      <alignment vertical="top" wrapText="1"/>
    </xf>
    <xf numFmtId="0" fontId="36" fillId="14" borderId="0" xfId="0" applyFont="1" applyFill="1" applyBorder="1" applyAlignment="1">
      <alignment horizontal="right"/>
    </xf>
    <xf numFmtId="0" fontId="71" fillId="14" borderId="1" xfId="0" applyFont="1" applyFill="1" applyBorder="1" applyAlignment="1">
      <alignment horizontal="left"/>
    </xf>
    <xf numFmtId="0" fontId="40" fillId="14" borderId="0" xfId="0" applyFont="1" applyFill="1" applyBorder="1" applyAlignment="1">
      <alignment horizontal="right"/>
    </xf>
    <xf numFmtId="0" fontId="1" fillId="0" borderId="103" xfId="0" applyFont="1" applyBorder="1" applyAlignment="1">
      <alignment wrapText="1"/>
    </xf>
    <xf numFmtId="0" fontId="99" fillId="0" borderId="103" xfId="0" applyFont="1" applyBorder="1" applyAlignment="1">
      <alignment wrapText="1"/>
    </xf>
    <xf numFmtId="0" fontId="115" fillId="14" borderId="0" xfId="0" applyFont="1" applyFill="1"/>
    <xf numFmtId="0" fontId="0" fillId="0" borderId="148" xfId="0" applyBorder="1" applyAlignment="1">
      <alignment wrapText="1"/>
    </xf>
    <xf numFmtId="0" fontId="162" fillId="0" borderId="0" xfId="0" applyFont="1" applyFill="1"/>
    <xf numFmtId="0" fontId="162" fillId="0" borderId="73" xfId="0" applyFont="1" applyFill="1" applyBorder="1"/>
    <xf numFmtId="0" fontId="162" fillId="0" borderId="74" xfId="0" applyFont="1" applyFill="1" applyBorder="1"/>
    <xf numFmtId="9" fontId="162" fillId="0" borderId="75" xfId="1" applyNumberFormat="1" applyFont="1" applyFill="1" applyBorder="1"/>
    <xf numFmtId="1" fontId="40" fillId="14" borderId="1" xfId="0" applyNumberFormat="1" applyFont="1" applyFill="1" applyBorder="1" applyAlignment="1" applyProtection="1">
      <alignment horizontal="right"/>
      <protection locked="0"/>
    </xf>
    <xf numFmtId="2" fontId="4" fillId="14" borderId="0" xfId="0" applyNumberFormat="1" applyFont="1" applyFill="1"/>
    <xf numFmtId="2" fontId="115" fillId="0" borderId="0" xfId="0" applyNumberFormat="1" applyFont="1" applyFill="1" applyAlignment="1">
      <alignment horizontal="right"/>
    </xf>
    <xf numFmtId="2" fontId="114" fillId="0" borderId="0" xfId="0" applyNumberFormat="1" applyFont="1" applyFill="1" applyAlignment="1">
      <alignment horizontal="right"/>
    </xf>
    <xf numFmtId="2" fontId="40" fillId="14" borderId="0" xfId="0" applyNumberFormat="1" applyFont="1" applyFill="1" applyBorder="1" applyAlignment="1">
      <alignment horizontal="right"/>
    </xf>
    <xf numFmtId="0" fontId="7" fillId="4" borderId="153" xfId="0" applyFont="1" applyFill="1" applyBorder="1" applyProtection="1"/>
    <xf numFmtId="0" fontId="4" fillId="4" borderId="154" xfId="0" applyFont="1" applyFill="1" applyBorder="1" applyProtection="1"/>
    <xf numFmtId="0" fontId="56" fillId="4" borderId="155" xfId="0" applyFont="1" applyFill="1" applyBorder="1" applyAlignment="1" applyProtection="1">
      <alignment horizontal="right"/>
    </xf>
    <xf numFmtId="0" fontId="56" fillId="4" borderId="154" xfId="0" applyFont="1" applyFill="1" applyBorder="1" applyAlignment="1" applyProtection="1">
      <alignment horizontal="right"/>
    </xf>
    <xf numFmtId="0" fontId="4" fillId="0" borderId="156" xfId="0" applyFont="1" applyFill="1" applyBorder="1" applyAlignment="1" applyProtection="1">
      <alignment horizontal="center"/>
    </xf>
    <xf numFmtId="4" fontId="4" fillId="0" borderId="156" xfId="0" applyNumberFormat="1" applyFont="1" applyFill="1" applyBorder="1" applyProtection="1">
      <protection locked="0"/>
    </xf>
    <xf numFmtId="0" fontId="4" fillId="20" borderId="23" xfId="0" applyFont="1" applyFill="1" applyBorder="1" applyAlignment="1" applyProtection="1">
      <alignment horizontal="center"/>
    </xf>
    <xf numFmtId="0" fontId="4" fillId="4" borderId="154" xfId="0" applyFont="1" applyFill="1" applyBorder="1" applyAlignment="1" applyProtection="1">
      <alignment horizontal="right"/>
    </xf>
    <xf numFmtId="3" fontId="4" fillId="0" borderId="156" xfId="0" applyNumberFormat="1" applyFont="1" applyFill="1" applyBorder="1" applyProtection="1">
      <protection locked="0"/>
    </xf>
    <xf numFmtId="4" fontId="4" fillId="0" borderId="156" xfId="0" applyNumberFormat="1" applyFont="1" applyFill="1" applyBorder="1" applyProtection="1"/>
    <xf numFmtId="0" fontId="1" fillId="14" borderId="0" xfId="0" applyFont="1" applyFill="1" applyBorder="1"/>
    <xf numFmtId="0" fontId="1" fillId="0" borderId="157" xfId="0" applyFont="1" applyFill="1" applyBorder="1" applyProtection="1">
      <protection locked="0"/>
    </xf>
    <xf numFmtId="2" fontId="1" fillId="0" borderId="157" xfId="0" applyNumberFormat="1" applyFont="1" applyFill="1" applyBorder="1" applyProtection="1">
      <protection locked="0"/>
    </xf>
    <xf numFmtId="0" fontId="4" fillId="0" borderId="158" xfId="0" applyFont="1" applyFill="1" applyBorder="1" applyAlignment="1" applyProtection="1">
      <alignment horizontal="center"/>
    </xf>
    <xf numFmtId="0" fontId="4" fillId="4" borderId="159" xfId="0" applyFont="1" applyFill="1" applyBorder="1" applyProtection="1"/>
    <xf numFmtId="0" fontId="0" fillId="0" borderId="160" xfId="0" applyBorder="1"/>
    <xf numFmtId="0" fontId="0" fillId="14" borderId="161" xfId="0" applyFill="1" applyBorder="1"/>
    <xf numFmtId="0" fontId="4" fillId="4" borderId="128" xfId="0" applyFont="1" applyFill="1" applyBorder="1" applyAlignment="1" applyProtection="1">
      <alignment horizontal="right"/>
    </xf>
    <xf numFmtId="0" fontId="4" fillId="4" borderId="151" xfId="0" applyFont="1" applyFill="1" applyBorder="1" applyProtection="1"/>
    <xf numFmtId="0" fontId="4" fillId="4" borderId="151" xfId="0" applyFont="1" applyFill="1" applyBorder="1" applyAlignment="1" applyProtection="1">
      <alignment horizontal="right"/>
    </xf>
    <xf numFmtId="0" fontId="4" fillId="20" borderId="155" xfId="0" applyFont="1" applyFill="1" applyBorder="1" applyAlignment="1" applyProtection="1">
      <alignment horizontal="center"/>
    </xf>
    <xf numFmtId="3" fontId="4" fillId="0" borderId="156" xfId="0" applyNumberFormat="1" applyFont="1" applyFill="1" applyBorder="1" applyProtection="1"/>
    <xf numFmtId="0" fontId="0" fillId="14" borderId="78" xfId="0" applyFill="1" applyBorder="1"/>
    <xf numFmtId="0" fontId="0" fillId="0" borderId="79" xfId="0" applyFill="1" applyBorder="1"/>
    <xf numFmtId="0" fontId="4" fillId="4" borderId="129" xfId="0" applyFont="1" applyFill="1" applyBorder="1" applyProtection="1"/>
    <xf numFmtId="0" fontId="62" fillId="0" borderId="152" xfId="0" applyFont="1" applyBorder="1" applyAlignment="1">
      <alignment horizontal="center"/>
    </xf>
    <xf numFmtId="2" fontId="5" fillId="14" borderId="165" xfId="0" applyNumberFormat="1" applyFont="1" applyFill="1" applyBorder="1" applyAlignment="1">
      <alignment horizontal="center"/>
    </xf>
    <xf numFmtId="2" fontId="5" fillId="0" borderId="165" xfId="0" applyNumberFormat="1" applyFont="1" applyBorder="1" applyAlignment="1">
      <alignment horizontal="center"/>
    </xf>
    <xf numFmtId="0" fontId="4" fillId="0" borderId="151" xfId="0" applyFont="1" applyFill="1" applyBorder="1"/>
    <xf numFmtId="0" fontId="4" fillId="14" borderId="0" xfId="0" applyFont="1" applyFill="1" applyAlignment="1">
      <alignment horizontal="left" indent="2"/>
    </xf>
    <xf numFmtId="0" fontId="4" fillId="14" borderId="114" xfId="0" applyFont="1" applyFill="1" applyBorder="1" applyAlignment="1">
      <alignment horizontal="right"/>
    </xf>
    <xf numFmtId="0" fontId="7" fillId="0" borderId="152" xfId="0" applyFont="1" applyBorder="1" applyAlignment="1">
      <alignment vertical="top" wrapText="1"/>
    </xf>
    <xf numFmtId="0" fontId="7" fillId="0" borderId="165" xfId="0" applyFont="1" applyBorder="1" applyAlignment="1">
      <alignment vertical="top" wrapText="1"/>
    </xf>
    <xf numFmtId="0" fontId="1" fillId="0" borderId="166" xfId="0" applyFont="1" applyBorder="1" applyAlignment="1">
      <alignment wrapText="1"/>
    </xf>
    <xf numFmtId="0" fontId="93" fillId="14" borderId="0" xfId="0" applyFont="1" applyFill="1" applyAlignment="1">
      <alignment horizontal="left" vertical="center" indent="1"/>
    </xf>
    <xf numFmtId="0" fontId="92" fillId="14" borderId="0" xfId="0" applyFont="1" applyFill="1" applyBorder="1"/>
    <xf numFmtId="0" fontId="127" fillId="14" borderId="0" xfId="0" applyFont="1" applyFill="1" applyBorder="1"/>
    <xf numFmtId="0" fontId="1" fillId="0" borderId="165" xfId="0" applyFont="1" applyBorder="1" applyAlignment="1">
      <alignment vertical="top" wrapText="1"/>
    </xf>
    <xf numFmtId="0" fontId="7" fillId="0" borderId="166" xfId="0" applyFont="1" applyBorder="1" applyAlignment="1">
      <alignment vertical="top" wrapText="1"/>
    </xf>
    <xf numFmtId="0" fontId="7" fillId="0" borderId="0" xfId="0" applyFont="1" applyAlignment="1">
      <alignment wrapText="1"/>
    </xf>
    <xf numFmtId="0" fontId="4" fillId="0" borderId="0" xfId="0" applyFont="1" applyAlignment="1">
      <alignment horizontal="left" indent="2"/>
    </xf>
    <xf numFmtId="0" fontId="8" fillId="0" borderId="166" xfId="0" applyFont="1" applyBorder="1"/>
    <xf numFmtId="0" fontId="4" fillId="0" borderId="169" xfId="0" applyFont="1" applyBorder="1"/>
    <xf numFmtId="0" fontId="1" fillId="0" borderId="169" xfId="0" applyFont="1" applyBorder="1" applyAlignment="1">
      <alignment wrapText="1"/>
    </xf>
    <xf numFmtId="0" fontId="7" fillId="0" borderId="169" xfId="0" applyFont="1" applyBorder="1" applyAlignment="1">
      <alignment vertical="top" wrapText="1"/>
    </xf>
    <xf numFmtId="0" fontId="0" fillId="0" borderId="169" xfId="0" applyBorder="1" applyAlignment="1">
      <alignment wrapText="1"/>
    </xf>
    <xf numFmtId="0" fontId="1" fillId="0" borderId="104" xfId="0" applyFont="1" applyBorder="1" applyAlignment="1">
      <alignment vertical="top" wrapText="1"/>
    </xf>
    <xf numFmtId="0" fontId="101" fillId="0" borderId="169" xfId="0" applyFont="1" applyBorder="1" applyAlignment="1">
      <alignment vertical="center" wrapText="1"/>
    </xf>
    <xf numFmtId="0" fontId="92" fillId="14" borderId="0" xfId="0" applyFont="1" applyFill="1"/>
    <xf numFmtId="0" fontId="92" fillId="14" borderId="0" xfId="0" applyFont="1" applyFill="1" applyBorder="1" applyAlignment="1">
      <alignment horizontal="right"/>
    </xf>
    <xf numFmtId="0" fontId="1" fillId="0" borderId="71" xfId="0" applyFont="1" applyBorder="1" applyAlignment="1">
      <alignment vertical="top" wrapText="1"/>
    </xf>
    <xf numFmtId="0" fontId="1" fillId="0" borderId="71" xfId="0" applyFont="1" applyBorder="1" applyAlignment="1">
      <alignment horizontal="center" vertical="top" wrapText="1"/>
    </xf>
    <xf numFmtId="0" fontId="1" fillId="0" borderId="165" xfId="0" applyFont="1" applyBorder="1" applyAlignment="1">
      <alignment horizontal="center" vertical="top" wrapText="1"/>
    </xf>
    <xf numFmtId="3" fontId="8" fillId="0" borderId="169" xfId="0" applyNumberFormat="1" applyFont="1" applyFill="1" applyBorder="1"/>
    <xf numFmtId="0" fontId="1" fillId="0" borderId="165" xfId="0" applyFont="1" applyBorder="1" applyAlignment="1">
      <alignment horizontal="center" vertical="top" wrapText="1"/>
    </xf>
    <xf numFmtId="0" fontId="1" fillId="0" borderId="169" xfId="0" applyFont="1" applyBorder="1" applyAlignment="1">
      <alignment horizontal="center" vertical="top" wrapText="1"/>
    </xf>
    <xf numFmtId="1" fontId="40" fillId="14" borderId="0" xfId="0" applyNumberFormat="1" applyFont="1" applyFill="1" applyAlignment="1">
      <alignment horizontal="right"/>
    </xf>
    <xf numFmtId="9" fontId="4" fillId="0" borderId="169" xfId="0" applyNumberFormat="1" applyFont="1" applyBorder="1"/>
    <xf numFmtId="0" fontId="7" fillId="0" borderId="0" xfId="0" applyFont="1" applyBorder="1" applyAlignment="1">
      <alignment vertical="top" wrapText="1"/>
    </xf>
    <xf numFmtId="0" fontId="1" fillId="0" borderId="0" xfId="0" applyFont="1" applyBorder="1" applyAlignment="1">
      <alignment wrapText="1"/>
    </xf>
    <xf numFmtId="0" fontId="0" fillId="0" borderId="0" xfId="0" applyBorder="1" applyAlignment="1">
      <alignment wrapText="1"/>
    </xf>
    <xf numFmtId="0" fontId="4" fillId="14" borderId="17" xfId="0" applyFont="1" applyFill="1" applyBorder="1" applyAlignment="1" applyProtection="1">
      <alignment vertical="top" wrapText="1"/>
      <protection locked="0"/>
    </xf>
    <xf numFmtId="0" fontId="4" fillId="14" borderId="16" xfId="0" applyFont="1" applyFill="1" applyBorder="1" applyAlignment="1" applyProtection="1">
      <alignment vertical="top" wrapText="1"/>
      <protection locked="0"/>
    </xf>
    <xf numFmtId="0" fontId="4" fillId="14" borderId="17" xfId="0" applyFont="1" applyFill="1" applyBorder="1" applyAlignment="1" applyProtection="1">
      <alignment horizontal="left" vertical="top" wrapText="1"/>
      <protection locked="0"/>
    </xf>
    <xf numFmtId="4" fontId="4" fillId="14" borderId="1" xfId="0" applyNumberFormat="1" applyFont="1" applyFill="1" applyBorder="1" applyAlignment="1" applyProtection="1">
      <alignment horizontal="left" vertical="top"/>
      <protection locked="0"/>
    </xf>
    <xf numFmtId="0" fontId="4" fillId="14" borderId="69" xfId="0" applyFont="1" applyFill="1" applyBorder="1" applyProtection="1">
      <protection locked="0"/>
    </xf>
    <xf numFmtId="0" fontId="4" fillId="14" borderId="17" xfId="0" applyFont="1" applyFill="1" applyBorder="1" applyAlignment="1" applyProtection="1">
      <alignment wrapText="1"/>
      <protection locked="0"/>
    </xf>
    <xf numFmtId="0" fontId="4" fillId="14" borderId="16" xfId="0" applyFont="1" applyFill="1" applyBorder="1" applyProtection="1">
      <protection locked="0"/>
    </xf>
    <xf numFmtId="0" fontId="4" fillId="14" borderId="1" xfId="0" applyFont="1" applyFill="1" applyBorder="1" applyAlignment="1" applyProtection="1">
      <alignment horizontal="left" vertical="top" wrapText="1"/>
      <protection locked="0"/>
    </xf>
    <xf numFmtId="0" fontId="4" fillId="14" borderId="4" xfId="0" applyFont="1" applyFill="1" applyBorder="1" applyProtection="1">
      <protection locked="0"/>
    </xf>
    <xf numFmtId="0" fontId="4" fillId="14" borderId="1" xfId="0" applyFont="1" applyFill="1" applyBorder="1" applyProtection="1">
      <protection locked="0"/>
    </xf>
    <xf numFmtId="7" fontId="4" fillId="14" borderId="1" xfId="0" applyNumberFormat="1" applyFont="1" applyFill="1" applyBorder="1" applyProtection="1">
      <protection locked="0"/>
    </xf>
    <xf numFmtId="2" fontId="4" fillId="14" borderId="1" xfId="0" applyNumberFormat="1" applyFont="1" applyFill="1" applyBorder="1" applyProtection="1">
      <protection locked="0"/>
    </xf>
    <xf numFmtId="4" fontId="4" fillId="14" borderId="169" xfId="0" applyNumberFormat="1" applyFont="1" applyFill="1" applyBorder="1" applyAlignment="1" applyProtection="1">
      <alignment horizontal="left" vertical="top"/>
      <protection locked="0"/>
    </xf>
    <xf numFmtId="4" fontId="4" fillId="14" borderId="170" xfId="0" applyNumberFormat="1" applyFont="1" applyFill="1" applyBorder="1" applyAlignment="1" applyProtection="1">
      <alignment horizontal="left" vertical="top"/>
      <protection locked="0"/>
    </xf>
    <xf numFmtId="0" fontId="4" fillId="14" borderId="169" xfId="0" applyFont="1" applyFill="1" applyBorder="1" applyAlignment="1" applyProtection="1">
      <alignment horizontal="left" vertical="top"/>
      <protection locked="0"/>
    </xf>
    <xf numFmtId="4" fontId="4" fillId="14" borderId="168" xfId="0" applyNumberFormat="1" applyFont="1" applyFill="1" applyBorder="1" applyAlignment="1" applyProtection="1">
      <alignment horizontal="left" vertical="top"/>
      <protection locked="0"/>
    </xf>
    <xf numFmtId="175" fontId="4" fillId="27" borderId="48" xfId="0" applyNumberFormat="1" applyFont="1" applyFill="1" applyBorder="1" applyProtection="1">
      <protection locked="0"/>
    </xf>
    <xf numFmtId="0" fontId="1" fillId="0" borderId="165" xfId="0" applyFont="1" applyBorder="1" applyAlignment="1">
      <alignment wrapText="1"/>
    </xf>
    <xf numFmtId="0" fontId="8" fillId="10" borderId="104" xfId="0" applyFont="1" applyFill="1" applyBorder="1" applyAlignment="1">
      <alignment horizontal="center"/>
    </xf>
    <xf numFmtId="43" fontId="40" fillId="0" borderId="170" xfId="1" applyFont="1" applyBorder="1" applyAlignment="1">
      <alignment horizontal="center"/>
    </xf>
    <xf numFmtId="43" fontId="40" fillId="0" borderId="170" xfId="1" applyFont="1" applyFill="1" applyBorder="1"/>
    <xf numFmtId="179" fontId="40" fillId="0" borderId="170" xfId="1" applyNumberFormat="1" applyFont="1" applyFill="1" applyBorder="1" applyAlignment="1">
      <alignment horizontal="center"/>
    </xf>
    <xf numFmtId="0" fontId="40" fillId="0" borderId="170" xfId="0" applyFont="1" applyFill="1" applyBorder="1" applyAlignment="1">
      <alignment horizontal="center"/>
    </xf>
    <xf numFmtId="43" fontId="8" fillId="0" borderId="170" xfId="1" applyFont="1" applyFill="1" applyBorder="1" applyAlignment="1">
      <alignment horizontal="right"/>
    </xf>
    <xf numFmtId="0" fontId="8" fillId="0" borderId="170" xfId="0" applyFont="1" applyFill="1" applyBorder="1" applyAlignment="1">
      <alignment horizontal="center"/>
    </xf>
    <xf numFmtId="1" fontId="40" fillId="0" borderId="170" xfId="1" applyNumberFormat="1" applyFont="1" applyFill="1" applyBorder="1"/>
    <xf numFmtId="43" fontId="40" fillId="0" borderId="170" xfId="1" applyFont="1" applyFill="1" applyBorder="1" applyAlignment="1">
      <alignment horizontal="right"/>
    </xf>
    <xf numFmtId="43" fontId="8" fillId="0" borderId="170" xfId="1" applyFont="1" applyFill="1" applyBorder="1"/>
    <xf numFmtId="0" fontId="40" fillId="0" borderId="170" xfId="0" applyNumberFormat="1" applyFont="1" applyFill="1" applyBorder="1"/>
    <xf numFmtId="0" fontId="40" fillId="0" borderId="170" xfId="0" applyFont="1" applyFill="1" applyBorder="1"/>
    <xf numFmtId="1" fontId="40" fillId="0" borderId="170" xfId="1" applyNumberFormat="1" applyFont="1" applyFill="1" applyBorder="1" applyAlignment="1">
      <alignment horizontal="center"/>
    </xf>
    <xf numFmtId="0" fontId="40" fillId="0" borderId="170" xfId="1" applyNumberFormat="1" applyFont="1" applyBorder="1"/>
    <xf numFmtId="1" fontId="40" fillId="0" borderId="170" xfId="1" applyNumberFormat="1" applyFont="1" applyBorder="1" applyAlignment="1">
      <alignment horizontal="center"/>
    </xf>
    <xf numFmtId="43" fontId="40" fillId="0" borderId="170" xfId="1" applyFont="1" applyBorder="1" applyAlignment="1">
      <alignment horizontal="right"/>
    </xf>
    <xf numFmtId="43" fontId="40" fillId="10" borderId="170" xfId="1" applyFont="1" applyFill="1" applyBorder="1" applyAlignment="1">
      <alignment horizontal="right"/>
    </xf>
    <xf numFmtId="43" fontId="8" fillId="0" borderId="170" xfId="1" applyFont="1" applyBorder="1" applyAlignment="1">
      <alignment horizontal="right"/>
    </xf>
    <xf numFmtId="43" fontId="40" fillId="0" borderId="170" xfId="1" applyFont="1" applyBorder="1"/>
    <xf numFmtId="0" fontId="4" fillId="0" borderId="83" xfId="0" applyFont="1" applyFill="1" applyBorder="1" applyAlignment="1">
      <alignment horizontal="center"/>
    </xf>
    <xf numFmtId="0" fontId="41" fillId="10" borderId="96" xfId="0" applyFont="1" applyFill="1" applyBorder="1" applyAlignment="1" applyProtection="1">
      <alignment horizontal="center"/>
      <protection locked="0"/>
    </xf>
    <xf numFmtId="0" fontId="40" fillId="10" borderId="170" xfId="0" applyFont="1" applyFill="1" applyBorder="1" applyAlignment="1" applyProtection="1">
      <alignment horizontal="center"/>
      <protection locked="0"/>
    </xf>
    <xf numFmtId="0" fontId="40" fillId="0" borderId="170" xfId="0" applyFont="1" applyFill="1" applyBorder="1" applyAlignment="1" applyProtection="1">
      <alignment horizontal="center"/>
      <protection locked="0"/>
    </xf>
    <xf numFmtId="0" fontId="40" fillId="0" borderId="170" xfId="0" applyFont="1" applyBorder="1" applyAlignment="1" applyProtection="1">
      <alignment horizontal="center"/>
      <protection locked="0"/>
    </xf>
    <xf numFmtId="14" fontId="40" fillId="10" borderId="170" xfId="0" quotePrefix="1" applyNumberFormat="1" applyFont="1" applyFill="1" applyBorder="1" applyAlignment="1">
      <alignment horizontal="center"/>
    </xf>
    <xf numFmtId="0" fontId="4" fillId="0" borderId="170" xfId="0" applyFont="1" applyFill="1" applyBorder="1" applyAlignment="1" applyProtection="1">
      <alignment horizontal="center"/>
      <protection locked="0"/>
    </xf>
    <xf numFmtId="165" fontId="40" fillId="0" borderId="170" xfId="1" applyNumberFormat="1" applyFont="1" applyFill="1" applyBorder="1" applyAlignment="1" applyProtection="1">
      <alignment horizontal="center"/>
      <protection locked="0"/>
    </xf>
    <xf numFmtId="1" fontId="40" fillId="0" borderId="170" xfId="1" applyNumberFormat="1" applyFont="1" applyFill="1" applyBorder="1" applyAlignment="1" applyProtection="1">
      <alignment horizontal="center"/>
      <protection locked="0"/>
    </xf>
    <xf numFmtId="4" fontId="8" fillId="0" borderId="170" xfId="0" applyNumberFormat="1" applyFont="1" applyBorder="1" applyAlignment="1" applyProtection="1">
      <alignment horizontal="center"/>
      <protection locked="0"/>
    </xf>
    <xf numFmtId="0" fontId="8" fillId="0" borderId="170" xfId="0" applyFont="1" applyBorder="1" applyAlignment="1" applyProtection="1">
      <alignment horizontal="center"/>
      <protection locked="0"/>
    </xf>
    <xf numFmtId="0" fontId="4" fillId="0" borderId="170" xfId="0" applyFont="1" applyBorder="1" applyAlignment="1" applyProtection="1">
      <alignment horizontal="center"/>
      <protection locked="0"/>
    </xf>
    <xf numFmtId="4" fontId="40" fillId="0" borderId="170" xfId="0" applyNumberFormat="1" applyFont="1" applyBorder="1" applyAlignment="1" applyProtection="1">
      <alignment horizontal="center"/>
      <protection locked="0"/>
    </xf>
    <xf numFmtId="0" fontId="40" fillId="0" borderId="83" xfId="0" applyFont="1" applyBorder="1" applyAlignment="1" applyProtection="1">
      <alignment horizontal="center"/>
      <protection locked="0"/>
    </xf>
    <xf numFmtId="2" fontId="40" fillId="0" borderId="170" xfId="0" applyNumberFormat="1" applyFont="1" applyBorder="1"/>
    <xf numFmtId="2" fontId="40" fillId="18" borderId="170" xfId="0" applyNumberFormat="1" applyFont="1" applyFill="1" applyBorder="1"/>
    <xf numFmtId="2" fontId="40" fillId="18" borderId="83" xfId="0" applyNumberFormat="1" applyFont="1" applyFill="1" applyBorder="1"/>
    <xf numFmtId="175" fontId="40" fillId="0" borderId="169" xfId="0" applyNumberFormat="1" applyFont="1" applyFill="1" applyBorder="1" applyAlignment="1" applyProtection="1">
      <alignment horizontal="center"/>
    </xf>
    <xf numFmtId="1" fontId="40" fillId="0" borderId="169" xfId="0" applyNumberFormat="1" applyFont="1" applyBorder="1"/>
    <xf numFmtId="1" fontId="40" fillId="14" borderId="169" xfId="0" applyNumberFormat="1" applyFont="1" applyFill="1" applyBorder="1" applyAlignment="1" applyProtection="1">
      <alignment horizontal="right"/>
      <protection locked="0"/>
    </xf>
    <xf numFmtId="0" fontId="8" fillId="10" borderId="47" xfId="0" applyFont="1" applyFill="1" applyBorder="1" applyAlignment="1">
      <alignment horizontal="center"/>
    </xf>
    <xf numFmtId="43" fontId="8" fillId="0" borderId="145" xfId="1" applyFont="1" applyFill="1" applyBorder="1"/>
    <xf numFmtId="7" fontId="4" fillId="0" borderId="1" xfId="0" applyNumberFormat="1" applyFont="1" applyBorder="1" applyProtection="1">
      <protection locked="0"/>
    </xf>
    <xf numFmtId="0" fontId="40" fillId="10" borderId="169" xfId="0" applyFont="1" applyFill="1" applyBorder="1" applyAlignment="1">
      <alignment horizontal="center"/>
    </xf>
    <xf numFmtId="43" fontId="8" fillId="0" borderId="170" xfId="1" applyFont="1" applyFill="1" applyBorder="1" applyProtection="1">
      <protection locked="0"/>
    </xf>
    <xf numFmtId="43" fontId="8" fillId="0" borderId="170" xfId="1" applyFont="1" applyBorder="1" applyProtection="1">
      <protection locked="0"/>
    </xf>
    <xf numFmtId="43" fontId="40" fillId="0" borderId="83" xfId="1" applyFont="1" applyBorder="1" applyProtection="1">
      <protection locked="0"/>
    </xf>
    <xf numFmtId="0" fontId="4" fillId="0" borderId="170" xfId="0" applyFont="1" applyFill="1" applyBorder="1" applyAlignment="1" applyProtection="1">
      <alignment wrapText="1"/>
      <protection locked="0"/>
    </xf>
    <xf numFmtId="0" fontId="4" fillId="0" borderId="169" xfId="0" applyFont="1" applyFill="1" applyBorder="1" applyProtection="1">
      <protection locked="0"/>
    </xf>
    <xf numFmtId="0" fontId="0" fillId="0" borderId="0" xfId="0" applyAlignment="1">
      <alignment wrapText="1"/>
    </xf>
    <xf numFmtId="0" fontId="7" fillId="0" borderId="0" xfId="0" applyFont="1" applyBorder="1" applyAlignment="1">
      <alignment wrapText="1"/>
    </xf>
    <xf numFmtId="49" fontId="56" fillId="0" borderId="143" xfId="0" quotePrefix="1" applyNumberFormat="1" applyFont="1" applyFill="1" applyBorder="1" applyAlignment="1" applyProtection="1">
      <alignment horizontal="center"/>
    </xf>
    <xf numFmtId="49" fontId="56" fillId="0" borderId="33" xfId="0" quotePrefix="1" applyNumberFormat="1" applyFont="1" applyFill="1" applyBorder="1" applyAlignment="1" applyProtection="1">
      <alignment horizontal="center"/>
    </xf>
    <xf numFmtId="0" fontId="165" fillId="0" borderId="144" xfId="0" applyFont="1" applyFill="1" applyBorder="1" applyAlignment="1">
      <alignment horizontal="center"/>
    </xf>
    <xf numFmtId="0" fontId="115" fillId="0" borderId="0" xfId="0" applyFont="1" applyFill="1" applyProtection="1"/>
    <xf numFmtId="0" fontId="92" fillId="14" borderId="0" xfId="0" applyFont="1" applyFill="1" applyAlignment="1">
      <alignment horizontal="right"/>
    </xf>
    <xf numFmtId="4" fontId="4" fillId="0" borderId="0" xfId="1" applyNumberFormat="1" applyFont="1" applyFill="1" applyBorder="1"/>
    <xf numFmtId="0" fontId="99" fillId="0" borderId="169" xfId="0" applyFont="1" applyBorder="1" applyAlignment="1">
      <alignment horizontal="center" vertical="top" wrapText="1"/>
    </xf>
    <xf numFmtId="0" fontId="164" fillId="4" borderId="171" xfId="0" applyFont="1" applyFill="1" applyBorder="1" applyProtection="1"/>
    <xf numFmtId="0" fontId="48" fillId="20" borderId="0" xfId="0" applyFont="1" applyFill="1" applyBorder="1" applyProtection="1"/>
    <xf numFmtId="0" fontId="4" fillId="20" borderId="0" xfId="0" applyFont="1" applyFill="1" applyBorder="1" applyAlignment="1" applyProtection="1">
      <alignment horizontal="right"/>
    </xf>
    <xf numFmtId="0" fontId="48" fillId="20" borderId="22" xfId="0" applyFont="1" applyFill="1" applyBorder="1" applyProtection="1"/>
    <xf numFmtId="0" fontId="4" fillId="20" borderId="0" xfId="0" applyFont="1" applyFill="1" applyBorder="1" applyAlignment="1" applyProtection="1">
      <alignment horizontal="left"/>
    </xf>
    <xf numFmtId="0" fontId="4" fillId="20" borderId="23" xfId="0" applyFont="1" applyFill="1" applyBorder="1" applyAlignment="1" applyProtection="1">
      <alignment horizontal="right"/>
    </xf>
    <xf numFmtId="0" fontId="48" fillId="20" borderId="128" xfId="0" applyFont="1" applyFill="1" applyBorder="1" applyProtection="1"/>
    <xf numFmtId="0" fontId="4" fillId="20" borderId="128" xfId="0" applyFont="1" applyFill="1" applyBorder="1" applyAlignment="1" applyProtection="1">
      <alignment horizontal="right"/>
    </xf>
    <xf numFmtId="0" fontId="4" fillId="20" borderId="151" xfId="0" applyFont="1" applyFill="1" applyBorder="1" applyAlignment="1" applyProtection="1">
      <alignment horizontal="left"/>
    </xf>
    <xf numFmtId="4" fontId="4" fillId="0" borderId="172" xfId="0" applyNumberFormat="1" applyFont="1" applyFill="1" applyBorder="1" applyProtection="1">
      <protection locked="0"/>
    </xf>
    <xf numFmtId="0" fontId="21" fillId="0" borderId="0" xfId="0" applyFont="1" applyFill="1" applyBorder="1" applyAlignment="1">
      <alignment horizontal="right"/>
    </xf>
    <xf numFmtId="1" fontId="4" fillId="0" borderId="173" xfId="0" quotePrefix="1" applyNumberFormat="1" applyFont="1" applyFill="1" applyBorder="1"/>
    <xf numFmtId="1" fontId="4" fillId="0" borderId="0" xfId="0" quotePrefix="1" applyNumberFormat="1" applyFont="1" applyFill="1" applyBorder="1"/>
    <xf numFmtId="1" fontId="4" fillId="0" borderId="173" xfId="0" applyNumberFormat="1" applyFont="1" applyFill="1" applyBorder="1"/>
    <xf numFmtId="0" fontId="4" fillId="0" borderId="151" xfId="0" applyFont="1" applyFill="1" applyBorder="1" applyAlignment="1"/>
    <xf numFmtId="0" fontId="36" fillId="14" borderId="0" xfId="0" applyFont="1" applyFill="1" applyBorder="1" applyAlignment="1"/>
    <xf numFmtId="0" fontId="36" fillId="14" borderId="173" xfId="0" applyFont="1" applyFill="1" applyBorder="1"/>
    <xf numFmtId="0" fontId="58" fillId="0" borderId="1" xfId="0" applyFont="1" applyFill="1" applyBorder="1" applyAlignment="1">
      <alignment horizontal="left"/>
    </xf>
    <xf numFmtId="3" fontId="4" fillId="0" borderId="173" xfId="0" applyNumberFormat="1" applyFont="1" applyFill="1" applyBorder="1"/>
    <xf numFmtId="0" fontId="36" fillId="14" borderId="173" xfId="0" applyFont="1" applyFill="1" applyBorder="1" applyAlignment="1">
      <alignment horizontal="left"/>
    </xf>
    <xf numFmtId="3" fontId="40" fillId="0" borderId="173" xfId="0" applyNumberFormat="1" applyFont="1" applyFill="1" applyBorder="1"/>
    <xf numFmtId="0" fontId="58" fillId="0" borderId="1" xfId="0" applyFont="1" applyFill="1" applyBorder="1"/>
    <xf numFmtId="2" fontId="115" fillId="0" borderId="0" xfId="0" applyNumberFormat="1" applyFont="1" applyFill="1" applyAlignment="1">
      <alignment horizontal="left"/>
    </xf>
    <xf numFmtId="2" fontId="36" fillId="0" borderId="173" xfId="0" applyNumberFormat="1" applyFont="1" applyFill="1" applyBorder="1"/>
    <xf numFmtId="3" fontId="4" fillId="0" borderId="173" xfId="2" applyNumberFormat="1" applyFont="1" applyFill="1" applyBorder="1"/>
    <xf numFmtId="3" fontId="8" fillId="0" borderId="173" xfId="2" applyNumberFormat="1" applyFont="1" applyFill="1" applyBorder="1"/>
    <xf numFmtId="2" fontId="142" fillId="0" borderId="0" xfId="0" applyNumberFormat="1" applyFont="1" applyFill="1" applyBorder="1"/>
    <xf numFmtId="3" fontId="92" fillId="0" borderId="0" xfId="2" applyNumberFormat="1" applyFont="1" applyFill="1" applyBorder="1" applyAlignment="1">
      <alignment horizontal="right"/>
    </xf>
    <xf numFmtId="3" fontId="92" fillId="0" borderId="0" xfId="2" applyNumberFormat="1" applyFont="1" applyFill="1" applyBorder="1"/>
    <xf numFmtId="3" fontId="92" fillId="0" borderId="0" xfId="2" applyNumberFormat="1" applyFont="1" applyFill="1" applyBorder="1" applyAlignment="1"/>
    <xf numFmtId="3" fontId="4" fillId="0" borderId="173" xfId="2" applyNumberFormat="1" applyFont="1" applyFill="1" applyBorder="1" applyAlignment="1"/>
    <xf numFmtId="3" fontId="8" fillId="0" borderId="173" xfId="2" applyNumberFormat="1" applyFont="1" applyFill="1" applyBorder="1" applyAlignment="1"/>
    <xf numFmtId="2" fontId="58" fillId="0" borderId="173" xfId="0" applyNumberFormat="1" applyFont="1" applyFill="1" applyBorder="1"/>
    <xf numFmtId="2" fontId="116" fillId="0" borderId="173" xfId="0" applyNumberFormat="1" applyFont="1" applyFill="1" applyBorder="1"/>
    <xf numFmtId="0" fontId="101" fillId="0" borderId="173" xfId="0" applyFont="1" applyBorder="1" applyAlignment="1">
      <alignment vertical="center" wrapText="1"/>
    </xf>
    <xf numFmtId="0" fontId="1" fillId="0" borderId="173" xfId="0" applyFont="1" applyBorder="1" applyAlignment="1">
      <alignment horizontal="center" vertical="top" wrapText="1"/>
    </xf>
    <xf numFmtId="0" fontId="0" fillId="0" borderId="66" xfId="0" applyBorder="1" applyAlignment="1">
      <alignment wrapText="1"/>
    </xf>
    <xf numFmtId="0" fontId="1" fillId="0" borderId="174" xfId="0" applyFont="1" applyBorder="1" applyAlignment="1">
      <alignment vertical="top" wrapText="1"/>
    </xf>
    <xf numFmtId="0" fontId="1" fillId="0" borderId="173" xfId="0" applyFont="1" applyBorder="1" applyAlignment="1">
      <alignment wrapText="1"/>
    </xf>
    <xf numFmtId="0" fontId="7" fillId="0" borderId="174" xfId="0" applyFont="1" applyBorder="1" applyAlignment="1">
      <alignment vertical="top" wrapText="1"/>
    </xf>
    <xf numFmtId="0" fontId="0" fillId="0" borderId="173" xfId="0" applyBorder="1" applyAlignment="1">
      <alignment wrapText="1"/>
    </xf>
    <xf numFmtId="0" fontId="7" fillId="0" borderId="173" xfId="0" applyFont="1" applyBorder="1" applyAlignment="1">
      <alignment vertical="top" wrapText="1"/>
    </xf>
    <xf numFmtId="0" fontId="1" fillId="0" borderId="174" xfId="0" applyFont="1" applyBorder="1" applyAlignment="1">
      <alignment horizontal="left" vertical="top" wrapText="1"/>
    </xf>
    <xf numFmtId="0" fontId="1" fillId="0" borderId="71" xfId="0" applyFont="1" applyBorder="1" applyAlignment="1">
      <alignment horizontal="left" vertical="top"/>
    </xf>
    <xf numFmtId="0" fontId="1" fillId="0" borderId="165" xfId="0" applyFont="1" applyBorder="1" applyAlignment="1">
      <alignment horizontal="left" vertical="top"/>
    </xf>
    <xf numFmtId="0" fontId="1" fillId="0" borderId="71" xfId="0" applyFont="1" applyBorder="1" applyAlignment="1">
      <alignment horizontal="left" vertical="top" wrapText="1"/>
    </xf>
    <xf numFmtId="0" fontId="91" fillId="0" borderId="173" xfId="0" applyFont="1" applyBorder="1" applyAlignment="1">
      <alignment wrapText="1"/>
    </xf>
    <xf numFmtId="0" fontId="32" fillId="0" borderId="174" xfId="0" applyFont="1" applyBorder="1" applyAlignment="1">
      <alignment vertical="top" wrapText="1"/>
    </xf>
    <xf numFmtId="0" fontId="91" fillId="0" borderId="174" xfId="0" applyFont="1" applyBorder="1" applyAlignment="1">
      <alignment wrapText="1"/>
    </xf>
    <xf numFmtId="0" fontId="91" fillId="0" borderId="71" xfId="0" applyFont="1" applyBorder="1" applyAlignment="1">
      <alignment wrapText="1"/>
    </xf>
    <xf numFmtId="0" fontId="91" fillId="0" borderId="165" xfId="0" applyFont="1" applyBorder="1" applyAlignment="1">
      <alignment wrapText="1"/>
    </xf>
    <xf numFmtId="0" fontId="7" fillId="0" borderId="71" xfId="0" applyFont="1" applyBorder="1" applyAlignment="1">
      <alignment horizontal="left" vertical="top"/>
    </xf>
    <xf numFmtId="0" fontId="0" fillId="0" borderId="71" xfId="0" applyBorder="1" applyAlignment="1">
      <alignment wrapText="1"/>
    </xf>
    <xf numFmtId="0" fontId="0" fillId="0" borderId="71" xfId="0" applyBorder="1"/>
    <xf numFmtId="0" fontId="7" fillId="0" borderId="165" xfId="0" applyFont="1" applyBorder="1" applyAlignment="1">
      <alignment horizontal="left" vertical="top"/>
    </xf>
    <xf numFmtId="0" fontId="0" fillId="0" borderId="165" xfId="0" applyBorder="1" applyAlignment="1">
      <alignment wrapText="1"/>
    </xf>
    <xf numFmtId="0" fontId="0" fillId="0" borderId="165" xfId="0" applyBorder="1"/>
    <xf numFmtId="0" fontId="32" fillId="0" borderId="173" xfId="0" applyFont="1" applyBorder="1" applyAlignment="1">
      <alignment vertical="top" wrapText="1"/>
    </xf>
    <xf numFmtId="0" fontId="32" fillId="0" borderId="165" xfId="0" applyFont="1" applyBorder="1" applyAlignment="1">
      <alignment vertical="top" wrapText="1"/>
    </xf>
    <xf numFmtId="0" fontId="58" fillId="14" borderId="1" xfId="0" applyFont="1" applyFill="1" applyBorder="1" applyAlignment="1">
      <alignment horizontal="left"/>
    </xf>
    <xf numFmtId="3" fontId="8" fillId="0" borderId="173" xfId="0" applyNumberFormat="1" applyFont="1" applyFill="1" applyBorder="1"/>
    <xf numFmtId="1" fontId="8" fillId="0" borderId="0" xfId="0" applyNumberFormat="1" applyFont="1" applyFill="1" applyBorder="1"/>
    <xf numFmtId="1" fontId="8" fillId="0" borderId="1" xfId="0" applyNumberFormat="1" applyFont="1" applyFill="1" applyBorder="1"/>
    <xf numFmtId="0" fontId="8" fillId="0" borderId="1" xfId="0" applyFont="1" applyFill="1" applyBorder="1"/>
    <xf numFmtId="1" fontId="8" fillId="0" borderId="1" xfId="0" quotePrefix="1" applyNumberFormat="1" applyFont="1" applyFill="1" applyBorder="1"/>
    <xf numFmtId="0" fontId="142" fillId="14" borderId="173" xfId="0" applyFont="1" applyFill="1" applyBorder="1" applyAlignment="1">
      <alignment horizontal="left"/>
    </xf>
    <xf numFmtId="0" fontId="58" fillId="14" borderId="173" xfId="0" applyFont="1" applyFill="1" applyBorder="1" applyAlignment="1">
      <alignment horizontal="left"/>
    </xf>
    <xf numFmtId="1" fontId="8" fillId="0" borderId="173" xfId="0" applyNumberFormat="1" applyFont="1" applyFill="1" applyBorder="1"/>
    <xf numFmtId="0" fontId="40" fillId="14" borderId="0" xfId="0" applyFont="1" applyFill="1" applyBorder="1"/>
    <xf numFmtId="2" fontId="58" fillId="14" borderId="173" xfId="0" applyNumberFormat="1" applyFont="1" applyFill="1" applyBorder="1"/>
    <xf numFmtId="2" fontId="92" fillId="14" borderId="0" xfId="0" applyNumberFormat="1" applyFont="1" applyFill="1"/>
    <xf numFmtId="2" fontId="4" fillId="31" borderId="0" xfId="0" applyNumberFormat="1" applyFont="1" applyFill="1" applyBorder="1" applyAlignment="1">
      <alignment horizontal="right"/>
    </xf>
    <xf numFmtId="2" fontId="116" fillId="14" borderId="173" xfId="0" applyNumberFormat="1" applyFont="1" applyFill="1" applyBorder="1"/>
    <xf numFmtId="2" fontId="36" fillId="14" borderId="173" xfId="0" applyNumberFormat="1" applyFont="1" applyFill="1" applyBorder="1"/>
    <xf numFmtId="2" fontId="92" fillId="14" borderId="0" xfId="0" applyNumberFormat="1" applyFont="1" applyFill="1" applyBorder="1"/>
    <xf numFmtId="2" fontId="114" fillId="0" borderId="0" xfId="0" applyNumberFormat="1" applyFont="1" applyFill="1" applyBorder="1"/>
    <xf numFmtId="0" fontId="70" fillId="14" borderId="143" xfId="0" applyFont="1" applyFill="1" applyBorder="1" applyAlignment="1">
      <alignment horizontal="center"/>
    </xf>
    <xf numFmtId="2" fontId="4" fillId="14" borderId="107" xfId="0" applyNumberFormat="1" applyFont="1" applyFill="1" applyBorder="1" applyAlignment="1" applyProtection="1">
      <alignment horizontal="center"/>
    </xf>
    <xf numFmtId="49" fontId="134" fillId="32" borderId="143" xfId="0" applyNumberFormat="1" applyFont="1" applyFill="1" applyBorder="1" applyAlignment="1" applyProtection="1">
      <alignment horizontal="center"/>
    </xf>
    <xf numFmtId="1" fontId="4" fillId="32" borderId="107" xfId="0" applyNumberFormat="1" applyFont="1" applyFill="1" applyBorder="1" applyAlignment="1" applyProtection="1">
      <alignment horizontal="center"/>
    </xf>
    <xf numFmtId="0" fontId="40" fillId="29" borderId="0" xfId="0" applyFont="1" applyFill="1"/>
    <xf numFmtId="0" fontId="40" fillId="29" borderId="0" xfId="0" applyFont="1" applyFill="1" applyAlignment="1">
      <alignment horizontal="right"/>
    </xf>
    <xf numFmtId="0" fontId="0" fillId="29" borderId="0" xfId="0" applyFill="1"/>
    <xf numFmtId="0" fontId="4" fillId="29" borderId="0" xfId="0" applyFont="1" applyFill="1" applyAlignment="1">
      <alignment horizontal="right"/>
    </xf>
    <xf numFmtId="0" fontId="4" fillId="29" borderId="0" xfId="0" applyFont="1" applyFill="1"/>
    <xf numFmtId="0" fontId="36" fillId="29" borderId="1" xfId="0" applyFont="1" applyFill="1" applyBorder="1"/>
    <xf numFmtId="0" fontId="4" fillId="29" borderId="0" xfId="0" applyFont="1" applyFill="1" applyBorder="1"/>
    <xf numFmtId="0" fontId="36" fillId="29" borderId="0" xfId="0" applyFont="1" applyFill="1" applyBorder="1"/>
    <xf numFmtId="3" fontId="4" fillId="29" borderId="0" xfId="2" applyNumberFormat="1" applyFont="1" applyFill="1" applyBorder="1"/>
    <xf numFmtId="0" fontId="114" fillId="29" borderId="0" xfId="0" applyFont="1" applyFill="1"/>
    <xf numFmtId="0" fontId="115" fillId="29" borderId="0" xfId="0" applyFont="1" applyFill="1"/>
    <xf numFmtId="0" fontId="58" fillId="29" borderId="0" xfId="0" applyFont="1" applyFill="1" applyBorder="1" applyAlignment="1"/>
    <xf numFmtId="0" fontId="8" fillId="29" borderId="0" xfId="0" applyFont="1" applyFill="1"/>
    <xf numFmtId="0" fontId="115" fillId="29" borderId="0" xfId="0" applyFont="1" applyFill="1" applyAlignment="1">
      <alignment horizontal="right"/>
    </xf>
    <xf numFmtId="0" fontId="4" fillId="29" borderId="0" xfId="0" applyFont="1" applyFill="1" applyBorder="1" applyAlignment="1"/>
    <xf numFmtId="1" fontId="4" fillId="29" borderId="0" xfId="0" applyNumberFormat="1" applyFont="1" applyFill="1"/>
    <xf numFmtId="1" fontId="115" fillId="29" borderId="0" xfId="0" applyNumberFormat="1" applyFont="1" applyFill="1"/>
    <xf numFmtId="3" fontId="115" fillId="0" borderId="1" xfId="2" applyNumberFormat="1" applyFont="1" applyFill="1" applyBorder="1"/>
    <xf numFmtId="0" fontId="36" fillId="29" borderId="0" xfId="0" applyFont="1" applyFill="1" applyAlignment="1">
      <alignment horizontal="right"/>
    </xf>
    <xf numFmtId="2" fontId="4" fillId="29" borderId="1" xfId="0" applyNumberFormat="1" applyFont="1" applyFill="1" applyBorder="1"/>
    <xf numFmtId="0" fontId="36" fillId="29" borderId="0" xfId="0" applyFont="1" applyFill="1"/>
    <xf numFmtId="2" fontId="8" fillId="29" borderId="0" xfId="0" applyNumberFormat="1" applyFont="1" applyFill="1" applyBorder="1"/>
    <xf numFmtId="2" fontId="4" fillId="29" borderId="0" xfId="0" applyNumberFormat="1" applyFont="1" applyFill="1"/>
    <xf numFmtId="2" fontId="4" fillId="29" borderId="0" xfId="0" applyNumberFormat="1" applyFont="1" applyFill="1" applyBorder="1" applyAlignment="1">
      <alignment horizontal="right"/>
    </xf>
    <xf numFmtId="2" fontId="4" fillId="29" borderId="0" xfId="0" applyNumberFormat="1" applyFont="1" applyFill="1" applyAlignment="1">
      <alignment horizontal="right"/>
    </xf>
    <xf numFmtId="2" fontId="4" fillId="29" borderId="0" xfId="0" applyNumberFormat="1" applyFont="1" applyFill="1" applyAlignment="1">
      <alignment horizontal="left" indent="1"/>
    </xf>
    <xf numFmtId="2" fontId="36" fillId="29" borderId="1" xfId="0" applyNumberFormat="1" applyFont="1" applyFill="1" applyBorder="1"/>
    <xf numFmtId="9" fontId="115" fillId="0" borderId="1" xfId="2" applyNumberFormat="1" applyFont="1" applyFill="1" applyBorder="1"/>
    <xf numFmtId="0" fontId="4" fillId="14" borderId="103" xfId="1" applyNumberFormat="1" applyFont="1" applyFill="1" applyBorder="1" applyAlignment="1">
      <alignment horizontal="center"/>
    </xf>
    <xf numFmtId="1" fontId="40" fillId="14" borderId="103" xfId="1" applyNumberFormat="1" applyFont="1" applyFill="1" applyBorder="1" applyAlignment="1">
      <alignment horizontal="center"/>
    </xf>
    <xf numFmtId="43" fontId="40" fillId="14" borderId="103" xfId="1" applyFont="1" applyFill="1" applyBorder="1" applyAlignment="1">
      <alignment horizontal="right"/>
    </xf>
    <xf numFmtId="43" fontId="8" fillId="14" borderId="103" xfId="1" applyFont="1" applyFill="1" applyBorder="1" applyAlignment="1">
      <alignment horizontal="right"/>
    </xf>
    <xf numFmtId="0" fontId="1" fillId="0" borderId="174" xfId="0" applyFont="1" applyBorder="1" applyAlignment="1">
      <alignment wrapText="1"/>
    </xf>
    <xf numFmtId="0" fontId="166" fillId="14" borderId="173" xfId="0" applyFont="1" applyFill="1" applyBorder="1" applyAlignment="1">
      <alignment horizontal="left"/>
    </xf>
    <xf numFmtId="3" fontId="111" fillId="0" borderId="173" xfId="0" applyNumberFormat="1" applyFont="1" applyFill="1" applyBorder="1"/>
    <xf numFmtId="0" fontId="32" fillId="0" borderId="71" xfId="0" applyFont="1" applyBorder="1" applyAlignment="1">
      <alignment vertical="top" wrapText="1"/>
    </xf>
    <xf numFmtId="0" fontId="40" fillId="10" borderId="173" xfId="0" applyFont="1" applyFill="1" applyBorder="1" applyAlignment="1">
      <alignment horizontal="center"/>
    </xf>
    <xf numFmtId="43" fontId="8" fillId="0" borderId="175" xfId="1" applyFont="1" applyBorder="1" applyAlignment="1" applyProtection="1">
      <protection locked="0"/>
    </xf>
    <xf numFmtId="0" fontId="40" fillId="0" borderId="0" xfId="0" applyFont="1" applyBorder="1" applyAlignment="1" applyProtection="1">
      <alignment horizontal="center"/>
      <protection locked="0"/>
    </xf>
    <xf numFmtId="2" fontId="40" fillId="0" borderId="175" xfId="0" applyNumberFormat="1" applyFont="1" applyBorder="1" applyProtection="1">
      <protection locked="0"/>
    </xf>
    <xf numFmtId="0" fontId="40" fillId="0" borderId="175" xfId="0" applyFont="1" applyBorder="1" applyAlignment="1" applyProtection="1">
      <alignment horizontal="center"/>
      <protection locked="0"/>
    </xf>
    <xf numFmtId="0" fontId="40" fillId="10" borderId="175" xfId="0" applyFont="1" applyFill="1" applyBorder="1" applyAlignment="1" applyProtection="1">
      <alignment horizontal="center"/>
    </xf>
    <xf numFmtId="2" fontId="40" fillId="0" borderId="175" xfId="0" applyNumberFormat="1" applyFont="1" applyBorder="1" applyAlignment="1" applyProtection="1">
      <alignment horizontal="center"/>
      <protection locked="0"/>
    </xf>
    <xf numFmtId="0" fontId="40" fillId="10" borderId="175" xfId="0" applyFont="1" applyFill="1" applyBorder="1" applyProtection="1">
      <protection locked="0"/>
    </xf>
    <xf numFmtId="0" fontId="40" fillId="10" borderId="175" xfId="0" applyFont="1" applyFill="1" applyBorder="1" applyAlignment="1" applyProtection="1">
      <alignment horizontal="center"/>
      <protection locked="0"/>
    </xf>
    <xf numFmtId="0" fontId="40" fillId="0" borderId="175" xfId="0" applyFont="1" applyBorder="1" applyProtection="1">
      <protection locked="0"/>
    </xf>
    <xf numFmtId="0" fontId="40" fillId="0" borderId="83" xfId="0" applyFont="1" applyBorder="1" applyProtection="1">
      <protection locked="0"/>
    </xf>
    <xf numFmtId="0" fontId="40" fillId="10" borderId="165" xfId="0" applyFont="1" applyFill="1" applyBorder="1" applyProtection="1">
      <protection locked="0"/>
    </xf>
    <xf numFmtId="0" fontId="4" fillId="0" borderId="145" xfId="0" applyFont="1" applyBorder="1" applyProtection="1">
      <protection locked="0"/>
    </xf>
    <xf numFmtId="0" fontId="5" fillId="0" borderId="173" xfId="0" applyFont="1" applyFill="1" applyBorder="1" applyAlignment="1">
      <alignment vertical="top" wrapText="1"/>
    </xf>
    <xf numFmtId="0" fontId="4" fillId="29" borderId="0" xfId="0" applyFont="1" applyFill="1" applyAlignment="1">
      <alignment horizontal="left"/>
    </xf>
    <xf numFmtId="0" fontId="92" fillId="29" borderId="0" xfId="0" applyFont="1" applyFill="1"/>
    <xf numFmtId="0" fontId="92" fillId="29" borderId="0" xfId="0" applyFont="1" applyFill="1" applyAlignment="1">
      <alignment horizontal="right"/>
    </xf>
    <xf numFmtId="2" fontId="92" fillId="29" borderId="0" xfId="0" applyNumberFormat="1" applyFont="1" applyFill="1" applyAlignment="1">
      <alignment horizontal="right"/>
    </xf>
    <xf numFmtId="0" fontId="92" fillId="29" borderId="0" xfId="0" applyFont="1" applyFill="1" applyAlignment="1">
      <alignment horizontal="left" indent="1"/>
    </xf>
    <xf numFmtId="2" fontId="92" fillId="29" borderId="0" xfId="0" applyNumberFormat="1" applyFont="1" applyFill="1" applyBorder="1"/>
    <xf numFmtId="0" fontId="1" fillId="0" borderId="173" xfId="0" applyFont="1" applyBorder="1" applyAlignment="1">
      <alignment vertical="center" wrapText="1"/>
    </xf>
    <xf numFmtId="3" fontId="40" fillId="29" borderId="0" xfId="0" applyNumberFormat="1" applyFont="1" applyFill="1"/>
    <xf numFmtId="3" fontId="40" fillId="29" borderId="0" xfId="0" applyNumberFormat="1" applyFont="1" applyFill="1" applyAlignment="1">
      <alignment horizontal="right"/>
    </xf>
    <xf numFmtId="0" fontId="7" fillId="0" borderId="173" xfId="0" applyFont="1" applyBorder="1" applyAlignment="1">
      <alignment vertical="top" wrapText="1"/>
    </xf>
    <xf numFmtId="0" fontId="1" fillId="29" borderId="0" xfId="0" applyFont="1" applyFill="1"/>
    <xf numFmtId="0" fontId="7" fillId="0" borderId="173" xfId="0" applyFont="1" applyBorder="1" applyAlignment="1">
      <alignment vertical="top" wrapText="1"/>
    </xf>
    <xf numFmtId="0" fontId="99" fillId="0" borderId="0" xfId="0" applyFont="1" applyAlignment="1" applyProtection="1">
      <alignment horizontal="right"/>
      <protection hidden="1"/>
    </xf>
    <xf numFmtId="0" fontId="99" fillId="0" borderId="173" xfId="0" applyFont="1" applyBorder="1" applyAlignment="1">
      <alignment wrapText="1"/>
    </xf>
    <xf numFmtId="0" fontId="163" fillId="0" borderId="71" xfId="0" applyFont="1" applyBorder="1" applyAlignment="1">
      <alignment vertical="top" wrapText="1"/>
    </xf>
    <xf numFmtId="2" fontId="115" fillId="14" borderId="0" xfId="0" applyNumberFormat="1" applyFont="1" applyFill="1" applyAlignment="1">
      <alignment horizontal="left"/>
    </xf>
    <xf numFmtId="0" fontId="7" fillId="0" borderId="173" xfId="0" applyFont="1" applyBorder="1" applyAlignment="1">
      <alignment wrapText="1"/>
    </xf>
    <xf numFmtId="0" fontId="7" fillId="0" borderId="173" xfId="0" applyFont="1" applyBorder="1" applyAlignment="1">
      <alignment vertical="top" wrapText="1"/>
    </xf>
    <xf numFmtId="1" fontId="116" fillId="16" borderId="0" xfId="0" applyNumberFormat="1" applyFont="1" applyFill="1" applyBorder="1" applyAlignment="1">
      <alignment horizontal="center"/>
    </xf>
    <xf numFmtId="1" fontId="4" fillId="16" borderId="0" xfId="0" applyNumberFormat="1" applyFont="1" applyFill="1" applyBorder="1"/>
    <xf numFmtId="0" fontId="4" fillId="16" borderId="0" xfId="0" applyFont="1" applyFill="1" applyBorder="1" applyAlignment="1">
      <alignment horizontal="center"/>
    </xf>
    <xf numFmtId="1" fontId="111" fillId="0" borderId="18" xfId="0" quotePrefix="1" applyNumberFormat="1" applyFont="1" applyFill="1" applyBorder="1" applyAlignment="1" applyProtection="1">
      <alignment horizontal="center"/>
    </xf>
    <xf numFmtId="0" fontId="92" fillId="14" borderId="0" xfId="0" applyFont="1" applyFill="1" applyBorder="1" applyAlignment="1" applyProtection="1">
      <alignment horizontal="left"/>
    </xf>
    <xf numFmtId="0" fontId="92" fillId="14" borderId="23" xfId="0" applyFont="1" applyFill="1" applyBorder="1" applyAlignment="1" applyProtection="1">
      <alignment horizontal="center"/>
    </xf>
    <xf numFmtId="0" fontId="92" fillId="8" borderId="0" xfId="0" applyFont="1" applyFill="1" applyBorder="1" applyAlignment="1" applyProtection="1">
      <alignment horizontal="center"/>
    </xf>
    <xf numFmtId="3" fontId="92" fillId="0" borderId="18" xfId="2" applyNumberFormat="1" applyFont="1" applyFill="1" applyBorder="1" applyProtection="1">
      <protection locked="0"/>
    </xf>
    <xf numFmtId="0" fontId="92" fillId="8" borderId="23" xfId="0" applyFont="1" applyFill="1" applyBorder="1" applyAlignment="1" applyProtection="1">
      <alignment horizontal="center"/>
    </xf>
    <xf numFmtId="0" fontId="4" fillId="29" borderId="0" xfId="0" applyFont="1" applyFill="1" applyBorder="1" applyAlignment="1" applyProtection="1">
      <alignment horizontal="left"/>
    </xf>
    <xf numFmtId="0" fontId="4" fillId="29" borderId="0" xfId="0" applyFont="1" applyFill="1" applyBorder="1" applyAlignment="1" applyProtection="1">
      <alignment horizontal="right"/>
    </xf>
    <xf numFmtId="0" fontId="8" fillId="29" borderId="18" xfId="0" applyFont="1" applyFill="1" applyBorder="1" applyAlignment="1" applyProtection="1">
      <alignment horizontal="center"/>
    </xf>
    <xf numFmtId="0" fontId="4" fillId="0" borderId="0" xfId="0" applyFont="1" applyFill="1" applyBorder="1" applyProtection="1"/>
    <xf numFmtId="0" fontId="4" fillId="20" borderId="66" xfId="0" applyFont="1" applyFill="1" applyBorder="1" applyProtection="1"/>
    <xf numFmtId="3" fontId="4" fillId="18" borderId="18" xfId="0" applyNumberFormat="1" applyFont="1" applyFill="1" applyBorder="1" applyProtection="1">
      <protection locked="0"/>
    </xf>
    <xf numFmtId="0" fontId="4" fillId="18" borderId="18" xfId="0" applyFont="1" applyFill="1" applyBorder="1" applyProtection="1">
      <protection locked="0"/>
    </xf>
    <xf numFmtId="0" fontId="48" fillId="14" borderId="0" xfId="0" applyFont="1" applyFill="1" applyBorder="1" applyProtection="1"/>
    <xf numFmtId="0" fontId="4" fillId="14" borderId="66" xfId="0" applyFont="1" applyFill="1" applyBorder="1" applyProtection="1"/>
    <xf numFmtId="0" fontId="49" fillId="29" borderId="0" xfId="0" applyFont="1" applyFill="1" applyBorder="1" applyAlignment="1" applyProtection="1">
      <alignment horizontal="center"/>
    </xf>
    <xf numFmtId="0" fontId="4" fillId="14" borderId="18" xfId="0" applyFont="1" applyFill="1" applyBorder="1" applyAlignment="1" applyProtection="1">
      <alignment horizontal="center"/>
    </xf>
    <xf numFmtId="0" fontId="4" fillId="14" borderId="0" xfId="0" applyFont="1" applyFill="1" applyAlignment="1" applyProtection="1">
      <alignment horizontal="right"/>
    </xf>
    <xf numFmtId="0" fontId="4" fillId="14" borderId="66" xfId="0" applyFont="1" applyFill="1" applyBorder="1" applyAlignment="1" applyProtection="1">
      <alignment horizontal="right"/>
    </xf>
    <xf numFmtId="0" fontId="48" fillId="0" borderId="0" xfId="0" applyFont="1" applyFill="1" applyBorder="1" applyProtection="1"/>
    <xf numFmtId="0" fontId="30" fillId="0" borderId="0" xfId="0" applyFont="1" applyFill="1" applyProtection="1"/>
    <xf numFmtId="0" fontId="30" fillId="0" borderId="0" xfId="0" applyFont="1" applyFill="1" applyBorder="1" applyProtection="1"/>
    <xf numFmtId="3" fontId="4" fillId="0" borderId="0" xfId="0" applyNumberFormat="1" applyFont="1" applyFill="1" applyBorder="1" applyProtection="1">
      <protection locked="0"/>
    </xf>
    <xf numFmtId="0" fontId="4" fillId="14" borderId="176" xfId="0" applyFont="1" applyFill="1" applyBorder="1" applyAlignment="1" applyProtection="1">
      <alignment horizontal="center"/>
    </xf>
    <xf numFmtId="0" fontId="75" fillId="14" borderId="45" xfId="0" applyFont="1" applyFill="1" applyBorder="1" applyAlignment="1">
      <alignment horizontal="center"/>
    </xf>
    <xf numFmtId="175" fontId="8" fillId="14" borderId="77" xfId="0" applyNumberFormat="1" applyFont="1" applyFill="1" applyBorder="1"/>
    <xf numFmtId="175" fontId="8" fillId="14" borderId="48" xfId="0" applyNumberFormat="1" applyFont="1" applyFill="1" applyBorder="1"/>
    <xf numFmtId="0" fontId="62" fillId="14" borderId="174" xfId="0" applyFont="1" applyFill="1" applyBorder="1" applyAlignment="1">
      <alignment horizontal="center"/>
    </xf>
    <xf numFmtId="0" fontId="5" fillId="14" borderId="165" xfId="0" applyFont="1" applyFill="1" applyBorder="1"/>
    <xf numFmtId="0" fontId="75" fillId="14" borderId="144" xfId="0" applyFont="1" applyFill="1" applyBorder="1" applyAlignment="1">
      <alignment horizontal="center"/>
    </xf>
    <xf numFmtId="175" fontId="8" fillId="14" borderId="173" xfId="0" applyNumberFormat="1" applyFont="1" applyFill="1" applyBorder="1" applyAlignment="1" applyProtection="1">
      <alignment horizontal="center"/>
    </xf>
    <xf numFmtId="175" fontId="8" fillId="14" borderId="145" xfId="0" applyNumberFormat="1" applyFont="1" applyFill="1" applyBorder="1" applyAlignment="1" applyProtection="1">
      <alignment horizontal="center"/>
    </xf>
    <xf numFmtId="0" fontId="70" fillId="14" borderId="33" xfId="0" applyFont="1" applyFill="1" applyBorder="1" applyAlignment="1">
      <alignment horizontal="center"/>
    </xf>
    <xf numFmtId="0" fontId="70" fillId="14" borderId="144" xfId="0" applyFont="1" applyFill="1" applyBorder="1" applyAlignment="1">
      <alignment horizontal="center"/>
    </xf>
    <xf numFmtId="0" fontId="70" fillId="14" borderId="173" xfId="0" applyFont="1" applyFill="1" applyBorder="1" applyAlignment="1">
      <alignment horizontal="left"/>
    </xf>
    <xf numFmtId="175" fontId="40" fillId="14" borderId="173" xfId="0" applyNumberFormat="1" applyFont="1" applyFill="1" applyBorder="1" applyAlignment="1" applyProtection="1">
      <alignment horizontal="right"/>
    </xf>
    <xf numFmtId="0" fontId="5" fillId="14" borderId="173" xfId="0" applyFont="1" applyFill="1" applyBorder="1" applyAlignment="1">
      <alignment vertical="top" wrapText="1"/>
    </xf>
    <xf numFmtId="49" fontId="56" fillId="14" borderId="143" xfId="0" applyNumberFormat="1" applyFont="1" applyFill="1" applyBorder="1" applyAlignment="1" applyProtection="1">
      <alignment horizontal="center"/>
    </xf>
    <xf numFmtId="4" fontId="4" fillId="14" borderId="107" xfId="0" applyNumberFormat="1" applyFont="1" applyFill="1" applyBorder="1" applyAlignment="1" applyProtection="1">
      <alignment horizontal="left" indent="1"/>
    </xf>
    <xf numFmtId="171" fontId="92" fillId="29" borderId="0" xfId="0" applyNumberFormat="1" applyFont="1" applyFill="1" applyAlignment="1">
      <alignment horizontal="right"/>
    </xf>
    <xf numFmtId="0" fontId="7" fillId="0" borderId="17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4" fillId="29" borderId="0" xfId="0" applyFont="1" applyFill="1" applyBorder="1" applyAlignment="1">
      <alignment horizontal="right"/>
    </xf>
    <xf numFmtId="0" fontId="7" fillId="0" borderId="173" xfId="0" applyFont="1" applyBorder="1" applyAlignment="1">
      <alignment vertical="top" wrapText="1"/>
    </xf>
    <xf numFmtId="0" fontId="7" fillId="0" borderId="17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101" fillId="0" borderId="178" xfId="0" applyFont="1" applyBorder="1" applyAlignment="1">
      <alignment vertical="center" wrapText="1"/>
    </xf>
    <xf numFmtId="0" fontId="1" fillId="0" borderId="178" xfId="0" applyFont="1" applyBorder="1" applyAlignment="1">
      <alignment wrapText="1"/>
    </xf>
    <xf numFmtId="0" fontId="32" fillId="0" borderId="0" xfId="0" applyFont="1"/>
    <xf numFmtId="4" fontId="8" fillId="0" borderId="178" xfId="0" applyNumberFormat="1" applyFont="1" applyFill="1" applyBorder="1"/>
    <xf numFmtId="0" fontId="7" fillId="0" borderId="17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1" fillId="0" borderId="178" xfId="0" applyFont="1" applyBorder="1" applyAlignment="1">
      <alignment vertical="center" wrapText="1"/>
    </xf>
    <xf numFmtId="1" fontId="36" fillId="29" borderId="0" xfId="0" applyNumberFormat="1" applyFont="1" applyFill="1" applyAlignment="1">
      <alignment horizontal="left"/>
    </xf>
    <xf numFmtId="0" fontId="7" fillId="29" borderId="113" xfId="0" applyFont="1" applyFill="1" applyBorder="1" applyAlignment="1">
      <alignment vertical="top" wrapText="1"/>
    </xf>
    <xf numFmtId="1" fontId="36" fillId="29" borderId="0" xfId="0" applyNumberFormat="1" applyFont="1" applyFill="1" applyAlignment="1">
      <alignment horizontal="right"/>
    </xf>
    <xf numFmtId="0" fontId="36" fillId="29" borderId="0" xfId="0" applyFont="1" applyFill="1" applyAlignment="1">
      <alignment horizontal="left"/>
    </xf>
    <xf numFmtId="3" fontId="4" fillId="0" borderId="178" xfId="0" applyNumberFormat="1" applyFont="1" applyFill="1" applyBorder="1" applyAlignment="1">
      <alignment horizontal="left"/>
    </xf>
    <xf numFmtId="0" fontId="4" fillId="14" borderId="0" xfId="0" applyFont="1" applyFill="1" applyBorder="1" applyAlignment="1">
      <alignment horizontal="left"/>
    </xf>
    <xf numFmtId="1" fontId="4" fillId="0" borderId="0" xfId="0" applyNumberFormat="1" applyFont="1" applyFill="1" applyBorder="1" applyAlignment="1"/>
    <xf numFmtId="0" fontId="36" fillId="29" borderId="0" xfId="0" applyFont="1" applyFill="1" applyBorder="1" applyAlignment="1">
      <alignment horizontal="left"/>
    </xf>
    <xf numFmtId="0" fontId="56" fillId="29" borderId="0" xfId="0" applyFont="1" applyFill="1" applyBorder="1" applyAlignment="1">
      <alignment horizontal="right"/>
    </xf>
    <xf numFmtId="0" fontId="4" fillId="29" borderId="178" xfId="0" applyFont="1" applyFill="1" applyBorder="1" applyAlignment="1">
      <alignment horizontal="left"/>
    </xf>
    <xf numFmtId="3" fontId="4" fillId="0" borderId="178" xfId="0" applyNumberFormat="1" applyFont="1" applyFill="1" applyBorder="1" applyAlignment="1"/>
    <xf numFmtId="0" fontId="85" fillId="29" borderId="0" xfId="0" applyFont="1" applyFill="1" applyAlignment="1">
      <alignment horizontal="left"/>
    </xf>
    <xf numFmtId="0" fontId="4" fillId="29" borderId="0" xfId="0" applyFont="1" applyFill="1" applyBorder="1" applyAlignment="1">
      <alignment horizontal="left"/>
    </xf>
    <xf numFmtId="2" fontId="4" fillId="0" borderId="179" xfId="0" applyNumberFormat="1" applyFont="1" applyFill="1" applyBorder="1" applyAlignment="1"/>
    <xf numFmtId="1" fontId="114" fillId="0" borderId="0" xfId="0" applyNumberFormat="1" applyFont="1" applyFill="1" applyBorder="1" applyAlignment="1"/>
    <xf numFmtId="3" fontId="114" fillId="0" borderId="0" xfId="0" applyNumberFormat="1" applyFont="1" applyFill="1" applyBorder="1" applyAlignment="1"/>
    <xf numFmtId="0" fontId="1" fillId="0" borderId="178" xfId="0" applyFont="1" applyBorder="1" applyAlignment="1">
      <alignment horizontal="left" vertical="top" wrapText="1"/>
    </xf>
    <xf numFmtId="0" fontId="99" fillId="0" borderId="178" xfId="0" applyFont="1" applyBorder="1" applyAlignment="1">
      <alignment wrapText="1"/>
    </xf>
    <xf numFmtId="0" fontId="99" fillId="0" borderId="178" xfId="0" applyFont="1" applyBorder="1" applyAlignment="1">
      <alignment horizontal="left" vertical="top" wrapText="1"/>
    </xf>
    <xf numFmtId="0" fontId="99" fillId="0" borderId="178" xfId="0" applyFont="1" applyBorder="1" applyAlignment="1">
      <alignment vertical="center" wrapText="1"/>
    </xf>
    <xf numFmtId="0" fontId="167" fillId="0" borderId="178" xfId="0" applyFont="1" applyBorder="1" applyAlignment="1">
      <alignment vertical="center" wrapText="1"/>
    </xf>
    <xf numFmtId="0" fontId="91" fillId="0" borderId="178" xfId="0" applyFont="1" applyBorder="1" applyAlignment="1">
      <alignment wrapText="1"/>
    </xf>
    <xf numFmtId="1" fontId="4" fillId="29" borderId="0" xfId="0" applyNumberFormat="1" applyFont="1" applyFill="1" applyAlignment="1">
      <alignment horizontal="right"/>
    </xf>
    <xf numFmtId="1" fontId="36" fillId="29" borderId="178" xfId="0" applyNumberFormat="1" applyFont="1" applyFill="1" applyBorder="1" applyAlignment="1">
      <alignment horizontal="center"/>
    </xf>
    <xf numFmtId="2" fontId="4" fillId="0" borderId="178" xfId="2" applyNumberFormat="1" applyFont="1" applyFill="1" applyBorder="1"/>
    <xf numFmtId="1" fontId="116" fillId="14" borderId="0" xfId="0" applyNumberFormat="1" applyFont="1" applyFill="1"/>
    <xf numFmtId="2" fontId="5" fillId="16" borderId="103" xfId="0" applyNumberFormat="1" applyFont="1" applyFill="1" applyBorder="1"/>
    <xf numFmtId="1" fontId="4" fillId="29" borderId="0" xfId="0" applyNumberFormat="1" applyFont="1" applyFill="1" applyBorder="1" applyAlignment="1">
      <alignment horizontal="right"/>
    </xf>
    <xf numFmtId="2" fontId="4" fillId="0" borderId="178" xfId="0" applyNumberFormat="1" applyFont="1" applyFill="1" applyBorder="1"/>
    <xf numFmtId="1" fontId="4" fillId="29" borderId="177" xfId="0" applyNumberFormat="1" applyFont="1" applyFill="1" applyBorder="1"/>
    <xf numFmtId="1" fontId="8" fillId="29" borderId="180" xfId="0" applyNumberFormat="1" applyFont="1" applyFill="1" applyBorder="1"/>
    <xf numFmtId="1" fontId="4" fillId="29" borderId="144" xfId="0" applyNumberFormat="1" applyFont="1" applyFill="1" applyBorder="1" applyAlignment="1">
      <alignment horizontal="right"/>
    </xf>
    <xf numFmtId="1" fontId="36" fillId="29" borderId="1" xfId="0" applyNumberFormat="1" applyFont="1" applyFill="1" applyBorder="1" applyAlignment="1">
      <alignment horizontal="center"/>
    </xf>
    <xf numFmtId="0" fontId="27" fillId="0" borderId="174" xfId="0" applyFont="1" applyFill="1" applyBorder="1" applyAlignment="1">
      <alignment horizontal="right"/>
    </xf>
    <xf numFmtId="0" fontId="27" fillId="18" borderId="174" xfId="0" applyFont="1" applyFill="1" applyBorder="1" applyAlignment="1">
      <alignment horizontal="right"/>
    </xf>
    <xf numFmtId="0" fontId="27" fillId="18" borderId="0" xfId="0" applyFont="1" applyFill="1" applyBorder="1" applyAlignment="1"/>
    <xf numFmtId="0" fontId="7" fillId="18" borderId="181" xfId="0" applyFont="1" applyFill="1" applyBorder="1" applyAlignment="1"/>
    <xf numFmtId="0" fontId="26" fillId="18" borderId="182" xfId="0" applyFont="1" applyFill="1" applyBorder="1" applyAlignment="1"/>
    <xf numFmtId="0" fontId="4" fillId="18" borderId="182" xfId="0" applyFont="1" applyFill="1" applyBorder="1" applyAlignment="1"/>
    <xf numFmtId="0" fontId="8" fillId="18" borderId="59" xfId="0" applyFont="1" applyFill="1" applyBorder="1" applyAlignment="1">
      <alignment horizontal="right"/>
    </xf>
    <xf numFmtId="0" fontId="0" fillId="18" borderId="0" xfId="0" applyFill="1"/>
    <xf numFmtId="0" fontId="5" fillId="18" borderId="0" xfId="0" applyFont="1" applyFill="1" applyBorder="1" applyAlignment="1"/>
    <xf numFmtId="0" fontId="7" fillId="18" borderId="182" xfId="0" applyFont="1" applyFill="1" applyBorder="1" applyAlignment="1"/>
    <xf numFmtId="0" fontId="8" fillId="18" borderId="182" xfId="0" applyFont="1" applyFill="1" applyBorder="1" applyAlignment="1">
      <alignment horizontal="left"/>
    </xf>
    <xf numFmtId="0" fontId="27" fillId="0" borderId="165" xfId="0" applyFont="1" applyFill="1" applyBorder="1" applyAlignment="1">
      <alignment horizontal="right"/>
    </xf>
    <xf numFmtId="0" fontId="27" fillId="18" borderId="165" xfId="0" applyFont="1" applyFill="1" applyBorder="1" applyAlignment="1">
      <alignment horizontal="right"/>
    </xf>
    <xf numFmtId="7" fontId="8" fillId="18" borderId="182" xfId="0" applyNumberFormat="1" applyFont="1" applyFill="1" applyBorder="1" applyAlignment="1"/>
    <xf numFmtId="0" fontId="8" fillId="18" borderId="182" xfId="0" applyFont="1" applyFill="1" applyBorder="1" applyAlignment="1"/>
    <xf numFmtId="0" fontId="163" fillId="18" borderId="181" xfId="0" applyFont="1" applyFill="1" applyBorder="1" applyAlignment="1"/>
    <xf numFmtId="171" fontId="115" fillId="18" borderId="183" xfId="1" applyNumberFormat="1" applyFont="1" applyFill="1" applyBorder="1" applyAlignment="1">
      <alignment horizontal="right"/>
    </xf>
    <xf numFmtId="0" fontId="27" fillId="18" borderId="71" xfId="0" applyFont="1" applyFill="1" applyBorder="1" applyAlignment="1">
      <alignment horizontal="right"/>
    </xf>
    <xf numFmtId="0" fontId="27" fillId="14" borderId="174" xfId="0" applyFont="1" applyFill="1" applyBorder="1" applyAlignment="1">
      <alignment horizontal="right"/>
    </xf>
    <xf numFmtId="0" fontId="27" fillId="14" borderId="165" xfId="0" applyFont="1" applyFill="1" applyBorder="1" applyAlignment="1">
      <alignment horizontal="right"/>
    </xf>
    <xf numFmtId="0" fontId="27" fillId="29" borderId="2" xfId="0" applyFont="1" applyFill="1" applyBorder="1" applyAlignment="1">
      <alignment horizontal="right"/>
    </xf>
    <xf numFmtId="0" fontId="5" fillId="29" borderId="0" xfId="0" applyFont="1" applyFill="1" applyBorder="1" applyAlignment="1"/>
    <xf numFmtId="0" fontId="4" fillId="29" borderId="0" xfId="0" applyFont="1" applyFill="1" applyAlignment="1"/>
    <xf numFmtId="0" fontId="27" fillId="29" borderId="3" xfId="0" applyFont="1" applyFill="1" applyBorder="1" applyAlignment="1">
      <alignment horizontal="right"/>
    </xf>
    <xf numFmtId="0" fontId="27" fillId="29" borderId="0" xfId="0" applyFont="1" applyFill="1" applyBorder="1" applyAlignment="1"/>
    <xf numFmtId="0" fontId="21" fillId="29" borderId="0" xfId="0" applyFont="1" applyFill="1" applyBorder="1" applyAlignment="1"/>
    <xf numFmtId="0" fontId="27" fillId="29" borderId="4" xfId="0" applyFont="1" applyFill="1" applyBorder="1" applyAlignment="1">
      <alignment horizontal="right"/>
    </xf>
    <xf numFmtId="172" fontId="4" fillId="29" borderId="0" xfId="0" applyNumberFormat="1" applyFont="1" applyFill="1"/>
    <xf numFmtId="3" fontId="5" fillId="29" borderId="1" xfId="0" applyNumberFormat="1" applyFont="1" applyFill="1" applyBorder="1"/>
    <xf numFmtId="1" fontId="5" fillId="29" borderId="1" xfId="0" applyNumberFormat="1" applyFont="1" applyFill="1" applyBorder="1"/>
    <xf numFmtId="0" fontId="5" fillId="29" borderId="1" xfId="0" applyFont="1" applyFill="1" applyBorder="1" applyAlignment="1"/>
    <xf numFmtId="0" fontId="16" fillId="29" borderId="1" xfId="0" applyFont="1" applyFill="1" applyBorder="1"/>
    <xf numFmtId="0" fontId="158" fillId="0" borderId="1" xfId="0" applyFont="1" applyFill="1" applyBorder="1" applyAlignment="1">
      <alignment horizontal="right"/>
    </xf>
    <xf numFmtId="0" fontId="158" fillId="0" borderId="0" xfId="0" applyFont="1" applyFill="1" applyBorder="1" applyAlignment="1"/>
    <xf numFmtId="0" fontId="163" fillId="0" borderId="15" xfId="0" applyFont="1" applyFill="1" applyBorder="1" applyAlignment="1"/>
    <xf numFmtId="0" fontId="163" fillId="0" borderId="13" xfId="0" applyFont="1" applyFill="1" applyBorder="1" applyAlignment="1"/>
    <xf numFmtId="0" fontId="115" fillId="0" borderId="13" xfId="0" applyFont="1" applyFill="1" applyBorder="1" applyAlignment="1"/>
    <xf numFmtId="3" fontId="115" fillId="0" borderId="13" xfId="0" applyNumberFormat="1" applyFont="1" applyFill="1" applyBorder="1" applyAlignment="1"/>
    <xf numFmtId="0" fontId="114" fillId="0" borderId="13" xfId="0" applyFont="1" applyFill="1" applyBorder="1" applyAlignment="1">
      <alignment horizontal="right"/>
    </xf>
    <xf numFmtId="171" fontId="115" fillId="0" borderId="14" xfId="0" applyNumberFormat="1" applyFont="1" applyFill="1" applyBorder="1" applyAlignment="1">
      <alignment horizontal="right"/>
    </xf>
    <xf numFmtId="0" fontId="158" fillId="0" borderId="165" xfId="0" applyFont="1" applyFill="1" applyBorder="1" applyAlignment="1">
      <alignment horizontal="right"/>
    </xf>
    <xf numFmtId="0" fontId="158" fillId="0" borderId="0" xfId="0" applyFont="1" applyFill="1"/>
    <xf numFmtId="0" fontId="115" fillId="0" borderId="0" xfId="0" applyFont="1" applyFill="1" applyBorder="1" applyAlignment="1"/>
    <xf numFmtId="171" fontId="115" fillId="0" borderId="0" xfId="0" applyNumberFormat="1" applyFont="1" applyFill="1" applyAlignment="1">
      <alignment horizontal="right"/>
    </xf>
    <xf numFmtId="0" fontId="158" fillId="0" borderId="71" xfId="0" applyFont="1" applyFill="1" applyBorder="1" applyAlignment="1">
      <alignment horizontal="right"/>
    </xf>
    <xf numFmtId="0" fontId="27" fillId="29" borderId="174" xfId="0" applyFont="1" applyFill="1" applyBorder="1" applyAlignment="1">
      <alignment horizontal="right"/>
    </xf>
    <xf numFmtId="0" fontId="7" fillId="29" borderId="181" xfId="0" applyFont="1" applyFill="1" applyBorder="1" applyAlignment="1"/>
    <xf numFmtId="0" fontId="26" fillId="29" borderId="182" xfId="0" applyFont="1" applyFill="1" applyBorder="1" applyAlignment="1"/>
    <xf numFmtId="0" fontId="4" fillId="29" borderId="182" xfId="0" applyFont="1" applyFill="1" applyBorder="1" applyAlignment="1"/>
    <xf numFmtId="0" fontId="8" fillId="29" borderId="59" xfId="0" applyFont="1" applyFill="1" applyBorder="1" applyAlignment="1">
      <alignment horizontal="right"/>
    </xf>
    <xf numFmtId="171" fontId="4" fillId="29" borderId="183" xfId="0" applyNumberFormat="1" applyFont="1" applyFill="1" applyBorder="1" applyAlignment="1">
      <alignment horizontal="right"/>
    </xf>
    <xf numFmtId="0" fontId="7" fillId="29" borderId="182" xfId="0" applyFont="1" applyFill="1" applyBorder="1" applyAlignment="1"/>
    <xf numFmtId="0" fontId="8" fillId="29" borderId="182" xfId="0" applyFont="1" applyFill="1" applyBorder="1" applyAlignment="1">
      <alignment horizontal="left"/>
    </xf>
    <xf numFmtId="0" fontId="91" fillId="0" borderId="178" xfId="0" applyFont="1" applyBorder="1" applyAlignment="1">
      <alignment vertical="center" wrapText="1"/>
    </xf>
    <xf numFmtId="14" fontId="7" fillId="0" borderId="114" xfId="0" applyNumberFormat="1" applyFont="1" applyBorder="1" applyAlignment="1">
      <alignment horizontal="left" vertical="top" wrapText="1"/>
    </xf>
    <xf numFmtId="14" fontId="1" fillId="0" borderId="148" xfId="0" applyNumberFormat="1" applyFont="1" applyFill="1" applyBorder="1" applyAlignment="1">
      <alignment horizontal="left" vertical="top" wrapText="1"/>
    </xf>
    <xf numFmtId="0" fontId="91" fillId="0" borderId="77" xfId="0" quotePrefix="1" applyFont="1" applyBorder="1" applyAlignment="1">
      <alignment vertical="top" wrapText="1"/>
    </xf>
    <xf numFmtId="0" fontId="91" fillId="0" borderId="94" xfId="0" quotePrefix="1" applyFont="1" applyBorder="1" applyAlignment="1">
      <alignment vertical="top" wrapText="1"/>
    </xf>
    <xf numFmtId="0" fontId="91" fillId="0" borderId="104" xfId="0" quotePrefix="1" applyFont="1" applyBorder="1" applyAlignment="1">
      <alignment vertical="top" wrapText="1"/>
    </xf>
    <xf numFmtId="0" fontId="1" fillId="0" borderId="148" xfId="0" applyFont="1" applyBorder="1" applyAlignment="1">
      <alignment horizontal="left" vertical="top" wrapText="1"/>
    </xf>
    <xf numFmtId="0" fontId="91" fillId="0" borderId="148" xfId="0" quotePrefix="1" applyFont="1" applyBorder="1" applyAlignment="1">
      <alignment horizontal="left" vertical="top" wrapText="1"/>
    </xf>
    <xf numFmtId="0" fontId="91" fillId="0" borderId="148" xfId="0" quotePrefix="1" applyFont="1" applyBorder="1" applyAlignment="1">
      <alignment vertical="top" wrapText="1"/>
    </xf>
    <xf numFmtId="0" fontId="162" fillId="0" borderId="152" xfId="0" quotePrefix="1" applyFont="1" applyBorder="1" applyAlignment="1">
      <alignment vertical="top" wrapText="1"/>
    </xf>
    <xf numFmtId="0" fontId="162" fillId="0" borderId="148" xfId="0" quotePrefix="1" applyFont="1" applyBorder="1" applyAlignment="1">
      <alignment vertical="top" wrapText="1"/>
    </xf>
    <xf numFmtId="0" fontId="162" fillId="0" borderId="103" xfId="0" quotePrefix="1" applyFont="1" applyBorder="1" applyAlignment="1">
      <alignment vertical="top" wrapText="1"/>
    </xf>
    <xf numFmtId="0" fontId="7" fillId="0" borderId="148" xfId="0" applyFont="1" applyBorder="1" applyAlignment="1">
      <alignment horizontal="left" vertical="top" wrapText="1"/>
    </xf>
    <xf numFmtId="0" fontId="91" fillId="0" borderId="103" xfId="0" quotePrefix="1" applyFont="1" applyBorder="1" applyAlignment="1">
      <alignment vertical="top" wrapText="1"/>
    </xf>
    <xf numFmtId="0" fontId="91" fillId="0" borderId="166" xfId="0" quotePrefix="1" applyFont="1" applyBorder="1" applyAlignment="1">
      <alignment vertical="top" wrapText="1"/>
    </xf>
    <xf numFmtId="0" fontId="91" fillId="0" borderId="169" xfId="0" quotePrefix="1" applyFont="1" applyBorder="1" applyAlignment="1">
      <alignment vertical="top" wrapText="1"/>
    </xf>
    <xf numFmtId="14" fontId="7" fillId="0" borderId="0" xfId="0" applyNumberFormat="1" applyFont="1" applyBorder="1" applyAlignment="1">
      <alignment horizontal="left" vertical="top" wrapText="1"/>
    </xf>
    <xf numFmtId="0" fontId="91" fillId="0" borderId="0" xfId="0" quotePrefix="1" applyFont="1" applyBorder="1" applyAlignment="1">
      <alignment vertical="top" wrapText="1"/>
    </xf>
    <xf numFmtId="0" fontId="1" fillId="0" borderId="169" xfId="0" applyFont="1" applyBorder="1" applyAlignment="1">
      <alignment horizontal="left" vertical="top" wrapText="1"/>
    </xf>
    <xf numFmtId="0" fontId="91" fillId="0" borderId="173" xfId="0" quotePrefix="1" applyFont="1" applyBorder="1" applyAlignment="1">
      <alignment vertical="top" wrapText="1"/>
    </xf>
    <xf numFmtId="0" fontId="1" fillId="0" borderId="173" xfId="0" applyFont="1" applyBorder="1" applyAlignment="1">
      <alignment horizontal="left" vertical="top" wrapText="1"/>
    </xf>
    <xf numFmtId="0" fontId="1" fillId="0" borderId="165" xfId="0" applyFont="1" applyBorder="1" applyAlignment="1">
      <alignment horizontal="left" vertical="top" wrapText="1"/>
    </xf>
    <xf numFmtId="0" fontId="91" fillId="0" borderId="173" xfId="0" applyFont="1" applyBorder="1" applyAlignment="1">
      <alignment horizontal="left" vertical="top" wrapText="1"/>
    </xf>
    <xf numFmtId="0" fontId="91" fillId="0" borderId="174" xfId="0" applyFont="1" applyBorder="1" applyAlignment="1">
      <alignment horizontal="left" vertical="top" wrapText="1"/>
    </xf>
    <xf numFmtId="0" fontId="91" fillId="0" borderId="71" xfId="0" applyFont="1" applyBorder="1" applyAlignment="1">
      <alignment horizontal="left" vertical="top" wrapText="1"/>
    </xf>
    <xf numFmtId="0" fontId="91" fillId="0" borderId="165" xfId="0" applyFont="1" applyBorder="1" applyAlignment="1">
      <alignment horizontal="left" vertical="top" wrapText="1"/>
    </xf>
    <xf numFmtId="0" fontId="7" fillId="0" borderId="71" xfId="0" applyFont="1" applyBorder="1" applyAlignment="1">
      <alignment horizontal="left" vertical="top" wrapText="1"/>
    </xf>
    <xf numFmtId="0" fontId="7" fillId="0" borderId="165" xfId="0" applyFont="1" applyBorder="1" applyAlignment="1">
      <alignment horizontal="left" vertical="top" wrapText="1"/>
    </xf>
    <xf numFmtId="0" fontId="99" fillId="0" borderId="71" xfId="0" applyFont="1" applyBorder="1" applyAlignment="1">
      <alignment horizontal="left" vertical="top" wrapText="1"/>
    </xf>
    <xf numFmtId="0" fontId="91" fillId="0" borderId="174" xfId="0" quotePrefix="1" applyFont="1" applyBorder="1" applyAlignment="1">
      <alignment vertical="top" wrapText="1"/>
    </xf>
    <xf numFmtId="0" fontId="91" fillId="0" borderId="71" xfId="0" quotePrefix="1" applyFont="1" applyBorder="1" applyAlignment="1">
      <alignment vertical="top" wrapText="1"/>
    </xf>
    <xf numFmtId="0" fontId="91" fillId="0" borderId="165" xfId="0" quotePrefix="1" applyFont="1" applyBorder="1" applyAlignment="1">
      <alignment vertical="top" wrapText="1"/>
    </xf>
    <xf numFmtId="0" fontId="99" fillId="0" borderId="165" xfId="0" applyFont="1" applyBorder="1" applyAlignment="1">
      <alignment horizontal="left" vertical="top" wrapText="1"/>
    </xf>
    <xf numFmtId="0" fontId="91" fillId="0" borderId="178" xfId="0" applyFont="1" applyBorder="1" applyAlignment="1">
      <alignment horizontal="left" vertical="top" wrapText="1"/>
    </xf>
    <xf numFmtId="0" fontId="7" fillId="0" borderId="0" xfId="0" applyFont="1" applyAlignment="1">
      <alignment horizontal="left" vertical="top" wrapText="1"/>
    </xf>
    <xf numFmtId="0" fontId="7" fillId="0" borderId="178" xfId="0" applyFont="1" applyBorder="1" applyAlignment="1">
      <alignment horizontal="left" vertical="top" wrapText="1"/>
    </xf>
    <xf numFmtId="0" fontId="163" fillId="0" borderId="165" xfId="0" applyFont="1" applyBorder="1" applyAlignment="1">
      <alignment vertical="top" wrapText="1"/>
    </xf>
    <xf numFmtId="0" fontId="5" fillId="16" borderId="1" xfId="0" applyFont="1" applyFill="1" applyBorder="1" applyAlignment="1"/>
    <xf numFmtId="0" fontId="16" fillId="16" borderId="1" xfId="0" applyFont="1" applyFill="1" applyBorder="1"/>
    <xf numFmtId="0" fontId="5" fillId="16" borderId="1" xfId="0" applyFont="1" applyFill="1" applyBorder="1"/>
    <xf numFmtId="0" fontId="169" fillId="0" borderId="0" xfId="0" applyFont="1" applyAlignment="1">
      <alignment horizontal="left" vertical="center" indent="1"/>
    </xf>
    <xf numFmtId="0" fontId="170" fillId="14" borderId="0" xfId="0" applyFont="1" applyFill="1" applyAlignment="1">
      <alignment horizontal="left" vertical="center"/>
    </xf>
    <xf numFmtId="0" fontId="4" fillId="14" borderId="0" xfId="0" applyFont="1" applyFill="1" applyAlignment="1">
      <alignment horizontal="left" vertical="center" indent="1"/>
    </xf>
    <xf numFmtId="0" fontId="170" fillId="14" borderId="0" xfId="0" applyFont="1" applyFill="1" applyAlignment="1">
      <alignment horizontal="left" vertical="center" indent="1"/>
    </xf>
    <xf numFmtId="0" fontId="4" fillId="14" borderId="0" xfId="0" applyFont="1" applyFill="1" applyAlignment="1">
      <alignment horizontal="left" indent="3"/>
    </xf>
    <xf numFmtId="0" fontId="4" fillId="14" borderId="0" xfId="0" applyFont="1" applyFill="1" applyAlignment="1">
      <alignment horizontal="left" indent="4"/>
    </xf>
    <xf numFmtId="0" fontId="133" fillId="14" borderId="0" xfId="0" applyFont="1" applyFill="1" applyAlignment="1">
      <alignment horizontal="left"/>
    </xf>
    <xf numFmtId="0" fontId="92" fillId="14" borderId="0" xfId="0" applyFont="1" applyFill="1" applyAlignment="1">
      <alignment horizontal="left" indent="1"/>
    </xf>
    <xf numFmtId="0" fontId="92" fillId="14" borderId="0" xfId="0" applyFont="1" applyFill="1" applyAlignment="1">
      <alignment horizontal="left" indent="2"/>
    </xf>
    <xf numFmtId="0" fontId="92" fillId="14" borderId="0" xfId="0" applyFont="1" applyFill="1" applyAlignment="1">
      <alignment horizontal="left" indent="3"/>
    </xf>
    <xf numFmtId="0" fontId="92" fillId="14" borderId="0" xfId="0" applyFont="1" applyFill="1" applyAlignment="1">
      <alignment horizontal="left"/>
    </xf>
    <xf numFmtId="0" fontId="92" fillId="14" borderId="0" xfId="0" applyFont="1" applyFill="1" applyAlignment="1">
      <alignment horizontal="left" indent="4"/>
    </xf>
    <xf numFmtId="171" fontId="92" fillId="14" borderId="0" xfId="0" applyNumberFormat="1" applyFont="1" applyFill="1" applyAlignment="1">
      <alignment horizontal="right" indent="4"/>
    </xf>
    <xf numFmtId="171" fontId="92" fillId="14" borderId="0" xfId="0" applyNumberFormat="1" applyFont="1" applyFill="1" applyAlignment="1">
      <alignment horizontal="right" indent="5"/>
    </xf>
    <xf numFmtId="171" fontId="4" fillId="0" borderId="0" xfId="0" applyNumberFormat="1" applyFont="1" applyFill="1" applyAlignment="1">
      <alignment horizontal="right" indent="6"/>
    </xf>
    <xf numFmtId="171" fontId="4" fillId="0" borderId="0" xfId="0" applyNumberFormat="1" applyFont="1" applyFill="1" applyAlignment="1">
      <alignment horizontal="right" indent="7"/>
    </xf>
    <xf numFmtId="0" fontId="126" fillId="14" borderId="0" xfId="0" applyFont="1" applyFill="1" applyAlignment="1">
      <alignment horizontal="right"/>
    </xf>
    <xf numFmtId="0" fontId="40" fillId="0" borderId="0" xfId="0" applyFont="1" applyFill="1" applyAlignment="1">
      <alignment horizontal="right" indent="1"/>
    </xf>
    <xf numFmtId="0" fontId="40" fillId="0" borderId="0" xfId="0" applyFont="1" applyFill="1" applyBorder="1" applyAlignment="1">
      <alignment horizontal="right" indent="2"/>
    </xf>
    <xf numFmtId="0" fontId="4" fillId="0" borderId="0" xfId="0" applyFont="1" applyFill="1" applyBorder="1" applyAlignment="1">
      <alignment horizontal="right" indent="3"/>
    </xf>
    <xf numFmtId="0" fontId="40" fillId="0" borderId="0" xfId="0" applyFont="1" applyFill="1" applyBorder="1" applyAlignment="1">
      <alignment horizontal="right" indent="1"/>
    </xf>
    <xf numFmtId="0" fontId="4" fillId="0" borderId="0" xfId="0" applyFont="1" applyFill="1" applyBorder="1" applyAlignment="1">
      <alignment horizontal="right" indent="2"/>
    </xf>
    <xf numFmtId="3" fontId="4" fillId="0" borderId="178" xfId="0" applyNumberFormat="1" applyFont="1" applyFill="1" applyBorder="1"/>
    <xf numFmtId="0" fontId="58" fillId="29" borderId="173" xfId="0" applyFont="1" applyFill="1" applyBorder="1" applyAlignment="1">
      <alignment horizontal="left"/>
    </xf>
    <xf numFmtId="0" fontId="7" fillId="0" borderId="178" xfId="0" applyFont="1" applyBorder="1" applyAlignment="1">
      <alignment vertical="top" wrapText="1"/>
    </xf>
    <xf numFmtId="0" fontId="7" fillId="0" borderId="178" xfId="0" applyFont="1" applyBorder="1" applyAlignment="1">
      <alignment horizontal="left" vertical="top"/>
    </xf>
    <xf numFmtId="0" fontId="0" fillId="0" borderId="178" xfId="0" applyBorder="1" applyAlignment="1">
      <alignment wrapText="1"/>
    </xf>
    <xf numFmtId="0" fontId="99" fillId="29" borderId="0" xfId="0" applyFont="1" applyFill="1" applyAlignment="1" applyProtection="1">
      <alignment horizontal="right"/>
      <protection hidden="1"/>
    </xf>
    <xf numFmtId="0" fontId="7" fillId="0" borderId="17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1" fillId="0" borderId="184" xfId="0" applyFont="1" applyBorder="1" applyAlignment="1">
      <alignment wrapText="1"/>
    </xf>
    <xf numFmtId="0" fontId="1" fillId="0" borderId="71" xfId="0" applyFont="1" applyBorder="1" applyAlignment="1">
      <alignment wrapText="1"/>
    </xf>
    <xf numFmtId="4" fontId="4" fillId="0" borderId="178" xfId="0" applyNumberFormat="1" applyFont="1" applyFill="1" applyBorder="1"/>
    <xf numFmtId="0" fontId="58" fillId="29" borderId="178" xfId="0" applyFont="1" applyFill="1" applyBorder="1" applyAlignment="1">
      <alignment horizontal="left"/>
    </xf>
    <xf numFmtId="0" fontId="1" fillId="0" borderId="0" xfId="0" applyFont="1" applyFill="1" applyAlignment="1" applyProtection="1">
      <alignment horizontal="right"/>
      <protection hidden="1"/>
    </xf>
    <xf numFmtId="3" fontId="8" fillId="0" borderId="178" xfId="0" applyNumberFormat="1" applyFont="1" applyFill="1" applyBorder="1"/>
    <xf numFmtId="0" fontId="1" fillId="29" borderId="0" xfId="0" applyFont="1" applyFill="1" applyAlignment="1" applyProtection="1">
      <alignment horizontal="right"/>
      <protection hidden="1"/>
    </xf>
    <xf numFmtId="2" fontId="85" fillId="29" borderId="0" xfId="0" applyNumberFormat="1" applyFont="1" applyFill="1"/>
    <xf numFmtId="0" fontId="92" fillId="14" borderId="0" xfId="0" applyFont="1" applyFill="1" applyBorder="1" applyProtection="1"/>
    <xf numFmtId="0" fontId="92" fillId="14" borderId="23" xfId="0" applyFont="1" applyFill="1" applyBorder="1" applyProtection="1"/>
    <xf numFmtId="0" fontId="92" fillId="14" borderId="0" xfId="0" applyFont="1" applyFill="1" applyBorder="1" applyAlignment="1">
      <alignment horizontal="center"/>
    </xf>
    <xf numFmtId="0" fontId="92" fillId="14" borderId="18" xfId="0" applyFont="1" applyFill="1" applyBorder="1" applyProtection="1">
      <protection locked="0"/>
    </xf>
    <xf numFmtId="0" fontId="111" fillId="16" borderId="18" xfId="0" applyFont="1" applyFill="1" applyBorder="1" applyAlignment="1">
      <alignment horizontal="center"/>
    </xf>
    <xf numFmtId="0" fontId="92" fillId="16" borderId="0" xfId="0" applyFont="1" applyFill="1" applyBorder="1"/>
    <xf numFmtId="0" fontId="92" fillId="16" borderId="0" xfId="0" applyFont="1" applyFill="1" applyBorder="1" applyProtection="1"/>
    <xf numFmtId="0" fontId="92" fillId="16" borderId="23" xfId="0" applyFont="1" applyFill="1" applyBorder="1" applyProtection="1"/>
    <xf numFmtId="0" fontId="92" fillId="16" borderId="0" xfId="0" applyFont="1" applyFill="1" applyBorder="1" applyAlignment="1">
      <alignment horizontal="center"/>
    </xf>
    <xf numFmtId="0" fontId="92" fillId="16" borderId="18" xfId="0" applyFont="1" applyFill="1" applyBorder="1" applyProtection="1">
      <protection locked="0"/>
    </xf>
    <xf numFmtId="0" fontId="92" fillId="16" borderId="23" xfId="0" applyFont="1" applyFill="1" applyBorder="1"/>
    <xf numFmtId="0" fontId="142" fillId="29" borderId="0" xfId="0" applyFont="1" applyFill="1" applyBorder="1" applyAlignment="1">
      <alignment horizontal="left"/>
    </xf>
    <xf numFmtId="0" fontId="92" fillId="29" borderId="0" xfId="0" applyFont="1" applyFill="1" applyAlignment="1">
      <alignment horizontal="left"/>
    </xf>
    <xf numFmtId="0" fontId="92" fillId="29" borderId="0" xfId="0" applyFont="1" applyFill="1" applyBorder="1"/>
    <xf numFmtId="0" fontId="142" fillId="29" borderId="0" xfId="0" applyFont="1" applyFill="1" applyAlignment="1">
      <alignment horizontal="right"/>
    </xf>
    <xf numFmtId="0" fontId="92" fillId="29" borderId="0" xfId="0" applyFont="1" applyFill="1" applyBorder="1" applyAlignment="1">
      <alignment horizontal="right"/>
    </xf>
    <xf numFmtId="0" fontId="142" fillId="29" borderId="1" xfId="0" applyFont="1" applyFill="1" applyBorder="1"/>
    <xf numFmtId="0" fontId="92" fillId="29" borderId="1" xfId="0" applyFont="1" applyFill="1" applyBorder="1" applyProtection="1">
      <protection locked="0"/>
    </xf>
    <xf numFmtId="0" fontId="144" fillId="29" borderId="0" xfId="0" applyFont="1" applyFill="1"/>
    <xf numFmtId="171" fontId="92" fillId="29" borderId="1" xfId="0" applyNumberFormat="1" applyFont="1" applyFill="1" applyBorder="1"/>
    <xf numFmtId="0" fontId="7" fillId="0" borderId="184" xfId="0" applyFont="1" applyBorder="1" applyAlignment="1">
      <alignment vertical="top" wrapText="1"/>
    </xf>
    <xf numFmtId="0" fontId="7" fillId="0" borderId="184" xfId="0" applyFont="1" applyBorder="1" applyAlignment="1">
      <alignment horizontal="left" vertical="top"/>
    </xf>
    <xf numFmtId="0" fontId="36" fillId="29" borderId="0" xfId="0" quotePrefix="1" applyFont="1" applyFill="1" applyAlignment="1">
      <alignment horizontal="left"/>
    </xf>
    <xf numFmtId="0" fontId="36" fillId="29" borderId="0" xfId="0" quotePrefix="1" applyFont="1" applyFill="1" applyAlignment="1">
      <alignment horizontal="left" indent="1"/>
    </xf>
    <xf numFmtId="171" fontId="4" fillId="29" borderId="0" xfId="0" applyNumberFormat="1" applyFont="1" applyFill="1" applyBorder="1"/>
    <xf numFmtId="171" fontId="4" fillId="29" borderId="0" xfId="0" applyNumberFormat="1" applyFont="1" applyFill="1" applyBorder="1" applyAlignment="1">
      <alignment horizontal="right"/>
    </xf>
    <xf numFmtId="171" fontId="4" fillId="29" borderId="0" xfId="0" applyNumberFormat="1" applyFont="1" applyFill="1" applyAlignment="1">
      <alignment horizontal="right"/>
    </xf>
    <xf numFmtId="0" fontId="36" fillId="29" borderId="1" xfId="0" applyFont="1" applyFill="1" applyBorder="1" applyAlignment="1">
      <alignment horizontal="right"/>
    </xf>
    <xf numFmtId="0" fontId="21" fillId="29" borderId="0" xfId="0" applyFont="1" applyFill="1" applyAlignment="1">
      <alignment horizontal="right"/>
    </xf>
    <xf numFmtId="171" fontId="21" fillId="29" borderId="0" xfId="0" applyNumberFormat="1" applyFont="1" applyFill="1" applyBorder="1" applyAlignment="1">
      <alignment horizontal="right"/>
    </xf>
    <xf numFmtId="0" fontId="21" fillId="29" borderId="1" xfId="0" applyFont="1" applyFill="1" applyBorder="1"/>
    <xf numFmtId="0" fontId="8" fillId="16" borderId="18" xfId="0" quotePrefix="1" applyFont="1" applyFill="1" applyBorder="1" applyAlignment="1">
      <alignment horizontal="center"/>
    </xf>
    <xf numFmtId="0" fontId="4" fillId="16" borderId="0" xfId="0" applyFont="1" applyFill="1" applyBorder="1" applyAlignment="1">
      <alignment horizontal="left"/>
    </xf>
    <xf numFmtId="0" fontId="4" fillId="16" borderId="0" xfId="0" applyFont="1" applyFill="1" applyBorder="1" applyAlignment="1" applyProtection="1">
      <alignment horizontal="right"/>
    </xf>
    <xf numFmtId="0" fontId="0" fillId="29" borderId="1" xfId="0" applyFill="1" applyBorder="1"/>
    <xf numFmtId="9" fontId="0" fillId="29" borderId="1" xfId="0" applyNumberFormat="1" applyFill="1" applyBorder="1"/>
    <xf numFmtId="0" fontId="62" fillId="29" borderId="2" xfId="0" applyFont="1" applyFill="1" applyBorder="1" applyAlignment="1">
      <alignment horizontal="center"/>
    </xf>
    <xf numFmtId="0" fontId="5" fillId="29" borderId="3" xfId="0" applyFont="1" applyFill="1" applyBorder="1" applyAlignment="1">
      <alignment horizontal="center"/>
    </xf>
    <xf numFmtId="0" fontId="5" fillId="29" borderId="4" xfId="0" applyFont="1" applyFill="1" applyBorder="1" applyAlignment="1">
      <alignment horizontal="center"/>
    </xf>
    <xf numFmtId="0" fontId="171" fillId="29" borderId="2" xfId="0" applyFont="1" applyFill="1" applyBorder="1" applyAlignment="1">
      <alignment horizontal="center"/>
    </xf>
    <xf numFmtId="0" fontId="118" fillId="29" borderId="3" xfId="0" applyFont="1" applyFill="1" applyBorder="1" applyAlignment="1">
      <alignment horizontal="center"/>
    </xf>
    <xf numFmtId="0" fontId="118" fillId="29" borderId="4" xfId="0" applyFont="1" applyFill="1" applyBorder="1" applyAlignment="1">
      <alignment horizontal="center"/>
    </xf>
    <xf numFmtId="0" fontId="17" fillId="29" borderId="3" xfId="0" applyFont="1" applyFill="1" applyBorder="1"/>
    <xf numFmtId="0" fontId="138" fillId="29" borderId="69" xfId="0" applyFont="1" applyFill="1" applyBorder="1"/>
    <xf numFmtId="0" fontId="4" fillId="29" borderId="106" xfId="0" applyFont="1" applyFill="1" applyBorder="1" applyAlignment="1" applyProtection="1">
      <alignment horizontal="center"/>
    </xf>
    <xf numFmtId="0" fontId="74" fillId="29" borderId="103" xfId="0" applyFont="1" applyFill="1" applyBorder="1"/>
    <xf numFmtId="0" fontId="40" fillId="29" borderId="0" xfId="0" applyFont="1" applyFill="1" applyBorder="1" applyAlignment="1">
      <alignment horizontal="center"/>
    </xf>
    <xf numFmtId="0" fontId="148" fillId="29" borderId="69" xfId="0" applyFont="1" applyFill="1" applyBorder="1"/>
    <xf numFmtId="0" fontId="92" fillId="29" borderId="106" xfId="0" applyFont="1" applyFill="1" applyBorder="1" applyAlignment="1" applyProtection="1">
      <alignment horizontal="center"/>
    </xf>
    <xf numFmtId="0" fontId="172" fillId="29" borderId="45" xfId="0" applyFont="1" applyFill="1" applyBorder="1"/>
    <xf numFmtId="0" fontId="172" fillId="29" borderId="103" xfId="0" applyFont="1" applyFill="1" applyBorder="1"/>
    <xf numFmtId="0" fontId="92" fillId="29" borderId="0" xfId="0" applyFont="1" applyFill="1" applyBorder="1" applyAlignment="1">
      <alignment horizontal="center"/>
    </xf>
    <xf numFmtId="0" fontId="118" fillId="29" borderId="77" xfId="0" applyFont="1" applyFill="1" applyBorder="1" applyAlignment="1">
      <alignment vertical="top" wrapText="1"/>
    </xf>
    <xf numFmtId="0" fontId="74" fillId="29" borderId="144" xfId="0" applyFont="1" applyFill="1" applyBorder="1"/>
    <xf numFmtId="0" fontId="74" fillId="29" borderId="178" xfId="0" quotePrefix="1" applyFont="1" applyFill="1" applyBorder="1"/>
    <xf numFmtId="0" fontId="40" fillId="29" borderId="178" xfId="0" applyFont="1" applyFill="1" applyBorder="1" applyProtection="1">
      <protection locked="0"/>
    </xf>
    <xf numFmtId="0" fontId="40" fillId="29" borderId="178" xfId="0" applyFont="1" applyFill="1" applyBorder="1" applyAlignment="1" applyProtection="1">
      <alignment horizontal="center"/>
      <protection locked="0"/>
    </xf>
    <xf numFmtId="2" fontId="40" fillId="29" borderId="178" xfId="0" applyNumberFormat="1" applyFont="1" applyFill="1" applyBorder="1" applyAlignment="1" applyProtection="1">
      <protection locked="0"/>
    </xf>
    <xf numFmtId="0" fontId="40" fillId="29" borderId="177" xfId="0" applyFont="1" applyFill="1" applyBorder="1" applyAlignment="1" applyProtection="1">
      <alignment horizontal="center"/>
      <protection locked="0"/>
    </xf>
    <xf numFmtId="0" fontId="40" fillId="29" borderId="145" xfId="0" applyFont="1" applyFill="1" applyBorder="1" applyAlignment="1" applyProtection="1">
      <alignment horizontal="center"/>
      <protection locked="0"/>
    </xf>
    <xf numFmtId="0" fontId="5" fillId="29" borderId="178" xfId="0" applyFont="1" applyFill="1" applyBorder="1" applyAlignment="1">
      <alignment vertical="top" wrapText="1"/>
    </xf>
    <xf numFmtId="0" fontId="1" fillId="0" borderId="184" xfId="0" quotePrefix="1" applyFont="1" applyBorder="1"/>
    <xf numFmtId="0" fontId="1" fillId="0" borderId="71" xfId="0" quotePrefix="1" applyFont="1" applyBorder="1"/>
    <xf numFmtId="0" fontId="92" fillId="16" borderId="18" xfId="0" quotePrefix="1" applyFont="1" applyFill="1" applyBorder="1" applyAlignment="1" applyProtection="1">
      <alignment horizontal="center"/>
    </xf>
    <xf numFmtId="0" fontId="92" fillId="16" borderId="22" xfId="0" applyFont="1" applyFill="1" applyBorder="1" applyAlignment="1" applyProtection="1">
      <alignment horizontal="center"/>
    </xf>
    <xf numFmtId="3" fontId="92" fillId="16" borderId="18" xfId="0" applyNumberFormat="1" applyFont="1" applyFill="1" applyBorder="1" applyProtection="1">
      <protection locked="0"/>
    </xf>
    <xf numFmtId="0" fontId="171" fillId="16" borderId="2" xfId="0" applyFont="1" applyFill="1" applyBorder="1" applyAlignment="1">
      <alignment horizontal="center"/>
    </xf>
    <xf numFmtId="0" fontId="118" fillId="16" borderId="3" xfId="0" applyNumberFormat="1" applyFont="1" applyFill="1" applyBorder="1" applyAlignment="1">
      <alignment horizontal="center"/>
    </xf>
    <xf numFmtId="0" fontId="118" fillId="16" borderId="3" xfId="0" applyFont="1" applyFill="1" applyBorder="1" applyAlignment="1">
      <alignment horizontal="center"/>
    </xf>
    <xf numFmtId="0" fontId="118" fillId="16" borderId="4" xfId="0" applyFont="1" applyFill="1" applyBorder="1"/>
    <xf numFmtId="49" fontId="56" fillId="16" borderId="143" xfId="0" applyNumberFormat="1" applyFont="1" applyFill="1" applyBorder="1" applyAlignment="1" applyProtection="1">
      <alignment horizontal="center"/>
    </xf>
    <xf numFmtId="2" fontId="4" fillId="16" borderId="107" xfId="0" applyNumberFormat="1" applyFont="1" applyFill="1" applyBorder="1" applyAlignment="1" applyProtection="1">
      <alignment horizontal="center"/>
    </xf>
    <xf numFmtId="49" fontId="134" fillId="16" borderId="143" xfId="0" applyNumberFormat="1" applyFont="1" applyFill="1" applyBorder="1" applyAlignment="1" applyProtection="1">
      <alignment horizontal="center"/>
    </xf>
    <xf numFmtId="2" fontId="92" fillId="16" borderId="107" xfId="0" applyNumberFormat="1" applyFont="1" applyFill="1" applyBorder="1" applyAlignment="1" applyProtection="1">
      <alignment horizontal="center"/>
    </xf>
    <xf numFmtId="0" fontId="148" fillId="14" borderId="69" xfId="0" applyFont="1" applyFill="1" applyBorder="1"/>
    <xf numFmtId="0" fontId="92" fillId="14" borderId="105" xfId="0" applyFont="1" applyFill="1" applyBorder="1" applyAlignment="1" applyProtection="1">
      <alignment horizontal="center"/>
    </xf>
    <xf numFmtId="0" fontId="173" fillId="14" borderId="45" xfId="0" applyFont="1" applyFill="1" applyBorder="1" applyAlignment="1">
      <alignment horizontal="center"/>
    </xf>
    <xf numFmtId="0" fontId="173" fillId="14" borderId="103" xfId="0" applyFont="1" applyFill="1" applyBorder="1" applyAlignment="1">
      <alignment horizontal="left"/>
    </xf>
    <xf numFmtId="0" fontId="93" fillId="14" borderId="0" xfId="0" applyFont="1" applyFill="1" applyAlignment="1">
      <alignment wrapText="1"/>
    </xf>
    <xf numFmtId="0" fontId="118" fillId="14" borderId="77" xfId="0" applyFont="1" applyFill="1" applyBorder="1" applyAlignment="1">
      <alignment vertical="top" wrapText="1"/>
    </xf>
    <xf numFmtId="2" fontId="116" fillId="14" borderId="0" xfId="0" applyNumberFormat="1" applyFont="1" applyFill="1" applyBorder="1" applyAlignment="1">
      <alignment horizontal="right"/>
    </xf>
    <xf numFmtId="2" fontId="174" fillId="14" borderId="0" xfId="0" applyNumberFormat="1" applyFont="1" applyFill="1" applyBorder="1" applyAlignment="1">
      <alignment horizontal="right"/>
    </xf>
    <xf numFmtId="0" fontId="142" fillId="14" borderId="1" xfId="0" applyFont="1" applyFill="1" applyBorder="1"/>
    <xf numFmtId="3" fontId="92" fillId="14" borderId="16" xfId="0" applyNumberFormat="1" applyFont="1" applyFill="1" applyBorder="1"/>
    <xf numFmtId="0" fontId="144" fillId="14" borderId="0" xfId="0" applyFont="1" applyFill="1" applyAlignment="1">
      <alignment horizontal="left"/>
    </xf>
    <xf numFmtId="0" fontId="142" fillId="14" borderId="0" xfId="0" applyFont="1" applyFill="1" applyBorder="1"/>
    <xf numFmtId="0" fontId="1" fillId="0" borderId="178" xfId="0" quotePrefix="1" applyFont="1" applyBorder="1" applyAlignment="1">
      <alignment vertical="center" wrapText="1"/>
    </xf>
    <xf numFmtId="0" fontId="92" fillId="14" borderId="18" xfId="0" applyFont="1" applyFill="1" applyBorder="1" applyAlignment="1" applyProtection="1">
      <alignment horizontal="center"/>
    </xf>
    <xf numFmtId="0" fontId="92" fillId="14" borderId="22" xfId="0" applyFont="1" applyFill="1" applyBorder="1" applyProtection="1"/>
    <xf numFmtId="0" fontId="92" fillId="14" borderId="105" xfId="0" applyFont="1" applyFill="1" applyBorder="1" applyAlignment="1" applyProtection="1">
      <alignment horizontal="center" wrapText="1"/>
    </xf>
    <xf numFmtId="0" fontId="173" fillId="14" borderId="119" xfId="0" applyFont="1" applyFill="1" applyBorder="1" applyAlignment="1">
      <alignment horizontal="center"/>
    </xf>
    <xf numFmtId="0" fontId="92" fillId="14" borderId="93" xfId="0" applyFont="1" applyFill="1" applyBorder="1" applyAlignment="1" applyProtection="1">
      <alignment horizontal="center"/>
    </xf>
    <xf numFmtId="0" fontId="156" fillId="14" borderId="144" xfId="0" applyFont="1" applyFill="1" applyBorder="1" applyAlignment="1">
      <alignment horizontal="center"/>
    </xf>
    <xf numFmtId="0" fontId="173" fillId="14" borderId="69" xfId="0" applyFont="1" applyFill="1" applyBorder="1" applyAlignment="1">
      <alignment horizontal="left"/>
    </xf>
    <xf numFmtId="0" fontId="171" fillId="14" borderId="2" xfId="0" applyFont="1" applyFill="1" applyBorder="1" applyAlignment="1">
      <alignment horizontal="center"/>
    </xf>
    <xf numFmtId="0" fontId="118" fillId="14" borderId="3" xfId="0" applyNumberFormat="1" applyFont="1" applyFill="1" applyBorder="1" applyAlignment="1">
      <alignment horizontal="center"/>
    </xf>
    <xf numFmtId="0" fontId="118" fillId="14" borderId="3" xfId="0" applyFont="1" applyFill="1" applyBorder="1" applyAlignment="1">
      <alignment horizontal="center"/>
    </xf>
    <xf numFmtId="0" fontId="118" fillId="14" borderId="4" xfId="0" applyFont="1" applyFill="1" applyBorder="1"/>
    <xf numFmtId="0" fontId="171" fillId="14" borderId="82" xfId="0" applyFont="1" applyFill="1" applyBorder="1" applyAlignment="1">
      <alignment horizontal="center"/>
    </xf>
    <xf numFmtId="0" fontId="118" fillId="14" borderId="72" xfId="0" applyFont="1" applyFill="1" applyBorder="1"/>
    <xf numFmtId="49" fontId="134" fillId="14" borderId="143" xfId="0" applyNumberFormat="1" applyFont="1" applyFill="1" applyBorder="1" applyAlignment="1" applyProtection="1">
      <alignment horizontal="center"/>
    </xf>
    <xf numFmtId="4" fontId="92" fillId="14" borderId="107" xfId="0" applyNumberFormat="1" applyFont="1" applyFill="1" applyBorder="1" applyAlignment="1" applyProtection="1">
      <alignment horizontal="center"/>
    </xf>
    <xf numFmtId="4" fontId="92" fillId="14" borderId="107" xfId="0" applyNumberFormat="1" applyFont="1" applyFill="1" applyBorder="1" applyAlignment="1" applyProtection="1">
      <alignment horizontal="left" indent="1"/>
    </xf>
    <xf numFmtId="0" fontId="175" fillId="14" borderId="45" xfId="0" applyFont="1" applyFill="1" applyBorder="1" applyAlignment="1">
      <alignment horizontal="center"/>
    </xf>
    <xf numFmtId="0" fontId="172" fillId="14" borderId="1" xfId="0" applyFont="1" applyFill="1" applyBorder="1" applyAlignment="1">
      <alignment horizontal="left"/>
    </xf>
    <xf numFmtId="4" fontId="111" fillId="14" borderId="1" xfId="0" applyNumberFormat="1" applyFont="1" applyFill="1" applyBorder="1" applyAlignment="1" applyProtection="1">
      <alignment horizontal="right"/>
      <protection locked="0"/>
    </xf>
    <xf numFmtId="0" fontId="93" fillId="14" borderId="69" xfId="0" applyFont="1" applyFill="1" applyBorder="1" applyAlignment="1">
      <alignment wrapText="1"/>
    </xf>
    <xf numFmtId="3" fontId="118" fillId="14" borderId="3" xfId="0" applyNumberFormat="1" applyFont="1" applyFill="1" applyBorder="1" applyAlignment="1">
      <alignment horizontal="center"/>
    </xf>
    <xf numFmtId="2" fontId="92" fillId="14" borderId="0" xfId="0" applyNumberFormat="1" applyFont="1" applyFill="1" applyBorder="1" applyAlignment="1">
      <alignment horizontal="right"/>
    </xf>
    <xf numFmtId="3" fontId="92" fillId="14" borderId="18" xfId="0" applyNumberFormat="1" applyFont="1" applyFill="1" applyBorder="1" applyProtection="1">
      <protection locked="0"/>
    </xf>
    <xf numFmtId="0" fontId="92" fillId="14" borderId="23" xfId="0" applyFont="1" applyFill="1" applyBorder="1" applyAlignment="1" applyProtection="1">
      <alignment horizontal="right"/>
    </xf>
    <xf numFmtId="2" fontId="92" fillId="14" borderId="18" xfId="0" applyNumberFormat="1" applyFont="1" applyFill="1" applyBorder="1" applyProtection="1">
      <protection locked="0"/>
    </xf>
    <xf numFmtId="0" fontId="156" fillId="14" borderId="45" xfId="0" applyFont="1" applyFill="1" applyBorder="1" applyAlignment="1">
      <alignment horizontal="center"/>
    </xf>
    <xf numFmtId="0" fontId="118" fillId="14" borderId="71" xfId="0" applyFont="1" applyFill="1" applyBorder="1" applyAlignment="1">
      <alignment horizontal="center"/>
    </xf>
    <xf numFmtId="0" fontId="118" fillId="14" borderId="0" xfId="0" applyFont="1" applyFill="1" applyAlignment="1">
      <alignment horizontal="center"/>
    </xf>
    <xf numFmtId="0" fontId="118" fillId="14" borderId="11" xfId="0" applyFont="1" applyFill="1" applyBorder="1" applyAlignment="1">
      <alignment horizontal="center"/>
    </xf>
    <xf numFmtId="1" fontId="36" fillId="14" borderId="0" xfId="0" applyNumberFormat="1" applyFont="1" applyFill="1" applyAlignment="1">
      <alignment horizontal="right"/>
    </xf>
    <xf numFmtId="0" fontId="142" fillId="14" borderId="0" xfId="0" applyFont="1" applyFill="1"/>
    <xf numFmtId="0" fontId="92" fillId="14" borderId="0" xfId="0" applyFont="1" applyFill="1" applyAlignment="1">
      <alignment horizontal="center"/>
    </xf>
    <xf numFmtId="1" fontId="142" fillId="14" borderId="0" xfId="0" applyNumberFormat="1" applyFont="1" applyFill="1" applyBorder="1" applyAlignment="1">
      <alignment horizontal="right"/>
    </xf>
    <xf numFmtId="1" fontId="142" fillId="14" borderId="1" xfId="0" applyNumberFormat="1" applyFont="1" applyFill="1" applyBorder="1" applyAlignment="1">
      <alignment horizontal="center"/>
    </xf>
    <xf numFmtId="1" fontId="92" fillId="14" borderId="1" xfId="0" applyNumberFormat="1" applyFont="1" applyFill="1" applyBorder="1"/>
    <xf numFmtId="0" fontId="144" fillId="14" borderId="0" xfId="0" applyFont="1" applyFill="1"/>
    <xf numFmtId="1" fontId="92" fillId="14" borderId="103" xfId="0" applyNumberFormat="1" applyFont="1" applyFill="1" applyBorder="1"/>
    <xf numFmtId="0" fontId="32" fillId="0" borderId="184" xfId="0" applyFont="1" applyBorder="1" applyAlignment="1">
      <alignment vertical="top" wrapText="1"/>
    </xf>
    <xf numFmtId="0" fontId="146" fillId="29" borderId="0" xfId="0" applyFont="1" applyFill="1" applyAlignment="1">
      <alignment horizontal="right"/>
    </xf>
    <xf numFmtId="1" fontId="92" fillId="29" borderId="0" xfId="0" applyNumberFormat="1" applyFont="1" applyFill="1" applyBorder="1" applyAlignment="1">
      <alignment horizontal="right"/>
    </xf>
    <xf numFmtId="1" fontId="142" fillId="29" borderId="178" xfId="0" applyNumberFormat="1" applyFont="1" applyFill="1" applyBorder="1" applyAlignment="1">
      <alignment horizontal="center"/>
    </xf>
    <xf numFmtId="2" fontId="92" fillId="0" borderId="178" xfId="0" applyNumberFormat="1" applyFont="1" applyFill="1" applyBorder="1"/>
    <xf numFmtId="1" fontId="92" fillId="29" borderId="177" xfId="0" applyNumberFormat="1" applyFont="1" applyFill="1" applyBorder="1"/>
    <xf numFmtId="1" fontId="111" fillId="29" borderId="180" xfId="0" applyNumberFormat="1" applyFont="1" applyFill="1" applyBorder="1"/>
    <xf numFmtId="1" fontId="92" fillId="29" borderId="144" xfId="0" applyNumberFormat="1" applyFont="1" applyFill="1" applyBorder="1" applyAlignment="1">
      <alignment horizontal="right"/>
    </xf>
    <xf numFmtId="0" fontId="91" fillId="0" borderId="178" xfId="0" applyFont="1" applyBorder="1" applyAlignment="1">
      <alignment horizontal="left" vertical="top" wrapText="1"/>
    </xf>
    <xf numFmtId="0" fontId="7" fillId="0" borderId="17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7" fillId="0" borderId="165" xfId="0" applyFont="1" applyBorder="1" applyAlignment="1">
      <alignment vertical="top" wrapText="1"/>
    </xf>
    <xf numFmtId="0" fontId="7" fillId="0" borderId="184" xfId="0" applyFont="1" applyBorder="1" applyAlignment="1">
      <alignment vertical="top" wrapText="1"/>
    </xf>
    <xf numFmtId="1" fontId="122" fillId="29" borderId="0" xfId="0" applyNumberFormat="1" applyFont="1" applyFill="1" applyBorder="1" applyAlignment="1">
      <alignment horizontal="left"/>
    </xf>
    <xf numFmtId="0" fontId="122" fillId="29" borderId="0" xfId="0" applyFont="1" applyFill="1"/>
    <xf numFmtId="0" fontId="5" fillId="29" borderId="177" xfId="0" applyFont="1" applyFill="1" applyBorder="1" applyAlignment="1"/>
    <xf numFmtId="0" fontId="16" fillId="29" borderId="178" xfId="0" applyFont="1" applyFill="1" applyBorder="1" applyAlignment="1"/>
    <xf numFmtId="1" fontId="5" fillId="29" borderId="178" xfId="0" applyNumberFormat="1" applyFont="1" applyFill="1" applyBorder="1"/>
    <xf numFmtId="2" fontId="5" fillId="29" borderId="178" xfId="0" applyNumberFormat="1" applyFont="1" applyFill="1" applyBorder="1"/>
    <xf numFmtId="172" fontId="4" fillId="29" borderId="0" xfId="0" quotePrefix="1" applyNumberFormat="1" applyFont="1" applyFill="1" applyAlignment="1">
      <alignment horizontal="right"/>
    </xf>
    <xf numFmtId="0" fontId="27" fillId="29" borderId="77" xfId="0" applyFont="1" applyFill="1" applyBorder="1" applyAlignment="1">
      <alignment horizontal="right"/>
    </xf>
    <xf numFmtId="0" fontId="10" fillId="29" borderId="0" xfId="0" applyFont="1" applyFill="1" applyBorder="1" applyAlignment="1"/>
    <xf numFmtId="0" fontId="4" fillId="29" borderId="0" xfId="0" quotePrefix="1" applyFont="1" applyFill="1" applyBorder="1" applyAlignment="1">
      <alignment horizontal="right"/>
    </xf>
    <xf numFmtId="171" fontId="4" fillId="29" borderId="0" xfId="0" applyNumberFormat="1" applyFont="1" applyFill="1"/>
    <xf numFmtId="1" fontId="8" fillId="0" borderId="178" xfId="0" applyNumberFormat="1" applyFont="1" applyFill="1" applyBorder="1"/>
    <xf numFmtId="1" fontId="36" fillId="29" borderId="0" xfId="0" applyNumberFormat="1" applyFont="1" applyFill="1" applyBorder="1" applyAlignment="1">
      <alignment horizontal="left"/>
    </xf>
    <xf numFmtId="0" fontId="4" fillId="29" borderId="1" xfId="0" applyFont="1" applyFill="1" applyBorder="1" applyAlignment="1">
      <alignment horizontal="left"/>
    </xf>
    <xf numFmtId="1" fontId="114" fillId="29" borderId="0" xfId="0" applyNumberFormat="1" applyFont="1" applyFill="1" applyBorder="1" applyAlignment="1"/>
    <xf numFmtId="0" fontId="144" fillId="29" borderId="0" xfId="0" applyFont="1" applyFill="1" applyAlignment="1">
      <alignment horizontal="left"/>
    </xf>
    <xf numFmtId="1" fontId="36" fillId="29" borderId="0" xfId="0" applyNumberFormat="1" applyFont="1" applyFill="1" applyBorder="1" applyAlignment="1">
      <alignment horizontal="right"/>
    </xf>
    <xf numFmtId="0" fontId="114" fillId="29" borderId="0" xfId="0" applyFont="1" applyFill="1" applyBorder="1" applyAlignment="1">
      <alignment horizontal="left"/>
    </xf>
    <xf numFmtId="0" fontId="159" fillId="29" borderId="0" xfId="0" applyFont="1" applyFill="1" applyBorder="1" applyAlignment="1">
      <alignment horizontal="left"/>
    </xf>
    <xf numFmtId="0" fontId="36" fillId="29" borderId="0" xfId="0" applyFont="1" applyFill="1" applyBorder="1" applyAlignment="1">
      <alignment horizontal="right"/>
    </xf>
    <xf numFmtId="2" fontId="0" fillId="14" borderId="1" xfId="0" applyNumberFormat="1" applyFill="1" applyBorder="1" applyAlignment="1">
      <alignment horizontal="left"/>
    </xf>
    <xf numFmtId="2" fontId="0" fillId="14" borderId="120" xfId="0" applyNumberFormat="1" applyFill="1" applyBorder="1"/>
    <xf numFmtId="0" fontId="1" fillId="14" borderId="103" xfId="0" applyFont="1" applyFill="1" applyBorder="1" applyAlignment="1">
      <alignment horizontal="right"/>
    </xf>
    <xf numFmtId="0" fontId="36" fillId="0" borderId="17" xfId="0" applyFont="1" applyFill="1" applyBorder="1" applyAlignment="1">
      <alignment horizontal="left"/>
    </xf>
    <xf numFmtId="0" fontId="146" fillId="0" borderId="0" xfId="0" applyFont="1" applyFill="1" applyAlignment="1">
      <alignment horizontal="right"/>
    </xf>
    <xf numFmtId="0" fontId="138" fillId="18" borderId="178" xfId="0" applyFont="1" applyFill="1" applyBorder="1"/>
    <xf numFmtId="1" fontId="40" fillId="14" borderId="178" xfId="0" applyNumberFormat="1" applyFont="1" applyFill="1" applyBorder="1" applyAlignment="1" applyProtection="1">
      <alignment horizontal="right"/>
      <protection locked="0"/>
    </xf>
    <xf numFmtId="14" fontId="7" fillId="0" borderId="178" xfId="0" applyNumberFormat="1" applyFont="1" applyFill="1" applyBorder="1" applyAlignment="1">
      <alignment horizontal="left" vertical="top" wrapText="1"/>
    </xf>
    <xf numFmtId="0" fontId="1" fillId="0" borderId="178" xfId="0" applyFont="1" applyFill="1" applyBorder="1" applyAlignment="1">
      <alignment wrapText="1"/>
    </xf>
    <xf numFmtId="0" fontId="7" fillId="0" borderId="184" xfId="0" applyFont="1" applyFill="1" applyBorder="1" applyAlignment="1">
      <alignment vertical="top" wrapText="1"/>
    </xf>
    <xf numFmtId="0" fontId="7" fillId="0" borderId="71" xfId="0" applyFont="1" applyFill="1" applyBorder="1" applyAlignment="1">
      <alignment vertical="top" wrapText="1"/>
    </xf>
    <xf numFmtId="0" fontId="91" fillId="0" borderId="178" xfId="0" applyFont="1" applyBorder="1" applyAlignment="1">
      <alignment horizontal="left" vertical="top" wrapText="1"/>
    </xf>
    <xf numFmtId="0" fontId="91" fillId="0" borderId="178" xfId="0" applyFont="1" applyBorder="1" applyAlignment="1">
      <alignment horizontal="left" vertical="top" wrapText="1"/>
    </xf>
    <xf numFmtId="0" fontId="177" fillId="29" borderId="165" xfId="0" applyFont="1" applyFill="1" applyBorder="1" applyAlignment="1">
      <alignment horizontal="right"/>
    </xf>
    <xf numFmtId="0" fontId="118" fillId="29" borderId="0" xfId="0" applyFont="1" applyFill="1" applyBorder="1" applyAlignment="1"/>
    <xf numFmtId="0" fontId="109" fillId="29" borderId="15" xfId="0" applyFont="1" applyFill="1" applyBorder="1" applyAlignment="1"/>
    <xf numFmtId="0" fontId="109" fillId="29" borderId="13" xfId="0" applyFont="1" applyFill="1" applyBorder="1" applyAlignment="1"/>
    <xf numFmtId="0" fontId="92" fillId="29" borderId="13" xfId="0" applyFont="1" applyFill="1" applyBorder="1" applyAlignment="1"/>
    <xf numFmtId="171" fontId="92" fillId="29" borderId="14" xfId="0" applyNumberFormat="1" applyFont="1" applyFill="1" applyBorder="1" applyAlignment="1">
      <alignment horizontal="right"/>
    </xf>
    <xf numFmtId="0" fontId="93" fillId="29" borderId="0" xfId="0" applyFont="1" applyFill="1"/>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86" fillId="29" borderId="0" xfId="0" applyFont="1" applyFill="1"/>
    <xf numFmtId="0" fontId="56" fillId="29" borderId="0" xfId="0" applyFont="1" applyFill="1" applyAlignment="1">
      <alignment horizontal="right"/>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1" fillId="0" borderId="184" xfId="0" applyFont="1" applyBorder="1" applyAlignment="1">
      <alignment horizontal="left" vertical="top"/>
    </xf>
    <xf numFmtId="0" fontId="1" fillId="0" borderId="178" xfId="0" applyFont="1" applyBorder="1" applyAlignment="1">
      <alignment horizontal="left" vertical="top"/>
    </xf>
    <xf numFmtId="0" fontId="89" fillId="29" borderId="1" xfId="0" applyFont="1" applyFill="1" applyBorder="1" applyAlignment="1">
      <alignment vertical="top" wrapText="1"/>
    </xf>
    <xf numFmtId="0" fontId="92" fillId="0" borderId="2" xfId="0" applyFont="1" applyFill="1" applyBorder="1" applyAlignment="1">
      <alignment horizontal="center"/>
    </xf>
    <xf numFmtId="0" fontId="4" fillId="0" borderId="2" xfId="0" applyFont="1" applyFill="1" applyBorder="1" applyAlignment="1">
      <alignment horizontal="center"/>
    </xf>
    <xf numFmtId="0" fontId="40" fillId="0" borderId="2" xfId="0" applyFont="1" applyFill="1" applyBorder="1"/>
    <xf numFmtId="0" fontId="93" fillId="0" borderId="4" xfId="0" applyFont="1" applyFill="1" applyBorder="1"/>
    <xf numFmtId="0" fontId="0" fillId="0" borderId="4" xfId="0" applyFill="1" applyBorder="1" applyAlignment="1">
      <alignment horizontal="center"/>
    </xf>
    <xf numFmtId="0" fontId="40" fillId="0" borderId="4" xfId="0" applyFont="1" applyFill="1" applyBorder="1" applyAlignment="1">
      <alignment horizontal="right"/>
    </xf>
    <xf numFmtId="0" fontId="40" fillId="0" borderId="4" xfId="0" applyFont="1" applyFill="1" applyBorder="1" applyAlignment="1">
      <alignment horizontal="center"/>
    </xf>
    <xf numFmtId="0" fontId="40" fillId="0" borderId="4" xfId="0" applyFont="1" applyFill="1" applyBorder="1"/>
    <xf numFmtId="0" fontId="92" fillId="0" borderId="1" xfId="0" applyFont="1" applyFill="1" applyBorder="1"/>
    <xf numFmtId="0" fontId="92" fillId="0" borderId="50" xfId="0" applyFont="1" applyFill="1" applyBorder="1"/>
    <xf numFmtId="0" fontId="93" fillId="0" borderId="46" xfId="0" applyFont="1" applyFill="1" applyBorder="1"/>
    <xf numFmtId="0" fontId="164" fillId="14" borderId="73" xfId="0" applyFont="1" applyFill="1" applyBorder="1"/>
    <xf numFmtId="0" fontId="164" fillId="14" borderId="74" xfId="0" applyFont="1" applyFill="1" applyBorder="1"/>
    <xf numFmtId="3" fontId="164" fillId="14" borderId="75" xfId="0" applyNumberFormat="1" applyFont="1" applyFill="1" applyBorder="1"/>
    <xf numFmtId="0" fontId="164" fillId="0" borderId="0" xfId="0" applyFont="1" applyFill="1"/>
    <xf numFmtId="0" fontId="178" fillId="14" borderId="162" xfId="0" applyFont="1" applyFill="1" applyBorder="1"/>
    <xf numFmtId="0" fontId="178" fillId="14" borderId="163" xfId="0" applyFont="1" applyFill="1" applyBorder="1"/>
    <xf numFmtId="3" fontId="178" fillId="14" borderId="164" xfId="0" applyNumberFormat="1" applyFont="1" applyFill="1" applyBorder="1"/>
    <xf numFmtId="0" fontId="178" fillId="26" borderId="0" xfId="0" applyFont="1" applyFill="1"/>
    <xf numFmtId="6" fontId="1" fillId="0" borderId="0" xfId="0" applyNumberFormat="1" applyFont="1" applyFill="1" applyAlignment="1">
      <alignment horizontal="left"/>
    </xf>
    <xf numFmtId="0" fontId="7" fillId="29" borderId="178" xfId="0" applyFont="1" applyFill="1" applyBorder="1" applyAlignment="1">
      <alignment vertical="top" wrapText="1"/>
    </xf>
    <xf numFmtId="14" fontId="1" fillId="0" borderId="178" xfId="0" applyNumberFormat="1" applyFont="1" applyBorder="1" applyAlignment="1">
      <alignment horizontal="left" vertical="top"/>
    </xf>
    <xf numFmtId="0" fontId="111" fillId="29" borderId="0" xfId="0" applyFont="1" applyFill="1"/>
    <xf numFmtId="2" fontId="92" fillId="29" borderId="0" xfId="0" applyNumberFormat="1" applyFont="1" applyFill="1"/>
    <xf numFmtId="2" fontId="92" fillId="29" borderId="0" xfId="0" applyNumberFormat="1" applyFont="1" applyFill="1" applyBorder="1" applyAlignment="1">
      <alignment horizontal="right"/>
    </xf>
    <xf numFmtId="0" fontId="5" fillId="29" borderId="1" xfId="0" applyFont="1" applyFill="1" applyBorder="1"/>
    <xf numFmtId="0" fontId="92" fillId="29" borderId="0" xfId="0" applyFont="1" applyFill="1" applyBorder="1" applyAlignment="1">
      <alignment horizontal="left"/>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40" fillId="10" borderId="184" xfId="0" applyFont="1" applyFill="1" applyBorder="1" applyAlignment="1">
      <alignment horizontal="center"/>
    </xf>
    <xf numFmtId="4" fontId="8" fillId="0" borderId="177" xfId="0" applyNumberFormat="1" applyFont="1" applyBorder="1" applyAlignment="1" applyProtection="1">
      <alignment horizontal="right"/>
      <protection locked="0"/>
    </xf>
    <xf numFmtId="0" fontId="8" fillId="0" borderId="177" xfId="0" applyFont="1" applyBorder="1" applyAlignment="1" applyProtection="1">
      <alignment horizontal="center"/>
      <protection locked="0"/>
    </xf>
    <xf numFmtId="4" fontId="8" fillId="0" borderId="83" xfId="0" applyNumberFormat="1" applyFont="1" applyBorder="1" applyAlignment="1" applyProtection="1">
      <alignment horizontal="right"/>
      <protection locked="0"/>
    </xf>
    <xf numFmtId="0" fontId="40" fillId="15" borderId="177" xfId="0" applyFont="1" applyFill="1" applyBorder="1" applyProtection="1">
      <protection locked="0"/>
    </xf>
    <xf numFmtId="4" fontId="40" fillId="15" borderId="177" xfId="0" applyNumberFormat="1" applyFont="1" applyFill="1" applyBorder="1" applyProtection="1">
      <protection locked="0"/>
    </xf>
    <xf numFmtId="4" fontId="40" fillId="15" borderId="177" xfId="0" applyNumberFormat="1" applyFont="1" applyFill="1" applyBorder="1" applyAlignment="1">
      <alignment horizontal="right"/>
    </xf>
    <xf numFmtId="4" fontId="8" fillId="15" borderId="177" xfId="0" applyNumberFormat="1" applyFont="1" applyFill="1" applyBorder="1" applyProtection="1">
      <protection locked="0"/>
    </xf>
    <xf numFmtId="4" fontId="40" fillId="15" borderId="177" xfId="0" applyNumberFormat="1" applyFont="1" applyFill="1" applyBorder="1"/>
    <xf numFmtId="4" fontId="8" fillId="15" borderId="177" xfId="0" applyNumberFormat="1" applyFont="1" applyFill="1" applyBorder="1"/>
    <xf numFmtId="4" fontId="40" fillId="15" borderId="177" xfId="0" applyNumberFormat="1" applyFont="1" applyFill="1" applyBorder="1" applyProtection="1"/>
    <xf numFmtId="4" fontId="8" fillId="15" borderId="177" xfId="0" applyNumberFormat="1" applyFont="1" applyFill="1" applyBorder="1" applyProtection="1"/>
    <xf numFmtId="4" fontId="8" fillId="15" borderId="83" xfId="0" applyNumberFormat="1" applyFont="1" applyFill="1" applyBorder="1" applyProtection="1"/>
    <xf numFmtId="0" fontId="4" fillId="14" borderId="27" xfId="0" applyFont="1" applyFill="1" applyBorder="1" applyAlignment="1" applyProtection="1">
      <alignment horizontal="left" vertical="top" wrapText="1"/>
      <protection locked="0"/>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7" fillId="0" borderId="184" xfId="0" applyFont="1" applyBorder="1" applyAlignment="1">
      <alignment vertical="top" wrapText="1"/>
    </xf>
    <xf numFmtId="0" fontId="7" fillId="0" borderId="165" xfId="0" applyFont="1" applyBorder="1" applyAlignment="1">
      <alignment vertical="top" wrapText="1"/>
    </xf>
    <xf numFmtId="1" fontId="8" fillId="14" borderId="178" xfId="0" applyNumberFormat="1" applyFont="1" applyFill="1" applyBorder="1" applyProtection="1">
      <protection locked="0"/>
    </xf>
    <xf numFmtId="0" fontId="5" fillId="14" borderId="178" xfId="0" applyFont="1" applyFill="1" applyBorder="1" applyAlignment="1">
      <alignment vertical="top" wrapText="1"/>
    </xf>
    <xf numFmtId="4" fontId="40" fillId="14" borderId="103" xfId="0" applyNumberFormat="1" applyFont="1" applyFill="1" applyBorder="1" applyAlignment="1" applyProtection="1">
      <alignment horizontal="right"/>
    </xf>
    <xf numFmtId="4" fontId="40" fillId="14" borderId="103" xfId="0" applyNumberFormat="1" applyFont="1" applyFill="1" applyBorder="1" applyAlignment="1" applyProtection="1">
      <alignment horizontal="right"/>
      <protection locked="0"/>
    </xf>
    <xf numFmtId="4" fontId="8" fillId="14" borderId="103" xfId="0" applyNumberFormat="1" applyFont="1" applyFill="1" applyBorder="1" applyAlignment="1" applyProtection="1">
      <alignment horizontal="right"/>
    </xf>
    <xf numFmtId="4" fontId="40" fillId="14" borderId="103" xfId="0" applyNumberFormat="1" applyFont="1" applyFill="1" applyBorder="1" applyProtection="1"/>
    <xf numFmtId="4" fontId="8" fillId="14" borderId="103" xfId="0" applyNumberFormat="1" applyFont="1" applyFill="1" applyBorder="1" applyProtection="1"/>
    <xf numFmtId="0" fontId="8" fillId="14" borderId="173" xfId="0" applyFont="1" applyFill="1" applyBorder="1"/>
    <xf numFmtId="0" fontId="5" fillId="14" borderId="178" xfId="0" applyFont="1" applyFill="1" applyBorder="1" applyAlignment="1">
      <alignment wrapText="1"/>
    </xf>
    <xf numFmtId="4" fontId="8" fillId="14" borderId="1" xfId="0" applyNumberFormat="1" applyFont="1" applyFill="1" applyBorder="1" applyAlignment="1">
      <alignment horizontal="right"/>
    </xf>
    <xf numFmtId="4" fontId="8" fillId="14" borderId="1" xfId="0" applyNumberFormat="1" applyFont="1" applyFill="1" applyBorder="1" applyAlignment="1" applyProtection="1">
      <alignment horizontal="right"/>
      <protection locked="0"/>
    </xf>
    <xf numFmtId="0" fontId="118" fillId="14" borderId="178" xfId="0" applyFont="1" applyFill="1" applyBorder="1" applyAlignment="1">
      <alignment vertical="top" wrapText="1"/>
    </xf>
    <xf numFmtId="0" fontId="5" fillId="0" borderId="178" xfId="0" applyFont="1" applyFill="1" applyBorder="1" applyAlignment="1">
      <alignment vertical="top" wrapText="1"/>
    </xf>
    <xf numFmtId="0" fontId="100" fillId="0" borderId="144" xfId="0" applyFont="1" applyBorder="1" applyAlignment="1">
      <alignment horizontal="center"/>
    </xf>
    <xf numFmtId="0" fontId="74" fillId="0" borderId="178" xfId="0" applyFont="1" applyBorder="1" applyAlignment="1">
      <alignment horizontal="left"/>
    </xf>
    <xf numFmtId="4" fontId="8" fillId="0" borderId="178" xfId="0" applyNumberFormat="1" applyFont="1" applyBorder="1" applyAlignment="1" applyProtection="1">
      <alignment horizontal="right"/>
      <protection locked="0"/>
    </xf>
    <xf numFmtId="4" fontId="157" fillId="0" borderId="145" xfId="0" applyNumberFormat="1" applyFont="1" applyFill="1" applyBorder="1" applyAlignment="1" applyProtection="1">
      <alignment horizontal="right"/>
      <protection locked="0"/>
    </xf>
    <xf numFmtId="4" fontId="40" fillId="10" borderId="178" xfId="0" applyNumberFormat="1" applyFont="1" applyFill="1" applyBorder="1" applyAlignment="1" applyProtection="1">
      <alignment horizontal="right"/>
      <protection locked="0"/>
    </xf>
    <xf numFmtId="4" fontId="4" fillId="10" borderId="178" xfId="0" applyNumberFormat="1" applyFont="1" applyFill="1" applyBorder="1" applyAlignment="1" applyProtection="1">
      <alignment horizontal="right"/>
      <protection locked="0"/>
    </xf>
    <xf numFmtId="0" fontId="74" fillId="14" borderId="42" xfId="0" applyFont="1" applyFill="1" applyBorder="1" applyAlignment="1">
      <alignment horizontal="left"/>
    </xf>
    <xf numFmtId="4" fontId="8" fillId="14" borderId="42" xfId="0" applyNumberFormat="1" applyFont="1" applyFill="1" applyBorder="1" applyAlignment="1" applyProtection="1">
      <alignment horizontal="right"/>
      <protection locked="0"/>
    </xf>
    <xf numFmtId="4" fontId="157" fillId="14" borderId="43" xfId="0" applyNumberFormat="1" applyFont="1" applyFill="1" applyBorder="1" applyAlignment="1" applyProtection="1">
      <alignment horizontal="right"/>
      <protection locked="0"/>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40" fillId="10" borderId="178" xfId="0" applyFont="1" applyFill="1" applyBorder="1" applyAlignment="1">
      <alignment horizontal="center"/>
    </xf>
    <xf numFmtId="43" fontId="8" fillId="0" borderId="177" xfId="1" applyFont="1" applyFill="1" applyBorder="1" applyProtection="1">
      <protection locked="0"/>
    </xf>
    <xf numFmtId="43" fontId="8" fillId="0" borderId="177" xfId="1" applyFont="1" applyBorder="1" applyProtection="1">
      <protection locked="0"/>
    </xf>
    <xf numFmtId="0" fontId="4" fillId="14" borderId="46" xfId="0" applyFont="1" applyFill="1" applyBorder="1" applyAlignment="1">
      <alignment horizontal="center"/>
    </xf>
    <xf numFmtId="0" fontId="4" fillId="14" borderId="178" xfId="0" applyFont="1" applyFill="1" applyBorder="1" applyAlignment="1" applyProtection="1">
      <alignment horizontal="center"/>
      <protection locked="0"/>
    </xf>
    <xf numFmtId="0" fontId="4" fillId="14" borderId="178" xfId="0" applyFont="1" applyFill="1" applyBorder="1" applyProtection="1">
      <protection locked="0"/>
    </xf>
    <xf numFmtId="174" fontId="4" fillId="14" borderId="178" xfId="0" applyNumberFormat="1" applyFont="1" applyFill="1" applyBorder="1" applyProtection="1"/>
    <xf numFmtId="174" fontId="4" fillId="14" borderId="178" xfId="0" applyNumberFormat="1" applyFont="1" applyFill="1" applyBorder="1" applyAlignment="1" applyProtection="1">
      <alignment horizontal="center"/>
      <protection locked="0"/>
    </xf>
    <xf numFmtId="4" fontId="4" fillId="14" borderId="178" xfId="0" applyNumberFormat="1" applyFont="1" applyFill="1" applyBorder="1" applyAlignment="1" applyProtection="1">
      <alignment horizontal="right"/>
      <protection locked="0"/>
    </xf>
    <xf numFmtId="4" fontId="4" fillId="14" borderId="178" xfId="0" applyNumberFormat="1" applyFont="1" applyFill="1" applyBorder="1" applyAlignment="1" applyProtection="1">
      <alignment horizontal="right"/>
    </xf>
    <xf numFmtId="4" fontId="111" fillId="14" borderId="178" xfId="0" applyNumberFormat="1" applyFont="1" applyFill="1" applyBorder="1" applyAlignment="1" applyProtection="1">
      <alignment horizontal="right"/>
      <protection locked="0"/>
    </xf>
    <xf numFmtId="4" fontId="4" fillId="14" borderId="178" xfId="0" applyNumberFormat="1" applyFont="1" applyFill="1" applyBorder="1" applyProtection="1">
      <protection locked="0"/>
    </xf>
    <xf numFmtId="4" fontId="8" fillId="14" borderId="178" xfId="0" applyNumberFormat="1" applyFont="1" applyFill="1" applyBorder="1" applyProtection="1">
      <protection locked="0"/>
    </xf>
    <xf numFmtId="4" fontId="4" fillId="14" borderId="178" xfId="0" applyNumberFormat="1" applyFont="1" applyFill="1" applyBorder="1" applyProtection="1"/>
    <xf numFmtId="4" fontId="8" fillId="14" borderId="178" xfId="0" applyNumberFormat="1" applyFont="1" applyFill="1" applyBorder="1" applyProtection="1"/>
    <xf numFmtId="4" fontId="4" fillId="14" borderId="178" xfId="1" applyNumberFormat="1" applyFont="1" applyFill="1" applyBorder="1" applyProtection="1"/>
    <xf numFmtId="1" fontId="4" fillId="14" borderId="137" xfId="0" applyNumberFormat="1" applyFont="1" applyFill="1" applyBorder="1" applyProtection="1">
      <protection locked="0"/>
    </xf>
    <xf numFmtId="0" fontId="13" fillId="0" borderId="0" xfId="0" applyFont="1" applyFill="1" applyAlignment="1"/>
    <xf numFmtId="0" fontId="4" fillId="14" borderId="177" xfId="0" applyFont="1" applyFill="1" applyBorder="1" applyAlignment="1" applyProtection="1">
      <alignment vertical="top" wrapText="1"/>
      <protection locked="0"/>
    </xf>
    <xf numFmtId="0" fontId="4" fillId="0" borderId="165" xfId="0" applyFont="1" applyFill="1" applyBorder="1" applyProtection="1">
      <protection locked="0"/>
    </xf>
    <xf numFmtId="0" fontId="4" fillId="0" borderId="178" xfId="0" applyFont="1" applyFill="1" applyBorder="1" applyProtection="1">
      <protection locked="0"/>
    </xf>
    <xf numFmtId="0" fontId="4" fillId="33" borderId="96" xfId="0" applyFont="1" applyFill="1" applyBorder="1" applyAlignment="1">
      <alignment horizontal="center"/>
    </xf>
    <xf numFmtId="0" fontId="4" fillId="33" borderId="47" xfId="0" applyFont="1" applyFill="1" applyBorder="1" applyAlignment="1">
      <alignment horizontal="center"/>
    </xf>
    <xf numFmtId="43" fontId="8" fillId="33" borderId="177" xfId="1" applyFont="1" applyFill="1" applyBorder="1" applyProtection="1">
      <protection locked="0"/>
    </xf>
    <xf numFmtId="43" fontId="8" fillId="33" borderId="145" xfId="1" applyFont="1" applyFill="1" applyBorder="1" applyProtection="1">
      <protection locked="0"/>
    </xf>
    <xf numFmtId="43" fontId="4" fillId="33" borderId="83" xfId="1" applyFont="1" applyFill="1" applyBorder="1" applyProtection="1">
      <protection locked="0"/>
    </xf>
    <xf numFmtId="43" fontId="4" fillId="33" borderId="138" xfId="1" applyFont="1" applyFill="1" applyBorder="1" applyProtection="1">
      <protection locked="0"/>
    </xf>
    <xf numFmtId="0" fontId="4" fillId="10" borderId="46" xfId="0" applyFont="1" applyFill="1" applyBorder="1" applyAlignment="1">
      <alignment horizontal="center"/>
    </xf>
    <xf numFmtId="0" fontId="4" fillId="33" borderId="46" xfId="0" applyFont="1" applyFill="1" applyBorder="1" applyAlignment="1">
      <alignment horizontal="center"/>
    </xf>
    <xf numFmtId="1" fontId="8" fillId="0" borderId="178" xfId="0" applyNumberFormat="1" applyFont="1" applyBorder="1" applyProtection="1">
      <protection locked="0"/>
    </xf>
    <xf numFmtId="1" fontId="8" fillId="33" borderId="178" xfId="0" applyNumberFormat="1" applyFont="1" applyFill="1" applyBorder="1" applyProtection="1">
      <protection locked="0"/>
    </xf>
    <xf numFmtId="0" fontId="8" fillId="0" borderId="145" xfId="0" applyFont="1" applyFill="1" applyBorder="1" applyProtection="1">
      <protection locked="0"/>
    </xf>
    <xf numFmtId="0" fontId="8" fillId="0" borderId="178" xfId="0" applyFont="1" applyBorder="1" applyProtection="1">
      <protection locked="0"/>
    </xf>
    <xf numFmtId="0" fontId="8" fillId="33" borderId="178" xfId="0" applyFont="1" applyFill="1" applyBorder="1" applyProtection="1">
      <protection locked="0"/>
    </xf>
    <xf numFmtId="2" fontId="8" fillId="10" borderId="178" xfId="0" applyNumberFormat="1" applyFont="1" applyFill="1" applyBorder="1"/>
    <xf numFmtId="2" fontId="8" fillId="33" borderId="178" xfId="0" applyNumberFormat="1" applyFont="1" applyFill="1" applyBorder="1"/>
    <xf numFmtId="2" fontId="8" fillId="10" borderId="145" xfId="0" applyNumberFormat="1" applyFont="1" applyFill="1" applyBorder="1"/>
    <xf numFmtId="1" fontId="8" fillId="0" borderId="137" xfId="0" applyNumberFormat="1" applyFont="1" applyBorder="1" applyProtection="1">
      <protection locked="0"/>
    </xf>
    <xf numFmtId="1" fontId="8" fillId="33" borderId="137" xfId="0" applyNumberFormat="1" applyFont="1" applyFill="1" applyBorder="1" applyProtection="1">
      <protection locked="0"/>
    </xf>
    <xf numFmtId="0" fontId="8" fillId="0" borderId="138" xfId="0" applyFont="1" applyFill="1" applyBorder="1" applyProtection="1">
      <protection locked="0"/>
    </xf>
    <xf numFmtId="0" fontId="4" fillId="0" borderId="177" xfId="0" applyFont="1" applyFill="1" applyBorder="1" applyAlignment="1">
      <alignment vertical="center" wrapText="1"/>
    </xf>
    <xf numFmtId="1" fontId="8" fillId="14" borderId="1" xfId="0" applyNumberFormat="1" applyFont="1" applyFill="1" applyBorder="1" applyProtection="1">
      <protection locked="0"/>
    </xf>
    <xf numFmtId="43" fontId="8" fillId="33" borderId="178" xfId="1" applyFont="1" applyFill="1" applyBorder="1" applyProtection="1">
      <protection locked="0"/>
    </xf>
    <xf numFmtId="2" fontId="8" fillId="14" borderId="178" xfId="0" applyNumberFormat="1" applyFont="1" applyFill="1" applyBorder="1" applyProtection="1">
      <protection locked="0"/>
    </xf>
    <xf numFmtId="2" fontId="8" fillId="14" borderId="178" xfId="0" applyNumberFormat="1" applyFont="1" applyFill="1" applyBorder="1"/>
    <xf numFmtId="0" fontId="4" fillId="14" borderId="165" xfId="0" applyFont="1" applyFill="1" applyBorder="1" applyProtection="1">
      <protection locked="0"/>
    </xf>
    <xf numFmtId="0" fontId="4" fillId="0" borderId="178" xfId="0" applyFont="1" applyFill="1" applyBorder="1"/>
    <xf numFmtId="14" fontId="7" fillId="0" borderId="178" xfId="0" applyNumberFormat="1" applyFont="1" applyBorder="1" applyAlignment="1">
      <alignment horizontal="left" vertical="top"/>
    </xf>
    <xf numFmtId="0" fontId="4" fillId="14" borderId="177" xfId="0" applyFont="1" applyFill="1" applyBorder="1" applyAlignment="1">
      <alignment vertical="center" wrapText="1"/>
    </xf>
    <xf numFmtId="0" fontId="4" fillId="14" borderId="177" xfId="0" applyFont="1" applyFill="1" applyBorder="1" applyAlignment="1" applyProtection="1">
      <alignment wrapText="1"/>
      <protection locked="0"/>
    </xf>
    <xf numFmtId="4" fontId="4" fillId="14" borderId="178" xfId="0" applyNumberFormat="1" applyFont="1" applyFill="1" applyBorder="1" applyAlignment="1" applyProtection="1">
      <alignment horizontal="left" vertical="top"/>
      <protection locked="0"/>
    </xf>
    <xf numFmtId="0" fontId="4" fillId="14" borderId="177" xfId="0" applyFont="1" applyFill="1" applyBorder="1" applyAlignment="1" applyProtection="1">
      <alignment horizontal="right"/>
      <protection locked="0"/>
    </xf>
    <xf numFmtId="0" fontId="4" fillId="10" borderId="185" xfId="0" applyFont="1" applyFill="1" applyBorder="1" applyAlignment="1">
      <alignment horizontal="center"/>
    </xf>
    <xf numFmtId="0" fontId="4" fillId="14" borderId="185" xfId="0" applyFont="1" applyFill="1" applyBorder="1" applyAlignment="1">
      <alignment horizontal="center"/>
    </xf>
    <xf numFmtId="4" fontId="8" fillId="14" borderId="177" xfId="1" applyNumberFormat="1" applyFont="1" applyFill="1" applyBorder="1" applyAlignment="1" applyProtection="1">
      <alignment horizontal="right"/>
      <protection locked="0"/>
    </xf>
    <xf numFmtId="4" fontId="8" fillId="14" borderId="178" xfId="1" applyNumberFormat="1" applyFont="1" applyFill="1" applyBorder="1" applyAlignment="1">
      <alignment horizontal="right"/>
    </xf>
    <xf numFmtId="4" fontId="8" fillId="14" borderId="177" xfId="1" applyNumberFormat="1" applyFont="1" applyFill="1" applyBorder="1" applyAlignment="1">
      <alignment horizontal="right"/>
    </xf>
    <xf numFmtId="4" fontId="8" fillId="14" borderId="177" xfId="0" applyNumberFormat="1" applyFont="1" applyFill="1" applyBorder="1" applyAlignment="1" applyProtection="1">
      <alignment horizontal="right"/>
      <protection locked="0"/>
    </xf>
    <xf numFmtId="0" fontId="4" fillId="0" borderId="177" xfId="0" applyFont="1" applyBorder="1" applyAlignment="1" applyProtection="1">
      <alignment horizontal="center"/>
      <protection locked="0"/>
    </xf>
    <xf numFmtId="0" fontId="4" fillId="14" borderId="177" xfId="0" applyFont="1" applyFill="1" applyBorder="1" applyAlignment="1" applyProtection="1">
      <alignment horizontal="center"/>
      <protection locked="0"/>
    </xf>
    <xf numFmtId="0" fontId="8" fillId="14" borderId="177" xfId="0" applyFont="1" applyFill="1" applyBorder="1" applyAlignment="1" applyProtection="1">
      <alignment horizontal="center"/>
      <protection locked="0"/>
    </xf>
    <xf numFmtId="4" fontId="8" fillId="14" borderId="83" xfId="0" applyNumberFormat="1" applyFont="1" applyFill="1" applyBorder="1" applyAlignment="1" applyProtection="1">
      <alignment horizontal="right"/>
      <protection locked="0"/>
    </xf>
    <xf numFmtId="3" fontId="92" fillId="15" borderId="173" xfId="0" applyNumberFormat="1" applyFont="1" applyFill="1" applyBorder="1"/>
    <xf numFmtId="3" fontId="4" fillId="15" borderId="173" xfId="2" applyNumberFormat="1" applyFont="1" applyFill="1" applyBorder="1"/>
    <xf numFmtId="0" fontId="4" fillId="14" borderId="17" xfId="0" applyFont="1" applyFill="1" applyBorder="1" applyAlignment="1">
      <alignment vertical="center" wrapText="1"/>
    </xf>
    <xf numFmtId="0" fontId="4" fillId="10" borderId="47" xfId="0" applyFont="1" applyFill="1" applyBorder="1" applyAlignment="1">
      <alignment horizontal="center"/>
    </xf>
    <xf numFmtId="0" fontId="7" fillId="0" borderId="184" xfId="0" applyFont="1" applyBorder="1" applyAlignment="1">
      <alignment vertical="top" wrapText="1"/>
    </xf>
    <xf numFmtId="0" fontId="7" fillId="0" borderId="165" xfId="0" applyFont="1" applyBorder="1" applyAlignment="1">
      <alignment vertical="top" wrapText="1"/>
    </xf>
    <xf numFmtId="1" fontId="8" fillId="29" borderId="177" xfId="0" applyNumberFormat="1" applyFont="1" applyFill="1" applyBorder="1" applyProtection="1">
      <protection locked="0"/>
    </xf>
    <xf numFmtId="4" fontId="8" fillId="14" borderId="178" xfId="0" applyNumberFormat="1" applyFont="1" applyFill="1" applyBorder="1" applyAlignment="1" applyProtection="1">
      <alignment horizontal="right"/>
      <protection locked="0"/>
    </xf>
    <xf numFmtId="4" fontId="8" fillId="14" borderId="178" xfId="0" applyNumberFormat="1" applyFont="1" applyFill="1" applyBorder="1" applyAlignment="1">
      <alignment horizontal="right"/>
    </xf>
    <xf numFmtId="4" fontId="4" fillId="14" borderId="178" xfId="0" applyNumberFormat="1" applyFont="1" applyFill="1" applyBorder="1" applyAlignment="1">
      <alignment horizontal="right"/>
    </xf>
    <xf numFmtId="0" fontId="8" fillId="14" borderId="46" xfId="0" applyFont="1" applyFill="1" applyBorder="1" applyAlignment="1">
      <alignment horizontal="center"/>
    </xf>
    <xf numFmtId="0" fontId="138" fillId="0" borderId="145" xfId="0" applyFont="1" applyBorder="1" applyProtection="1">
      <protection locked="0"/>
    </xf>
    <xf numFmtId="0" fontId="4" fillId="14" borderId="178" xfId="0" applyFont="1" applyFill="1" applyBorder="1" applyAlignment="1" applyProtection="1">
      <alignment horizontal="right"/>
      <protection locked="0"/>
    </xf>
    <xf numFmtId="0" fontId="138" fillId="0" borderId="145" xfId="0" applyFont="1" applyBorder="1" applyAlignment="1" applyProtection="1">
      <alignment horizontal="right"/>
      <protection locked="0"/>
    </xf>
    <xf numFmtId="4" fontId="138" fillId="0" borderId="145" xfId="0" applyNumberFormat="1" applyFont="1" applyBorder="1" applyAlignment="1" applyProtection="1">
      <alignment horizontal="right"/>
      <protection locked="0"/>
    </xf>
    <xf numFmtId="4" fontId="157" fillId="18" borderId="145" xfId="0" applyNumberFormat="1" applyFont="1" applyFill="1" applyBorder="1" applyAlignment="1">
      <alignment horizontal="right"/>
    </xf>
    <xf numFmtId="4" fontId="138" fillId="0" borderId="145" xfId="0" applyNumberFormat="1" applyFont="1" applyFill="1" applyBorder="1" applyAlignment="1">
      <alignment horizontal="right"/>
    </xf>
    <xf numFmtId="0" fontId="4" fillId="14" borderId="130" xfId="0" applyFont="1" applyFill="1" applyBorder="1" applyAlignment="1" applyProtection="1">
      <alignment horizontal="right"/>
      <protection locked="0"/>
    </xf>
    <xf numFmtId="4" fontId="4" fillId="14" borderId="133" xfId="0" applyNumberFormat="1" applyFont="1" applyFill="1" applyBorder="1" applyAlignment="1" applyProtection="1">
      <alignment horizontal="right"/>
      <protection locked="0"/>
    </xf>
    <xf numFmtId="4" fontId="157" fillId="0" borderId="145" xfId="0" applyNumberFormat="1" applyFont="1" applyBorder="1" applyAlignment="1" applyProtection="1">
      <alignment horizontal="right"/>
      <protection locked="0"/>
    </xf>
    <xf numFmtId="4" fontId="176" fillId="14" borderId="145" xfId="0" applyNumberFormat="1" applyFont="1" applyFill="1" applyBorder="1" applyAlignment="1" applyProtection="1">
      <alignment horizontal="right"/>
      <protection locked="0"/>
    </xf>
    <xf numFmtId="4" fontId="138" fillId="0" borderId="145" xfId="0" applyNumberFormat="1" applyFont="1" applyFill="1" applyBorder="1" applyAlignment="1" applyProtection="1">
      <alignment horizontal="right"/>
      <protection locked="0"/>
    </xf>
    <xf numFmtId="4" fontId="157" fillId="0" borderId="145" xfId="0" applyNumberFormat="1" applyFont="1" applyFill="1" applyBorder="1" applyAlignment="1">
      <alignment horizontal="right"/>
    </xf>
    <xf numFmtId="0" fontId="7" fillId="0" borderId="165" xfId="0" applyFont="1" applyBorder="1" applyAlignment="1">
      <alignment vertical="top" wrapText="1"/>
    </xf>
    <xf numFmtId="0" fontId="8" fillId="10" borderId="184" xfId="0" applyFont="1" applyFill="1" applyBorder="1" applyAlignment="1">
      <alignment horizontal="center"/>
    </xf>
    <xf numFmtId="43" fontId="40" fillId="0" borderId="177" xfId="1" applyFont="1" applyBorder="1" applyAlignment="1">
      <alignment horizontal="center"/>
    </xf>
    <xf numFmtId="43" fontId="40" fillId="0" borderId="177" xfId="1" applyFont="1" applyFill="1" applyBorder="1"/>
    <xf numFmtId="179" fontId="40" fillId="0" borderId="177" xfId="1" applyNumberFormat="1" applyFont="1" applyFill="1" applyBorder="1" applyAlignment="1">
      <alignment horizontal="center"/>
    </xf>
    <xf numFmtId="0" fontId="40" fillId="0" borderId="177" xfId="0" applyFont="1" applyFill="1" applyBorder="1" applyAlignment="1">
      <alignment horizontal="center"/>
    </xf>
    <xf numFmtId="43" fontId="8" fillId="0" borderId="177" xfId="1" applyFont="1" applyFill="1" applyBorder="1" applyAlignment="1">
      <alignment horizontal="right"/>
    </xf>
    <xf numFmtId="0" fontId="8" fillId="0" borderId="177" xfId="0" applyFont="1" applyFill="1" applyBorder="1" applyAlignment="1">
      <alignment horizontal="center"/>
    </xf>
    <xf numFmtId="43" fontId="40" fillId="0" borderId="177" xfId="1" applyFont="1" applyFill="1" applyBorder="1" applyAlignment="1">
      <alignment horizontal="right"/>
    </xf>
    <xf numFmtId="1" fontId="40" fillId="0" borderId="177" xfId="1" applyNumberFormat="1" applyFont="1" applyFill="1" applyBorder="1"/>
    <xf numFmtId="43" fontId="8" fillId="0" borderId="177" xfId="1" applyFont="1" applyFill="1" applyBorder="1"/>
    <xf numFmtId="0" fontId="40" fillId="0" borderId="177" xfId="0" applyFont="1" applyFill="1" applyBorder="1"/>
    <xf numFmtId="1" fontId="40" fillId="0" borderId="177" xfId="1" applyNumberFormat="1" applyFont="1" applyFill="1" applyBorder="1" applyAlignment="1">
      <alignment horizontal="center"/>
    </xf>
    <xf numFmtId="0" fontId="40" fillId="0" borderId="177" xfId="1" applyNumberFormat="1" applyFont="1" applyBorder="1"/>
    <xf numFmtId="1" fontId="40" fillId="0" borderId="177" xfId="1" applyNumberFormat="1" applyFont="1" applyBorder="1" applyAlignment="1">
      <alignment horizontal="center"/>
    </xf>
    <xf numFmtId="43" fontId="40" fillId="0" borderId="177" xfId="1" applyFont="1" applyBorder="1" applyAlignment="1">
      <alignment horizontal="right"/>
    </xf>
    <xf numFmtId="43" fontId="40" fillId="10" borderId="177" xfId="1" applyFont="1" applyFill="1" applyBorder="1" applyAlignment="1">
      <alignment horizontal="right"/>
    </xf>
    <xf numFmtId="43" fontId="8" fillId="0" borderId="177" xfId="1" applyFont="1" applyBorder="1" applyAlignment="1">
      <alignment horizontal="right"/>
    </xf>
    <xf numFmtId="43" fontId="40" fillId="0" borderId="177" xfId="1" applyFont="1" applyBorder="1"/>
    <xf numFmtId="0" fontId="40" fillId="10" borderId="177" xfId="0" applyFont="1" applyFill="1" applyBorder="1" applyAlignment="1" applyProtection="1">
      <alignment horizontal="center"/>
      <protection locked="0"/>
    </xf>
    <xf numFmtId="0" fontId="40" fillId="0" borderId="177" xfId="0" applyFont="1" applyFill="1" applyBorder="1" applyAlignment="1" applyProtection="1">
      <alignment horizontal="center"/>
      <protection locked="0"/>
    </xf>
    <xf numFmtId="0" fontId="40" fillId="0" borderId="177" xfId="0" applyFont="1" applyBorder="1" applyAlignment="1" applyProtection="1">
      <alignment horizontal="center"/>
      <protection locked="0"/>
    </xf>
    <xf numFmtId="14" fontId="40" fillId="10" borderId="177" xfId="0" quotePrefix="1" applyNumberFormat="1" applyFont="1" applyFill="1" applyBorder="1" applyAlignment="1">
      <alignment horizontal="center"/>
    </xf>
    <xf numFmtId="0" fontId="4" fillId="0" borderId="177" xfId="0" applyFont="1" applyFill="1" applyBorder="1" applyAlignment="1" applyProtection="1">
      <alignment horizontal="center"/>
      <protection locked="0"/>
    </xf>
    <xf numFmtId="165" fontId="40" fillId="0" borderId="177" xfId="1" applyNumberFormat="1" applyFont="1" applyFill="1" applyBorder="1" applyAlignment="1" applyProtection="1">
      <alignment horizontal="center"/>
      <protection locked="0"/>
    </xf>
    <xf numFmtId="1" fontId="40" fillId="0" borderId="177" xfId="1" applyNumberFormat="1" applyFont="1" applyFill="1" applyBorder="1" applyAlignment="1" applyProtection="1">
      <alignment horizontal="center"/>
      <protection locked="0"/>
    </xf>
    <xf numFmtId="4" fontId="8" fillId="0" borderId="177" xfId="0" applyNumberFormat="1" applyFont="1" applyBorder="1" applyAlignment="1" applyProtection="1">
      <alignment horizontal="center"/>
      <protection locked="0"/>
    </xf>
    <xf numFmtId="4" fontId="40" fillId="0" borderId="177" xfId="0" applyNumberFormat="1" applyFont="1" applyBorder="1" applyAlignment="1" applyProtection="1">
      <alignment horizontal="center"/>
      <protection locked="0"/>
    </xf>
    <xf numFmtId="0" fontId="8" fillId="10" borderId="96" xfId="0" applyFont="1" applyFill="1" applyBorder="1" applyAlignment="1">
      <alignment horizontal="center"/>
    </xf>
    <xf numFmtId="2" fontId="40" fillId="0" borderId="177" xfId="0" applyNumberFormat="1" applyFont="1" applyBorder="1"/>
    <xf numFmtId="2" fontId="40" fillId="18" borderId="177" xfId="0" applyNumberFormat="1" applyFont="1" applyFill="1" applyBorder="1"/>
    <xf numFmtId="175" fontId="40" fillId="0" borderId="178" xfId="0" applyNumberFormat="1" applyFont="1" applyFill="1" applyBorder="1" applyAlignment="1" applyProtection="1">
      <alignment horizontal="center"/>
    </xf>
    <xf numFmtId="1" fontId="40" fillId="0" borderId="178" xfId="0" applyNumberFormat="1" applyFont="1" applyBorder="1"/>
    <xf numFmtId="1" fontId="40" fillId="0" borderId="178" xfId="0" applyNumberFormat="1" applyFont="1" applyBorder="1" applyAlignment="1" applyProtection="1">
      <alignment horizontal="right"/>
      <protection locked="0"/>
    </xf>
    <xf numFmtId="43" fontId="8" fillId="0" borderId="120" xfId="1" applyFont="1" applyFill="1" applyBorder="1"/>
    <xf numFmtId="0" fontId="4" fillId="14" borderId="120" xfId="0" applyNumberFormat="1" applyFont="1" applyFill="1" applyBorder="1"/>
    <xf numFmtId="164" fontId="4" fillId="29" borderId="0" xfId="0" applyNumberFormat="1" applyFont="1" applyFill="1" applyBorder="1" applyAlignment="1">
      <alignment horizontal="right"/>
    </xf>
    <xf numFmtId="2" fontId="5" fillId="29" borderId="1" xfId="0" applyNumberFormat="1" applyFont="1" applyFill="1" applyBorder="1"/>
    <xf numFmtId="3" fontId="4" fillId="29" borderId="0" xfId="0" applyNumberFormat="1" applyFont="1" applyFill="1" applyBorder="1" applyAlignment="1"/>
    <xf numFmtId="0" fontId="4" fillId="0" borderId="103" xfId="0" applyFont="1" applyBorder="1" applyProtection="1">
      <protection locked="0"/>
    </xf>
    <xf numFmtId="0" fontId="4" fillId="29" borderId="1" xfId="0" applyFont="1" applyFill="1" applyBorder="1" applyProtection="1">
      <protection locked="0"/>
    </xf>
    <xf numFmtId="2" fontId="92" fillId="15" borderId="103" xfId="0" applyNumberFormat="1" applyFont="1" applyFill="1" applyBorder="1" applyProtection="1">
      <protection locked="0"/>
    </xf>
    <xf numFmtId="2" fontId="92" fillId="15" borderId="175" xfId="0" applyNumberFormat="1" applyFont="1" applyFill="1" applyBorder="1" applyProtection="1">
      <protection locked="0"/>
    </xf>
    <xf numFmtId="2" fontId="92" fillId="15" borderId="48" xfId="0" applyNumberFormat="1" applyFont="1" applyFill="1" applyBorder="1" applyProtection="1">
      <protection locked="0"/>
    </xf>
    <xf numFmtId="4" fontId="111" fillId="15" borderId="103" xfId="0" applyNumberFormat="1" applyFont="1" applyFill="1" applyBorder="1" applyAlignment="1" applyProtection="1">
      <alignment horizontal="right"/>
      <protection locked="0"/>
    </xf>
    <xf numFmtId="4" fontId="111" fillId="15" borderId="103" xfId="0" applyNumberFormat="1" applyFont="1" applyFill="1" applyBorder="1"/>
    <xf numFmtId="4" fontId="111" fillId="15" borderId="48" xfId="0" applyNumberFormat="1" applyFont="1" applyFill="1" applyBorder="1"/>
    <xf numFmtId="175" fontId="111" fillId="15" borderId="69" xfId="0" applyNumberFormat="1" applyFont="1" applyFill="1" applyBorder="1" applyAlignment="1" applyProtection="1">
      <alignment horizontal="right"/>
      <protection locked="0"/>
    </xf>
    <xf numFmtId="2" fontId="111" fillId="15" borderId="69" xfId="0" applyNumberFormat="1" applyFont="1" applyFill="1" applyBorder="1" applyAlignment="1" applyProtection="1">
      <alignment horizontal="right"/>
      <protection locked="0"/>
    </xf>
    <xf numFmtId="0" fontId="92" fillId="15" borderId="69" xfId="0" applyFont="1" applyFill="1" applyBorder="1"/>
    <xf numFmtId="0" fontId="92" fillId="15" borderId="145" xfId="0" applyFont="1" applyFill="1" applyBorder="1"/>
    <xf numFmtId="175" fontId="111" fillId="15" borderId="103" xfId="0" applyNumberFormat="1" applyFont="1" applyFill="1" applyBorder="1" applyAlignment="1" applyProtection="1">
      <alignment horizontal="right"/>
      <protection locked="0"/>
    </xf>
    <xf numFmtId="0" fontId="8" fillId="14" borderId="178" xfId="0" applyFont="1" applyFill="1" applyBorder="1"/>
    <xf numFmtId="0" fontId="4" fillId="14" borderId="137" xfId="0" applyFont="1" applyFill="1" applyBorder="1" applyAlignment="1">
      <alignment horizontal="center"/>
    </xf>
    <xf numFmtId="1" fontId="40" fillId="14" borderId="120" xfId="1" applyNumberFormat="1" applyFont="1" applyFill="1" applyBorder="1"/>
    <xf numFmtId="43" fontId="40" fillId="14" borderId="120" xfId="1" applyFont="1" applyFill="1" applyBorder="1" applyAlignment="1">
      <alignment horizontal="right"/>
    </xf>
    <xf numFmtId="43" fontId="8" fillId="14" borderId="120" xfId="1" applyFont="1" applyFill="1" applyBorder="1" applyAlignment="1">
      <alignment horizontal="right"/>
    </xf>
    <xf numFmtId="0" fontId="40" fillId="14" borderId="120" xfId="0" applyFont="1" applyFill="1" applyBorder="1"/>
    <xf numFmtId="0" fontId="8" fillId="14" borderId="120" xfId="0" applyFont="1" applyFill="1" applyBorder="1" applyAlignment="1">
      <alignment horizontal="center"/>
    </xf>
    <xf numFmtId="0" fontId="4" fillId="14" borderId="6" xfId="0" applyFont="1" applyFill="1" applyBorder="1" applyAlignment="1" applyProtection="1">
      <alignment wrapText="1"/>
      <protection locked="0"/>
    </xf>
    <xf numFmtId="1" fontId="116" fillId="29" borderId="178" xfId="0" applyNumberFormat="1" applyFont="1" applyFill="1" applyBorder="1" applyAlignment="1">
      <alignment horizontal="center"/>
    </xf>
    <xf numFmtId="1" fontId="116" fillId="29" borderId="148" xfId="0" applyNumberFormat="1" applyFont="1" applyFill="1" applyBorder="1" applyAlignment="1">
      <alignment horizontal="center"/>
    </xf>
    <xf numFmtId="1" fontId="116" fillId="29" borderId="0" xfId="0" applyNumberFormat="1" applyFont="1" applyFill="1" applyBorder="1" applyAlignment="1">
      <alignment horizontal="right"/>
    </xf>
    <xf numFmtId="1" fontId="115" fillId="29" borderId="0" xfId="0" applyNumberFormat="1" applyFont="1" applyFill="1" applyBorder="1"/>
    <xf numFmtId="0" fontId="1" fillId="29" borderId="0" xfId="0" applyFont="1" applyFill="1" applyAlignment="1">
      <alignment vertical="center"/>
    </xf>
    <xf numFmtId="0" fontId="93" fillId="0" borderId="0" xfId="0" applyFont="1" applyFill="1"/>
    <xf numFmtId="0" fontId="179" fillId="0" borderId="1" xfId="0" applyFont="1" applyFill="1" applyBorder="1" applyAlignment="1">
      <alignment horizontal="right"/>
    </xf>
    <xf numFmtId="0" fontId="179" fillId="0" borderId="71" xfId="0" applyFont="1" applyFill="1" applyBorder="1" applyAlignment="1">
      <alignment horizontal="right"/>
    </xf>
    <xf numFmtId="0" fontId="179" fillId="0" borderId="165" xfId="0" applyFont="1" applyFill="1" applyBorder="1" applyAlignment="1">
      <alignment horizontal="right"/>
    </xf>
    <xf numFmtId="0" fontId="179" fillId="0" borderId="174" xfId="0" applyFont="1" applyFill="1" applyBorder="1" applyAlignment="1">
      <alignment horizontal="right"/>
    </xf>
    <xf numFmtId="0" fontId="7" fillId="0" borderId="181" xfId="0" applyFont="1" applyFill="1" applyBorder="1" applyAlignment="1"/>
    <xf numFmtId="0" fontId="7" fillId="0" borderId="182" xfId="0" applyFont="1" applyFill="1" applyBorder="1" applyAlignment="1"/>
    <xf numFmtId="0" fontId="4" fillId="0" borderId="182" xfId="0" applyFont="1" applyFill="1" applyBorder="1" applyAlignment="1"/>
    <xf numFmtId="7" fontId="8" fillId="0" borderId="182" xfId="0" applyNumberFormat="1" applyFont="1" applyFill="1" applyBorder="1" applyAlignment="1"/>
    <xf numFmtId="0" fontId="8" fillId="0" borderId="182" xfId="0" applyFont="1" applyFill="1" applyBorder="1" applyAlignment="1"/>
    <xf numFmtId="171" fontId="4" fillId="0" borderId="183" xfId="1" applyNumberFormat="1" applyFont="1" applyFill="1" applyBorder="1" applyAlignment="1">
      <alignment horizontal="right"/>
    </xf>
    <xf numFmtId="0" fontId="7" fillId="34" borderId="178" xfId="0" applyFont="1" applyFill="1" applyBorder="1" applyAlignment="1">
      <alignment vertical="top" wrapText="1"/>
    </xf>
    <xf numFmtId="0" fontId="7" fillId="34" borderId="178" xfId="0" applyFont="1" applyFill="1" applyBorder="1" applyAlignment="1">
      <alignment horizontal="left" vertical="top"/>
    </xf>
    <xf numFmtId="0" fontId="1" fillId="34" borderId="178" xfId="0" applyFont="1" applyFill="1" applyBorder="1" applyAlignment="1">
      <alignment wrapText="1"/>
    </xf>
    <xf numFmtId="0" fontId="4" fillId="29" borderId="0" xfId="0" quotePrefix="1" applyFont="1" applyFill="1"/>
    <xf numFmtId="0" fontId="27" fillId="14" borderId="2" xfId="0" applyFont="1" applyFill="1" applyBorder="1" applyAlignment="1">
      <alignment horizontal="right"/>
    </xf>
    <xf numFmtId="0" fontId="7" fillId="14" borderId="15" xfId="0" applyFont="1" applyFill="1" applyBorder="1" applyAlignment="1"/>
    <xf numFmtId="0" fontId="7" fillId="14" borderId="13" xfId="0" applyFont="1" applyFill="1" applyBorder="1" applyAlignment="1"/>
    <xf numFmtId="0" fontId="4" fillId="14" borderId="13" xfId="0" applyFont="1" applyFill="1" applyBorder="1" applyAlignment="1"/>
    <xf numFmtId="0" fontId="4" fillId="14" borderId="59" xfId="0" applyFont="1" applyFill="1" applyBorder="1" applyAlignment="1"/>
    <xf numFmtId="0" fontId="8" fillId="14" borderId="59" xfId="0" applyFont="1" applyFill="1" applyBorder="1" applyAlignment="1">
      <alignment horizontal="right"/>
    </xf>
    <xf numFmtId="0" fontId="8" fillId="14" borderId="59" xfId="0" applyFont="1" applyFill="1" applyBorder="1" applyAlignment="1"/>
    <xf numFmtId="171" fontId="4" fillId="14" borderId="14" xfId="0" applyNumberFormat="1" applyFont="1" applyFill="1" applyBorder="1" applyAlignment="1">
      <alignment horizontal="right"/>
    </xf>
    <xf numFmtId="0" fontId="118" fillId="0" borderId="1" xfId="0" applyFont="1" applyFill="1" applyBorder="1" applyAlignment="1"/>
    <xf numFmtId="1" fontId="118" fillId="29" borderId="1" xfId="0" applyNumberFormat="1" applyFont="1" applyFill="1" applyBorder="1"/>
    <xf numFmtId="2" fontId="118" fillId="29" borderId="1" xfId="0" applyNumberFormat="1" applyFont="1" applyFill="1" applyBorder="1"/>
    <xf numFmtId="0" fontId="143" fillId="29" borderId="1" xfId="0" applyFont="1" applyFill="1" applyBorder="1"/>
    <xf numFmtId="49" fontId="134" fillId="14" borderId="33" xfId="0" applyNumberFormat="1" applyFont="1" applyFill="1" applyBorder="1" applyAlignment="1" applyProtection="1">
      <alignment horizontal="center"/>
    </xf>
    <xf numFmtId="4" fontId="4" fillId="25" borderId="178" xfId="0" applyNumberFormat="1" applyFont="1" applyFill="1" applyBorder="1" applyAlignment="1" applyProtection="1">
      <alignment horizontal="right"/>
      <protection locked="0"/>
    </xf>
    <xf numFmtId="4" fontId="40" fillId="25" borderId="48" xfId="0" applyNumberFormat="1" applyFont="1" applyFill="1" applyBorder="1" applyAlignment="1" applyProtection="1">
      <alignment horizontal="right"/>
      <protection locked="0"/>
    </xf>
    <xf numFmtId="4" fontId="111" fillId="25" borderId="103" xfId="0" applyNumberFormat="1" applyFont="1" applyFill="1" applyBorder="1" applyAlignment="1" applyProtection="1">
      <alignment horizontal="right"/>
      <protection locked="0"/>
    </xf>
    <xf numFmtId="4" fontId="111" fillId="25" borderId="178" xfId="0" applyNumberFormat="1" applyFont="1" applyFill="1" applyBorder="1" applyAlignment="1" applyProtection="1">
      <alignment horizontal="right"/>
      <protection locked="0"/>
    </xf>
    <xf numFmtId="4" fontId="111" fillId="25" borderId="48" xfId="0" applyNumberFormat="1" applyFont="1" applyFill="1" applyBorder="1" applyAlignment="1" applyProtection="1">
      <alignment horizontal="right"/>
      <protection locked="0"/>
    </xf>
    <xf numFmtId="0" fontId="5" fillId="29" borderId="112" xfId="0" applyFont="1" applyFill="1" applyBorder="1" applyAlignment="1">
      <alignment vertical="center" wrapText="1"/>
    </xf>
    <xf numFmtId="4" fontId="8" fillId="14" borderId="178" xfId="0" applyNumberFormat="1" applyFont="1" applyFill="1" applyBorder="1" applyAlignment="1" applyProtection="1">
      <alignment horizontal="center"/>
    </xf>
    <xf numFmtId="0" fontId="4" fillId="10" borderId="135" xfId="0" applyFont="1" applyFill="1" applyBorder="1" applyAlignment="1" applyProtection="1">
      <alignment horizontal="center"/>
    </xf>
    <xf numFmtId="4" fontId="4" fillId="14" borderId="1" xfId="0" applyNumberFormat="1" applyFont="1" applyFill="1" applyBorder="1" applyAlignment="1" applyProtection="1">
      <alignment horizontal="left"/>
      <protection locked="0"/>
    </xf>
    <xf numFmtId="0" fontId="74" fillId="14" borderId="1" xfId="0" applyFont="1" applyFill="1" applyBorder="1" applyAlignment="1">
      <alignment horizontal="center"/>
    </xf>
    <xf numFmtId="4" fontId="4" fillId="14" borderId="1" xfId="0" applyNumberFormat="1" applyFont="1" applyFill="1" applyBorder="1" applyAlignment="1" applyProtection="1">
      <alignment horizontal="center"/>
      <protection locked="0"/>
    </xf>
    <xf numFmtId="0" fontId="4" fillId="14" borderId="179" xfId="0" applyFont="1" applyFill="1" applyBorder="1" applyAlignment="1">
      <alignment horizontal="left"/>
    </xf>
    <xf numFmtId="4" fontId="4" fillId="14" borderId="145" xfId="0" applyNumberFormat="1" applyFont="1" applyFill="1" applyBorder="1" applyAlignment="1" applyProtection="1">
      <alignment horizontal="left"/>
      <protection locked="0"/>
    </xf>
    <xf numFmtId="4" fontId="138" fillId="14" borderId="144" xfId="0" applyNumberFormat="1" applyFont="1" applyFill="1" applyBorder="1" applyAlignment="1" applyProtection="1">
      <alignment horizontal="left"/>
      <protection locked="0"/>
    </xf>
    <xf numFmtId="4" fontId="4" fillId="14" borderId="145" xfId="0" applyNumberFormat="1" applyFont="1" applyFill="1" applyBorder="1" applyAlignment="1" applyProtection="1">
      <alignment horizontal="center"/>
      <protection locked="0"/>
    </xf>
    <xf numFmtId="0" fontId="74" fillId="14" borderId="144" xfId="0" applyFont="1" applyFill="1" applyBorder="1" applyAlignment="1">
      <alignment horizontal="center"/>
    </xf>
    <xf numFmtId="0" fontId="74" fillId="14" borderId="178" xfId="0" applyFont="1" applyFill="1" applyBorder="1" applyAlignment="1">
      <alignment horizontal="left"/>
    </xf>
    <xf numFmtId="0" fontId="4" fillId="10" borderId="132" xfId="0" applyFont="1" applyFill="1" applyBorder="1" applyAlignment="1" applyProtection="1">
      <alignment horizontal="center"/>
    </xf>
    <xf numFmtId="0" fontId="40" fillId="10" borderId="186" xfId="0" applyFont="1" applyFill="1" applyBorder="1" applyAlignment="1">
      <alignment horizontal="center"/>
    </xf>
    <xf numFmtId="0" fontId="0" fillId="0" borderId="130" xfId="0" applyBorder="1" applyAlignment="1">
      <alignment wrapText="1"/>
    </xf>
    <xf numFmtId="0" fontId="5" fillId="0" borderId="130" xfId="0" applyFont="1" applyFill="1" applyBorder="1" applyAlignment="1">
      <alignment vertical="top" wrapText="1"/>
    </xf>
    <xf numFmtId="0" fontId="40" fillId="10" borderId="187" xfId="0" applyFont="1" applyFill="1" applyBorder="1" applyAlignment="1">
      <alignment horizontal="center"/>
    </xf>
    <xf numFmtId="0" fontId="0" fillId="0" borderId="133" xfId="0" applyBorder="1" applyAlignment="1">
      <alignment wrapText="1"/>
    </xf>
    <xf numFmtId="0" fontId="5" fillId="0" borderId="133" xfId="0" applyFont="1" applyFill="1" applyBorder="1" applyAlignment="1">
      <alignment vertical="top" wrapText="1"/>
    </xf>
    <xf numFmtId="0" fontId="4" fillId="14" borderId="173" xfId="0" applyFont="1" applyFill="1" applyBorder="1"/>
    <xf numFmtId="175" fontId="4" fillId="14" borderId="173" xfId="0" applyNumberFormat="1" applyFont="1" applyFill="1" applyBorder="1" applyAlignment="1" applyProtection="1">
      <alignment horizontal="center"/>
    </xf>
    <xf numFmtId="175" fontId="4" fillId="14" borderId="145" xfId="0" applyNumberFormat="1" applyFont="1" applyFill="1" applyBorder="1" applyAlignment="1" applyProtection="1">
      <alignment horizontal="center"/>
    </xf>
    <xf numFmtId="0" fontId="5" fillId="0" borderId="57" xfId="0" applyFont="1" applyFill="1" applyBorder="1" applyAlignment="1" applyProtection="1">
      <alignment horizontal="center"/>
      <protection locked="0"/>
    </xf>
    <xf numFmtId="0" fontId="5" fillId="0" borderId="188" xfId="0" applyFont="1" applyFill="1" applyBorder="1" applyAlignment="1">
      <alignment vertical="center" wrapText="1"/>
    </xf>
    <xf numFmtId="0" fontId="4" fillId="14" borderId="189" xfId="0" applyFont="1" applyFill="1" applyBorder="1" applyAlignment="1">
      <alignment horizontal="left"/>
    </xf>
    <xf numFmtId="0" fontId="5" fillId="26" borderId="188" xfId="0" applyFont="1" applyFill="1" applyBorder="1" applyAlignment="1">
      <alignment vertical="center" wrapText="1"/>
    </xf>
    <xf numFmtId="0" fontId="5" fillId="0" borderId="57" xfId="0" quotePrefix="1" applyFont="1" applyFill="1" applyBorder="1" applyAlignment="1">
      <alignment horizontal="center"/>
    </xf>
    <xf numFmtId="0" fontId="6" fillId="0" borderId="57" xfId="0" applyFont="1" applyFill="1" applyBorder="1" applyAlignment="1" applyProtection="1">
      <alignment horizontal="center"/>
      <protection locked="0"/>
    </xf>
    <xf numFmtId="0" fontId="5" fillId="14" borderId="190" xfId="0" applyFont="1" applyFill="1" applyBorder="1" applyAlignment="1">
      <alignment vertical="top" wrapText="1"/>
    </xf>
    <xf numFmtId="4" fontId="8" fillId="14" borderId="1" xfId="0" applyNumberFormat="1" applyFont="1" applyFill="1" applyBorder="1" applyAlignment="1">
      <alignment horizontal="center"/>
    </xf>
    <xf numFmtId="0" fontId="4" fillId="14" borderId="69" xfId="0" applyFont="1" applyFill="1" applyBorder="1" applyAlignment="1" applyProtection="1">
      <alignment wrapText="1"/>
      <protection locked="0"/>
    </xf>
    <xf numFmtId="0" fontId="0" fillId="0" borderId="0" xfId="0" applyAlignment="1">
      <alignment wrapText="1"/>
    </xf>
    <xf numFmtId="0" fontId="4" fillId="14" borderId="105" xfId="0" applyFont="1" applyFill="1" applyBorder="1" applyAlignment="1" applyProtection="1">
      <alignment horizontal="center"/>
    </xf>
    <xf numFmtId="0" fontId="70" fillId="14" borderId="45" xfId="0" applyFont="1" applyFill="1" applyBorder="1" applyAlignment="1">
      <alignment horizontal="left"/>
    </xf>
    <xf numFmtId="4" fontId="40" fillId="14" borderId="48" xfId="0" applyNumberFormat="1" applyFont="1" applyFill="1" applyBorder="1" applyAlignment="1" applyProtection="1">
      <alignment horizontal="right"/>
      <protection locked="0"/>
    </xf>
    <xf numFmtId="0" fontId="70" fillId="14" borderId="45" xfId="0" applyFont="1" applyFill="1" applyBorder="1" applyAlignment="1">
      <alignment horizontal="center"/>
    </xf>
    <xf numFmtId="0" fontId="32" fillId="0" borderId="178" xfId="0" applyFont="1" applyBorder="1" applyAlignment="1">
      <alignment vertical="top" wrapText="1"/>
    </xf>
    <xf numFmtId="3" fontId="8" fillId="0" borderId="178" xfId="2" applyNumberFormat="1" applyFont="1" applyFill="1" applyBorder="1"/>
    <xf numFmtId="0" fontId="4" fillId="14" borderId="103" xfId="0" applyFont="1" applyFill="1" applyBorder="1" applyAlignment="1" applyProtection="1">
      <alignment horizontal="center"/>
      <protection locked="0"/>
    </xf>
    <xf numFmtId="4" fontId="8" fillId="14" borderId="103" xfId="0" applyNumberFormat="1" applyFont="1" applyFill="1" applyBorder="1" applyAlignment="1" applyProtection="1">
      <alignment horizontal="center"/>
      <protection locked="0"/>
    </xf>
    <xf numFmtId="0" fontId="40" fillId="14" borderId="103" xfId="0" applyFont="1" applyFill="1" applyBorder="1" applyAlignment="1" applyProtection="1">
      <alignment horizontal="center"/>
      <protection locked="0"/>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3" fontId="8" fillId="14" borderId="1" xfId="0" applyNumberFormat="1" applyFont="1" applyFill="1" applyBorder="1" applyAlignment="1">
      <alignment horizontal="center"/>
    </xf>
    <xf numFmtId="4" fontId="4" fillId="14" borderId="178" xfId="0" applyNumberFormat="1" applyFont="1" applyFill="1" applyBorder="1" applyAlignment="1" applyProtection="1">
      <alignment horizontal="center"/>
      <protection locked="0"/>
    </xf>
    <xf numFmtId="0" fontId="1" fillId="0" borderId="178" xfId="0" quotePrefix="1" applyFont="1" applyBorder="1" applyAlignment="1">
      <alignment wrapText="1"/>
    </xf>
    <xf numFmtId="3" fontId="4" fillId="14" borderId="107" xfId="0" applyNumberFormat="1" applyFont="1" applyFill="1" applyBorder="1" applyAlignment="1" applyProtection="1">
      <alignment horizontal="center"/>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4" fontId="40" fillId="29" borderId="1" xfId="0" applyNumberFormat="1" applyFont="1" applyFill="1" applyBorder="1" applyAlignment="1" applyProtection="1">
      <alignment horizontal="right"/>
      <protection locked="0"/>
    </xf>
    <xf numFmtId="0" fontId="7" fillId="0" borderId="178" xfId="0" applyFont="1" applyBorder="1" applyAlignment="1">
      <alignment horizontal="left" vertical="top" wrapText="1"/>
    </xf>
    <xf numFmtId="49" fontId="4" fillId="35" borderId="0" xfId="0" applyNumberFormat="1" applyFont="1" applyFill="1" applyProtection="1"/>
    <xf numFmtId="0" fontId="4" fillId="35" borderId="0" xfId="0" applyFont="1" applyFill="1" applyAlignment="1" applyProtection="1">
      <alignment horizontal="center"/>
    </xf>
    <xf numFmtId="0" fontId="4" fillId="35" borderId="0" xfId="0" applyFont="1" applyFill="1" applyProtection="1"/>
    <xf numFmtId="0" fontId="0" fillId="0" borderId="178" xfId="0" applyFont="1" applyFill="1" applyBorder="1" applyAlignment="1">
      <alignment wrapText="1"/>
    </xf>
    <xf numFmtId="4" fontId="40" fillId="29" borderId="103" xfId="1" applyNumberFormat="1" applyFont="1" applyFill="1" applyBorder="1" applyProtection="1">
      <protection locked="0"/>
    </xf>
    <xf numFmtId="4" fontId="40" fillId="29" borderId="103" xfId="0" applyNumberFormat="1" applyFont="1" applyFill="1" applyBorder="1" applyProtection="1">
      <protection locked="0"/>
    </xf>
    <xf numFmtId="1" fontId="8" fillId="29" borderId="103" xfId="0" applyNumberFormat="1" applyFont="1" applyFill="1" applyBorder="1" applyAlignment="1" applyProtection="1">
      <alignment horizontal="center"/>
    </xf>
    <xf numFmtId="0" fontId="7" fillId="0" borderId="178" xfId="0" applyFont="1" applyBorder="1" applyAlignment="1">
      <alignment horizontal="left" vertical="top" wrapText="1"/>
    </xf>
    <xf numFmtId="0" fontId="85" fillId="29" borderId="0" xfId="0" applyFont="1" applyFill="1"/>
    <xf numFmtId="0" fontId="7" fillId="0" borderId="178" xfId="0" applyFont="1" applyBorder="1" applyAlignment="1">
      <alignment horizontal="left" vertical="top" wrapText="1"/>
    </xf>
    <xf numFmtId="0" fontId="1" fillId="29" borderId="0" xfId="0" applyFont="1" applyFill="1" applyBorder="1" applyAlignment="1">
      <alignment horizontal="right"/>
    </xf>
    <xf numFmtId="0" fontId="7" fillId="0" borderId="178" xfId="0" applyFont="1" applyBorder="1" applyAlignment="1">
      <alignment horizontal="left" vertical="top" wrapText="1"/>
    </xf>
    <xf numFmtId="0" fontId="7" fillId="0" borderId="178" xfId="0" applyFont="1" applyBorder="1" applyAlignment="1">
      <alignment horizontal="left" vertical="top" wrapText="1"/>
    </xf>
    <xf numFmtId="4" fontId="4" fillId="33" borderId="178" xfId="0" applyNumberFormat="1" applyFont="1" applyFill="1" applyBorder="1" applyAlignment="1" applyProtection="1">
      <alignment horizontal="right"/>
      <protection locked="0"/>
    </xf>
    <xf numFmtId="4" fontId="40" fillId="33" borderId="103" xfId="0" applyNumberFormat="1" applyFont="1" applyFill="1" applyBorder="1" applyAlignment="1" applyProtection="1">
      <alignment horizontal="right"/>
      <protection locked="0"/>
    </xf>
    <xf numFmtId="0" fontId="125" fillId="14" borderId="0" xfId="0" applyFont="1" applyFill="1" applyAlignment="1">
      <alignment horizontal="center"/>
    </xf>
    <xf numFmtId="0" fontId="91" fillId="0" borderId="173" xfId="0" applyFont="1" applyBorder="1" applyAlignment="1">
      <alignment horizontal="left" vertical="top" wrapText="1"/>
    </xf>
    <xf numFmtId="0" fontId="7" fillId="0" borderId="173" xfId="0" applyFont="1" applyBorder="1" applyAlignment="1">
      <alignment vertical="top" wrapText="1"/>
    </xf>
    <xf numFmtId="0" fontId="7" fillId="0" borderId="71" xfId="0" applyFont="1" applyBorder="1" applyAlignment="1">
      <alignment horizontal="center" vertical="top" wrapText="1"/>
    </xf>
    <xf numFmtId="0" fontId="7" fillId="0" borderId="149" xfId="0" applyFont="1" applyBorder="1" applyAlignment="1">
      <alignment horizontal="center" vertical="top" wrapText="1"/>
    </xf>
    <xf numFmtId="0" fontId="1" fillId="0" borderId="104" xfId="0" applyFont="1" applyBorder="1" applyAlignment="1">
      <alignment horizontal="center" vertical="top" wrapText="1"/>
    </xf>
    <xf numFmtId="0" fontId="1" fillId="0" borderId="165" xfId="0" applyFont="1" applyBorder="1" applyAlignment="1">
      <alignment horizontal="center" vertical="top" wrapText="1"/>
    </xf>
    <xf numFmtId="0" fontId="1" fillId="0" borderId="71" xfId="0" applyFont="1" applyBorder="1" applyAlignment="1">
      <alignment horizontal="center" vertical="top" wrapText="1"/>
    </xf>
    <xf numFmtId="0" fontId="91" fillId="0" borderId="174" xfId="0" quotePrefix="1" applyFont="1" applyBorder="1" applyAlignment="1">
      <alignment vertical="top" wrapText="1"/>
    </xf>
    <xf numFmtId="0" fontId="91" fillId="0" borderId="71" xfId="0" quotePrefix="1" applyFont="1" applyBorder="1" applyAlignment="1">
      <alignment vertical="top" wrapText="1"/>
    </xf>
    <xf numFmtId="0" fontId="91" fillId="0" borderId="165" xfId="0" quotePrefix="1" applyFont="1" applyBorder="1" applyAlignment="1">
      <alignment vertical="top" wrapText="1"/>
    </xf>
    <xf numFmtId="0" fontId="1" fillId="0" borderId="184" xfId="0" applyFont="1" applyBorder="1" applyAlignment="1">
      <alignment vertical="top" wrapText="1"/>
    </xf>
    <xf numFmtId="0" fontId="1" fillId="0" borderId="71" xfId="0" applyFont="1" applyBorder="1" applyAlignment="1">
      <alignment vertical="top" wrapText="1"/>
    </xf>
    <xf numFmtId="0" fontId="1" fillId="0" borderId="165" xfId="0" applyFont="1" applyBorder="1" applyAlignment="1">
      <alignment vertical="top" wrapText="1"/>
    </xf>
    <xf numFmtId="0" fontId="7" fillId="0" borderId="184" xfId="0" applyFont="1" applyBorder="1" applyAlignment="1">
      <alignment vertical="top" wrapText="1"/>
    </xf>
    <xf numFmtId="0" fontId="7" fillId="0" borderId="71" xfId="0" applyFont="1" applyBorder="1" applyAlignment="1">
      <alignment vertical="top" wrapText="1"/>
    </xf>
    <xf numFmtId="0" fontId="7" fillId="0" borderId="165" xfId="0" applyFont="1" applyBorder="1" applyAlignment="1">
      <alignment vertical="top" wrapText="1"/>
    </xf>
    <xf numFmtId="0" fontId="7" fillId="0" borderId="178" xfId="0" applyFont="1" applyBorder="1" applyAlignment="1">
      <alignment horizontal="left" vertical="top" wrapText="1"/>
    </xf>
    <xf numFmtId="0" fontId="7" fillId="0" borderId="169" xfId="0" applyFont="1" applyBorder="1" applyAlignment="1">
      <alignment vertical="top" wrapText="1"/>
    </xf>
    <xf numFmtId="0" fontId="91" fillId="0" borderId="178" xfId="0" applyFont="1" applyBorder="1" applyAlignment="1">
      <alignment horizontal="left" vertical="top" wrapText="1"/>
    </xf>
    <xf numFmtId="0" fontId="7" fillId="0" borderId="174" xfId="0" applyFont="1" applyBorder="1" applyAlignment="1">
      <alignment vertical="top" wrapText="1"/>
    </xf>
    <xf numFmtId="0" fontId="8" fillId="0" borderId="162" xfId="0" applyFont="1" applyBorder="1" applyAlignment="1">
      <alignment horizontal="left"/>
    </xf>
    <xf numFmtId="0" fontId="8" fillId="0" borderId="167" xfId="0" applyFont="1" applyBorder="1" applyAlignment="1">
      <alignment horizontal="left"/>
    </xf>
    <xf numFmtId="0" fontId="8" fillId="0" borderId="168" xfId="0" applyFont="1" applyBorder="1" applyAlignment="1">
      <alignment horizontal="left"/>
    </xf>
    <xf numFmtId="0" fontId="4" fillId="0" borderId="170" xfId="0" applyFont="1" applyBorder="1" applyAlignment="1">
      <alignment horizontal="left"/>
    </xf>
    <xf numFmtId="0" fontId="4" fillId="0" borderId="167" xfId="0" applyFont="1" applyBorder="1" applyAlignment="1">
      <alignment horizontal="left"/>
    </xf>
    <xf numFmtId="0" fontId="4" fillId="0" borderId="168" xfId="0" applyFont="1" applyBorder="1" applyAlignment="1">
      <alignment horizontal="left"/>
    </xf>
    <xf numFmtId="0" fontId="4" fillId="0" borderId="0" xfId="0" applyFont="1" applyAlignment="1">
      <alignment horizontal="left" wrapText="1"/>
    </xf>
    <xf numFmtId="0" fontId="4" fillId="0" borderId="0" xfId="0" applyFont="1" applyAlignment="1">
      <alignment wrapText="1"/>
    </xf>
    <xf numFmtId="0" fontId="0" fillId="0" borderId="0" xfId="0" applyAlignment="1">
      <alignment wrapText="1"/>
    </xf>
    <xf numFmtId="0" fontId="4" fillId="0" borderId="0" xfId="0" quotePrefix="1" applyFont="1" applyAlignment="1">
      <alignment wrapText="1"/>
    </xf>
    <xf numFmtId="0" fontId="7" fillId="10" borderId="82" xfId="0" applyFont="1" applyFill="1" applyBorder="1" applyAlignment="1">
      <alignment horizontal="center" vertical="top" wrapText="1"/>
    </xf>
    <xf numFmtId="0" fontId="7" fillId="10" borderId="71" xfId="0" applyFont="1" applyFill="1" applyBorder="1" applyAlignment="1">
      <alignment horizontal="center" vertical="top" wrapText="1"/>
    </xf>
    <xf numFmtId="0" fontId="7" fillId="10" borderId="72" xfId="0" applyFont="1" applyFill="1" applyBorder="1" applyAlignment="1">
      <alignment horizontal="center" vertical="top" wrapText="1"/>
    </xf>
    <xf numFmtId="0" fontId="7" fillId="10" borderId="82" xfId="0" applyFont="1" applyFill="1" applyBorder="1" applyAlignment="1">
      <alignment horizontal="center" wrapText="1"/>
    </xf>
    <xf numFmtId="0" fontId="7" fillId="10" borderId="71" xfId="0" applyFont="1" applyFill="1" applyBorder="1" applyAlignment="1">
      <alignment horizontal="center" wrapText="1"/>
    </xf>
    <xf numFmtId="0" fontId="7" fillId="10" borderId="72" xfId="0" applyFont="1" applyFill="1" applyBorder="1" applyAlignment="1">
      <alignment horizontal="center" wrapText="1"/>
    </xf>
    <xf numFmtId="0" fontId="4" fillId="0" borderId="0" xfId="0" applyFont="1" applyFill="1" applyAlignment="1">
      <alignment horizontal="center" wrapText="1"/>
    </xf>
    <xf numFmtId="0" fontId="10" fillId="0" borderId="2" xfId="0" applyFont="1" applyFill="1" applyBorder="1" applyAlignment="1">
      <alignment horizontal="left" vertical="top" wrapText="1"/>
    </xf>
    <xf numFmtId="0" fontId="10" fillId="0" borderId="3" xfId="0" applyFont="1" applyFill="1" applyBorder="1" applyAlignment="1">
      <alignment horizontal="left" vertical="top" wrapText="1"/>
    </xf>
    <xf numFmtId="0" fontId="10" fillId="0" borderId="4" xfId="0" applyFont="1" applyFill="1" applyBorder="1" applyAlignment="1">
      <alignment horizontal="left" vertical="top" wrapText="1"/>
    </xf>
    <xf numFmtId="0" fontId="89" fillId="0" borderId="2" xfId="0" applyFont="1" applyFill="1" applyBorder="1" applyAlignment="1">
      <alignment horizontal="center" vertical="top" wrapText="1"/>
    </xf>
    <xf numFmtId="0" fontId="89" fillId="0" borderId="3" xfId="0" applyFont="1" applyFill="1" applyBorder="1" applyAlignment="1">
      <alignment horizontal="center" vertical="top" wrapText="1"/>
    </xf>
    <xf numFmtId="0" fontId="89" fillId="0" borderId="4" xfId="0" applyFont="1" applyFill="1" applyBorder="1" applyAlignment="1">
      <alignment horizontal="center" vertical="top" wrapText="1"/>
    </xf>
  </cellXfs>
  <cellStyles count="6">
    <cellStyle name="Comma" xfId="1" builtinId="3"/>
    <cellStyle name="Currency" xfId="2" builtinId="4"/>
    <cellStyle name="Hyperlink" xfId="3" builtinId="8"/>
    <cellStyle name="Normal" xfId="0" builtinId="0"/>
    <cellStyle name="Normal 2" xfId="5"/>
    <cellStyle name="Percent" xfId="4" builtinId="5"/>
  </cellStyles>
  <dxfs count="21">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FF99"/>
      <color rgb="FF0000FF"/>
      <color rgb="FFFFFFCC"/>
      <color rgb="FF339966"/>
      <color rgb="FFCCFFFF"/>
      <color rgb="FF66FFFF"/>
      <color rgb="FFFF66FF"/>
      <color rgb="FFFF6699"/>
      <color rgb="FFCCFFCC"/>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externalLink" Target="externalLinks/externalLink1.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2.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5.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3.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6.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7" dropStyle="combo" dx="22" fmlaLink="$A$24" fmlaRange="$A$25:$A$31" noThreeD="1" sel="7" val="0"/>
</file>

<file path=xl/ctrlProps/ctrlProp10.xml><?xml version="1.0" encoding="utf-8"?>
<formControlPr xmlns="http://schemas.microsoft.com/office/spreadsheetml/2009/9/main" objectType="Drop" dropLines="7" dropStyle="combo" dx="22" fmlaLink="target!$A$33" fmlaRange="$A$1:$A$7" noThreeD="1" sel="1" val="0"/>
</file>

<file path=xl/ctrlProps/ctrlProp11.xml><?xml version="1.0" encoding="utf-8"?>
<formControlPr xmlns="http://schemas.microsoft.com/office/spreadsheetml/2009/9/main" objectType="Drop" dropLines="17" dropStyle="combo" dx="22" fmlaLink="target!$A$9" fmlaRange="$A$1:$A$17" noThreeD="1" sel="3" val="0"/>
</file>

<file path=xl/ctrlProps/ctrlProp12.xml><?xml version="1.0" encoding="utf-8"?>
<formControlPr xmlns="http://schemas.microsoft.com/office/spreadsheetml/2009/9/main" objectType="Drop" dropLines="12" dropStyle="combo" dx="22" fmlaLink="target!$A$13" fmlaRange="$A$1:$A$12" noThreeD="1" sel="12" val="0"/>
</file>

<file path=xl/ctrlProps/ctrlProp13.xml><?xml version="1.0" encoding="utf-8"?>
<formControlPr xmlns="http://schemas.microsoft.com/office/spreadsheetml/2009/9/main" objectType="Drop" dropLines="7" dropStyle="combo" dx="22" fmlaLink="target!$A$17" fmlaRange="$A$1:$A$7" noThreeD="1" sel="1" val="0"/>
</file>

<file path=xl/ctrlProps/ctrlProp14.xml><?xml version="1.0" encoding="utf-8"?>
<formControlPr xmlns="http://schemas.microsoft.com/office/spreadsheetml/2009/9/main" objectType="Drop" dropStyle="combo" dx="22" fmlaLink="target!$A$21" fmlaRange="$A$1:$A$8" noThreeD="1" sel="1" val="0"/>
</file>

<file path=xl/ctrlProps/ctrlProp15.xml><?xml version="1.0" encoding="utf-8"?>
<formControlPr xmlns="http://schemas.microsoft.com/office/spreadsheetml/2009/9/main" objectType="Drop" dropLines="9" dropStyle="combo" dx="22" fmlaLink="target!$A$25" fmlaRange="$A$1:$A$9" noThreeD="1" sel="3" val="0"/>
</file>

<file path=xl/ctrlProps/ctrlProp16.xml><?xml version="1.0" encoding="utf-8"?>
<formControlPr xmlns="http://schemas.microsoft.com/office/spreadsheetml/2009/9/main" objectType="Drop" dropLines="3" dropStyle="combo" dx="22" fmlaLink="target!$A$29" fmlaRange="$A$1:$A$3" noThreeD="1" sel="1" val="0"/>
</file>

<file path=xl/ctrlProps/ctrlProp17.xml><?xml version="1.0" encoding="utf-8"?>
<formControlPr xmlns="http://schemas.microsoft.com/office/spreadsheetml/2009/9/main" objectType="Drop" dropLines="5" dropStyle="combo" dx="22" fmlaLink="target!$A$49" fmlaRange="$A$1:$A$4" noThreeD="1" sel="1" val="0"/>
</file>

<file path=xl/ctrlProps/ctrlProp18.xml><?xml version="1.0" encoding="utf-8"?>
<formControlPr xmlns="http://schemas.microsoft.com/office/spreadsheetml/2009/9/main" objectType="Drop" dropLines="10" dropStyle="combo" dx="22" fmlaLink="target!$A$53" fmlaRange="$A$1:$A$10" noThreeD="1" sel="1" val="0"/>
</file>

<file path=xl/ctrlProps/ctrlProp19.xml><?xml version="1.0" encoding="utf-8"?>
<formControlPr xmlns="http://schemas.microsoft.com/office/spreadsheetml/2009/9/main" objectType="Drop" dropLines="6" dropStyle="combo" dx="22" fmlaLink="target!$A$57" fmlaRange="$A$1:$A$6" noThreeD="1" sel="1" val="0"/>
</file>

<file path=xl/ctrlProps/ctrlProp20.xml><?xml version="1.0" encoding="utf-8"?>
<formControlPr xmlns="http://schemas.microsoft.com/office/spreadsheetml/2009/9/main" objectType="Drop" dropLines="4" dropStyle="combo" dx="22" fmlaLink="target!$A$61" fmlaRange="$A$1:$A$4" noThreeD="1" sel="1"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5" dropStyle="combo" dx="22" fmlaLink="target!$A$69" fmlaRange="$A$1:$A$5" noThreeD="1" sel="1" val="0"/>
</file>

<file path=xl/ctrlProps/ctrlProp23.xml><?xml version="1.0" encoding="utf-8"?>
<formControlPr xmlns="http://schemas.microsoft.com/office/spreadsheetml/2009/9/main" objectType="Drop" dropLines="11" dropStyle="combo" dx="22" fmlaLink="target!$A$73" fmlaRange="$A$1:$A$12" noThreeD="1" sel="1" val="0"/>
</file>

<file path=xl/ctrlProps/ctrlProp24.xml><?xml version="1.0" encoding="utf-8"?>
<formControlPr xmlns="http://schemas.microsoft.com/office/spreadsheetml/2009/9/main" objectType="Drop" dropLines="10" dropStyle="combo" dx="22" fmlaLink="target!$A$77" fmlaRange="$A$1:$A$10" noThreeD="1" sel="1" val="0"/>
</file>

<file path=xl/ctrlProps/ctrlProp25.xml><?xml version="1.0" encoding="utf-8"?>
<formControlPr xmlns="http://schemas.microsoft.com/office/spreadsheetml/2009/9/main" objectType="Drop" dropLines="12" dropStyle="combo" dx="22" fmlaLink="target!$A$81" fmlaRange="$A$1:$A$12" noThreeD="1" sel="1" val="0"/>
</file>

<file path=xl/ctrlProps/ctrlProp26.xml><?xml version="1.0" encoding="utf-8"?>
<formControlPr xmlns="http://schemas.microsoft.com/office/spreadsheetml/2009/9/main" objectType="Drop" dropLines="5" dropStyle="combo" dx="22" fmlaLink="target!$A$37" fmlaRange="$A$1:$A$5" noThreeD="1" sel="1" val="0"/>
</file>

<file path=xl/ctrlProps/ctrlProp27.xml><?xml version="1.0" encoding="utf-8"?>
<formControlPr xmlns="http://schemas.microsoft.com/office/spreadsheetml/2009/9/main" objectType="Drop" dropLines="7" dropStyle="combo" dx="22" fmlaLink="target!$A$41" fmlaRange="$A$1:$A$7" noThreeD="1" sel="1" val="0"/>
</file>

<file path=xl/ctrlProps/ctrlProp28.xml><?xml version="1.0" encoding="utf-8"?>
<formControlPr xmlns="http://schemas.microsoft.com/office/spreadsheetml/2009/9/main" objectType="CheckBox" fmlaLink="$A$21"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Drop" dropLines="12" dropStyle="combo" dx="22" fmlaLink="target!$A$85" fmlaRange="$A$1:$A$12" noThreeD="1" sel="1" val="0"/>
</file>

<file path=xl/ctrlProps/ctrlProp35.xml><?xml version="1.0" encoding="utf-8"?>
<formControlPr xmlns="http://schemas.microsoft.com/office/spreadsheetml/2009/9/main" objectType="Drop" dropLines="12" dropStyle="combo" dx="22" fmlaLink="target!$A$89" fmlaRange="$A$1:$A$12" noThreeD="1" sel="1" val="0"/>
</file>

<file path=xl/ctrlProps/ctrlProp36.xml><?xml version="1.0" encoding="utf-8"?>
<formControlPr xmlns="http://schemas.microsoft.com/office/spreadsheetml/2009/9/main" objectType="Drop" dropLines="7" dropStyle="combo" dx="22" fmlaLink="target!$A$93" fmlaRange="$A$1:$A$7" noThreeD="1" sel="1" val="0"/>
</file>

<file path=xl/ctrlProps/ctrlProp37.xml><?xml version="1.0" encoding="utf-8"?>
<formControlPr xmlns="http://schemas.microsoft.com/office/spreadsheetml/2009/9/main" objectType="Drop" dropLines="9" dropStyle="combo" dx="22" fmlaLink="target!$A$97" fmlaRange="$A$1:$A$9" noThreeD="1" sel="1" val="0"/>
</file>

<file path=xl/ctrlProps/ctrlProp38.xml><?xml version="1.0" encoding="utf-8"?>
<formControlPr xmlns="http://schemas.microsoft.com/office/spreadsheetml/2009/9/main" objectType="Drop" dropLines="10" dropStyle="combo" dx="22" fmlaLink="target!$A$101" fmlaRange="$A$1:$A$10" noThreeD="1" sel="1" val="0"/>
</file>

<file path=xl/ctrlProps/ctrlProp39.xml><?xml version="1.0" encoding="utf-8"?>
<formControlPr xmlns="http://schemas.microsoft.com/office/spreadsheetml/2009/9/main" objectType="Drop" dropStyle="combo" dx="22" fmlaLink="target!$A$105" fmlaRange="$A$1:$A$8" noThreeD="1" sel="1" val="0"/>
</file>

<file path=xl/ctrlProps/ctrlProp40.xml><?xml version="1.0" encoding="utf-8"?>
<formControlPr xmlns="http://schemas.microsoft.com/office/spreadsheetml/2009/9/main" objectType="Drop" dropLines="7" dropStyle="combo" dx="22" fmlaLink="target!$A$109" fmlaRange="$A$1:$A$7" noThreeD="1" sel="1" val="0"/>
</file>

<file path=xl/ctrlProps/ctrlProp41.xml><?xml version="1.0" encoding="utf-8"?>
<formControlPr xmlns="http://schemas.microsoft.com/office/spreadsheetml/2009/9/main" objectType="Drop" dropLines="9" dropStyle="combo" dx="22" fmlaLink="target!$A$113" fmlaRange="$A$1:$A$9" noThreeD="1" sel="1" val="0"/>
</file>

<file path=xl/ctrlProps/ctrlProp42.xml><?xml version="1.0" encoding="utf-8"?>
<formControlPr xmlns="http://schemas.microsoft.com/office/spreadsheetml/2009/9/main" objectType="Drop" dropLines="11" dropStyle="combo" dx="22" fmlaLink="target!$A$125" fmlaRange="$A$1:$A$11" noThreeD="1" sel="10" val="0"/>
</file>

<file path=xl/ctrlProps/ctrlProp43.xml><?xml version="1.0" encoding="utf-8"?>
<formControlPr xmlns="http://schemas.microsoft.com/office/spreadsheetml/2009/9/main" objectType="Drop" dropLines="9" dropStyle="combo" dx="22" fmlaLink="target!$A$129" fmlaRange="$A$1:$A$9" noThreeD="1" sel="1" val="0"/>
</file>

<file path=xl/ctrlProps/ctrlProp44.xml><?xml version="1.0" encoding="utf-8"?>
<formControlPr xmlns="http://schemas.microsoft.com/office/spreadsheetml/2009/9/main" objectType="Drop" dropLines="5" dropStyle="combo" dx="22" fmlaLink="target!$A$133" fmlaRange="$A$1:$A$5" noThreeD="1" sel="1" val="0"/>
</file>

<file path=xl/ctrlProps/ctrlProp45.xml><?xml version="1.0" encoding="utf-8"?>
<formControlPr xmlns="http://schemas.microsoft.com/office/spreadsheetml/2009/9/main" objectType="Drop" dropLines="13" dropStyle="combo" dx="22" fmlaLink="target!$A$137" fmlaRange="$A$1:$A$13" noThreeD="1" sel="1" val="0"/>
</file>

<file path=xl/ctrlProps/ctrlProp46.xml><?xml version="1.0" encoding="utf-8"?>
<formControlPr xmlns="http://schemas.microsoft.com/office/spreadsheetml/2009/9/main" objectType="Drop" dropLines="11" dropStyle="combo" dx="22" fmlaLink="target!$A$141" fmlaRange="$A$1:$A$11" noThreeD="1" sel="7" val="0"/>
</file>

<file path=xl/ctrlProps/ctrlProp47.xml><?xml version="1.0" encoding="utf-8"?>
<formControlPr xmlns="http://schemas.microsoft.com/office/spreadsheetml/2009/9/main" objectType="Drop" dropLines="9" dropStyle="combo" dx="22" fmlaLink="target!$A$145" fmlaRange="$A$1:$A$9" noThreeD="1" sel="1" val="0"/>
</file>

<file path=xl/ctrlProps/ctrlProp48.xml><?xml version="1.0" encoding="utf-8"?>
<formControlPr xmlns="http://schemas.microsoft.com/office/spreadsheetml/2009/9/main" objectType="CheckBox" fmlaLink="$A$23" lockText="1" noThreeD="1"/>
</file>

<file path=xl/ctrlProps/ctrlProp49.xml><?xml version="1.0" encoding="utf-8"?>
<formControlPr xmlns="http://schemas.microsoft.com/office/spreadsheetml/2009/9/main" objectType="Drop" dropLines="9" dropStyle="combo" dx="22" fmlaLink="target!$A$117" fmlaRange="$A$1:$A$9" noThreeD="1" sel="1" val="0"/>
</file>

<file path=xl/ctrlProps/ctrlProp50.xml><?xml version="1.0" encoding="utf-8"?>
<formControlPr xmlns="http://schemas.microsoft.com/office/spreadsheetml/2009/9/main" objectType="Drop" dropLines="12" dropStyle="combo" dx="22" fmlaLink="target!$A$121" fmlaRange="$A$1:$A$12" noThreeD="1" sel="1" val="0"/>
</file>

<file path=xl/ctrlProps/ctrlProp51.xml><?xml version="1.0" encoding="utf-8"?>
<formControlPr xmlns="http://schemas.microsoft.com/office/spreadsheetml/2009/9/main" objectType="CheckBox" fmlaLink="$M$7" lockText="1" noThreeD="1"/>
</file>

<file path=xl/ctrlProps/ctrlProp52.xml><?xml version="1.0" encoding="utf-8"?>
<formControlPr xmlns="http://schemas.microsoft.com/office/spreadsheetml/2009/9/main" objectType="CheckBox" fmlaLink="$M$8" lockText="1" noThreeD="1"/>
</file>

<file path=xl/ctrlProps/ctrlProp53.xml><?xml version="1.0" encoding="utf-8"?>
<formControlPr xmlns="http://schemas.microsoft.com/office/spreadsheetml/2009/9/main" objectType="CheckBox" fmlaLink="$M$9" lockText="1" noThreeD="1"/>
</file>

<file path=xl/ctrlProps/ctrlProp54.xml><?xml version="1.0" encoding="utf-8"?>
<formControlPr xmlns="http://schemas.microsoft.com/office/spreadsheetml/2009/9/main" objectType="CheckBox" fmlaLink="$M$11" lockText="1" noThreeD="1"/>
</file>

<file path=xl/ctrlProps/ctrlProp55.xml><?xml version="1.0" encoding="utf-8"?>
<formControlPr xmlns="http://schemas.microsoft.com/office/spreadsheetml/2009/9/main" objectType="CheckBox" fmlaLink="$O$8" lockText="1" noThreeD="1"/>
</file>

<file path=xl/ctrlProps/ctrlProp56.xml><?xml version="1.0" encoding="utf-8"?>
<formControlPr xmlns="http://schemas.microsoft.com/office/spreadsheetml/2009/9/main" objectType="CheckBox" fmlaLink="$O$9" lockText="1" noThreeD="1"/>
</file>

<file path=xl/ctrlProps/ctrlProp57.xml><?xml version="1.0" encoding="utf-8"?>
<formControlPr xmlns="http://schemas.microsoft.com/office/spreadsheetml/2009/9/main" objectType="CheckBox" fmlaLink="$O$10" lockText="1" noThreeD="1"/>
</file>

<file path=xl/ctrlProps/ctrlProp58.xml><?xml version="1.0" encoding="utf-8"?>
<formControlPr xmlns="http://schemas.microsoft.com/office/spreadsheetml/2009/9/main" objectType="CheckBox" fmlaLink="$O$7" lockText="1" noThreeD="1"/>
</file>

<file path=xl/ctrlProps/ctrlProp59.xml><?xml version="1.0" encoding="utf-8"?>
<formControlPr xmlns="http://schemas.microsoft.com/office/spreadsheetml/2009/9/main" objectType="CheckBox" fmlaLink="$M$10" lockText="1" noThreeD="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O$11" lockText="1" noThreeD="1"/>
</file>

<file path=xl/ctrlProps/ctrlProp64.xml><?xml version="1.0" encoding="utf-8"?>
<formControlPr xmlns="http://schemas.microsoft.com/office/spreadsheetml/2009/9/main" objectType="CheckBox" fmlaLink="$O$12" lockText="1" noThreeD="1"/>
</file>

<file path=xl/ctrlProps/ctrlProp65.xml><?xml version="1.0" encoding="utf-8"?>
<formControlPr xmlns="http://schemas.microsoft.com/office/spreadsheetml/2009/9/main" objectType="CheckBox" fmlaLink="$Q$7" lockText="1" noThreeD="1"/>
</file>

<file path=xl/ctrlProps/ctrlProp66.xml><?xml version="1.0" encoding="utf-8"?>
<formControlPr xmlns="http://schemas.microsoft.com/office/spreadsheetml/2009/9/main" objectType="CheckBox" fmlaLink="$Q$8" lockText="1" noThreeD="1"/>
</file>

<file path=xl/ctrlProps/ctrlProp67.xml><?xml version="1.0" encoding="utf-8"?>
<formControlPr xmlns="http://schemas.microsoft.com/office/spreadsheetml/2009/9/main" objectType="CheckBox" fmlaLink="$Q$9" lockText="1" noThreeD="1"/>
</file>

<file path=xl/ctrlProps/ctrlProp68.xml><?xml version="1.0" encoding="utf-8"?>
<formControlPr xmlns="http://schemas.microsoft.com/office/spreadsheetml/2009/9/main" objectType="CheckBox" fmlaLink="$Q$10" lockText="1" noThreeD="1"/>
</file>

<file path=xl/ctrlProps/ctrlProp69.xml><?xml version="1.0" encoding="utf-8"?>
<formControlPr xmlns="http://schemas.microsoft.com/office/spreadsheetml/2009/9/main" objectType="CheckBox" fmlaLink="$Q$11" lockText="1" noThreeD="1"/>
</file>

<file path=xl/ctrlProps/ctrlProp70.xml><?xml version="1.0" encoding="utf-8"?>
<formControlPr xmlns="http://schemas.microsoft.com/office/spreadsheetml/2009/9/main" objectType="CheckBox" fmlaLink="$M$12"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CheckBox" fmlaLink="$L$35" lockText="1" noThreeD="1"/>
</file>

<file path=xl/ctrlProps/ctrlProp73.xml><?xml version="1.0" encoding="utf-8"?>
<formControlPr xmlns="http://schemas.microsoft.com/office/spreadsheetml/2009/9/main" objectType="Drop" dropLines="2" dropStyle="combo" dx="22" fmlaLink="$I$5" fmlaRange="data!$C$158:$C$159" noThreeD="1" sel="2" val="0"/>
</file>

<file path=xl/ctrlProps/ctrlProp74.xml><?xml version="1.0" encoding="utf-8"?>
<formControlPr xmlns="http://schemas.microsoft.com/office/spreadsheetml/2009/9/main" objectType="Drop" dropLines="3" dropStyle="combo" dx="22" fmlaLink="$I$8" fmlaRange="$A$11:$A$13" noThreeD="1" sel="1" val="0"/>
</file>

<file path=xl/ctrlProps/ctrlProp75.xml><?xml version="1.0" encoding="utf-8"?>
<formControlPr xmlns="http://schemas.microsoft.com/office/spreadsheetml/2009/9/main" objectType="CheckBox" fmlaLink="'REL(2)'!$N$5" lockText="1" noThreeD="1"/>
</file>

<file path=xl/ctrlProps/ctrlProp76.xml><?xml version="1.0" encoding="utf-8"?>
<formControlPr xmlns="http://schemas.microsoft.com/office/spreadsheetml/2009/9/main" objectType="CheckBox" fmlaLink="$N$26" lockText="1" noThreeD="1"/>
</file>

<file path=xl/ctrlProps/ctrlProp77.xml><?xml version="1.0" encoding="utf-8"?>
<formControlPr xmlns="http://schemas.microsoft.com/office/spreadsheetml/2009/9/main" objectType="CheckBox" fmlaLink="$N$30" lockText="1" noThreeD="1"/>
</file>

<file path=xl/ctrlProps/ctrlProp78.xml><?xml version="1.0" encoding="utf-8"?>
<formControlPr xmlns="http://schemas.microsoft.com/office/spreadsheetml/2009/9/main" objectType="CheckBox" fmlaLink="$N$31" lockText="1" noThreeD="1"/>
</file>

<file path=xl/ctrlProps/ctrlProp79.xml><?xml version="1.0" encoding="utf-8"?>
<formControlPr xmlns="http://schemas.microsoft.com/office/spreadsheetml/2009/9/main" objectType="Drop" dropLines="3" dropStyle="combo" dx="22" fmlaLink="$N$13" fmlaRange="$A$15:$A$17" noThreeD="1" sel="3" val="0"/>
</file>

<file path=xl/ctrlProps/ctrlProp80.xml><?xml version="1.0" encoding="utf-8"?>
<formControlPr xmlns="http://schemas.microsoft.com/office/spreadsheetml/2009/9/main" objectType="CheckBox" fmlaLink="$N$12" lockText="1" noThreeD="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Lines="3" dropStyle="combo" dx="22" fmlaLink="$F$5" fmlaRange="data!$C$167:$C$169" noThreeD="1" sel="1" val="0"/>
</file>

<file path=xl/ctrlProps/ctrlProp84.xml><?xml version="1.0" encoding="utf-8"?>
<formControlPr xmlns="http://schemas.microsoft.com/office/spreadsheetml/2009/9/main" objectType="Drop" dropLines="2" dropStyle="combo" dx="22" fmlaLink="$F$9" fmlaRange="data!$C$164:$C$165" noThreeD="1" sel="2" val="0"/>
</file>

<file path=xl/ctrlProps/ctrlProp85.xml><?xml version="1.0" encoding="utf-8"?>
<formControlPr xmlns="http://schemas.microsoft.com/office/spreadsheetml/2009/9/main" objectType="Drop" dropLines="3" dropStyle="combo" dx="22" fmlaLink="$F$13" fmlaRange="data!$C$171:$C$173" noThreeD="1" sel="1" val="0"/>
</file>

<file path=xl/ctrlProps/ctrlProp86.xml><?xml version="1.0" encoding="utf-8"?>
<formControlPr xmlns="http://schemas.microsoft.com/office/spreadsheetml/2009/9/main" objectType="Drop" dropLines="13" dropStyle="combo" dx="22" fmlaLink="$F$17" fmlaRange="data!$C$178:$C$190" noThreeD="1" sel="1" val="0"/>
</file>

<file path=xl/ctrlProps/ctrlProp87.xml><?xml version="1.0" encoding="utf-8"?>
<formControlPr xmlns="http://schemas.microsoft.com/office/spreadsheetml/2009/9/main" objectType="CheckBox" fmlaLink="$S$11" lockText="1" noThreeD="1"/>
</file>

<file path=xl/ctrlProps/ctrlProp88.xml><?xml version="1.0" encoding="utf-8"?>
<formControlPr xmlns="http://schemas.microsoft.com/office/spreadsheetml/2009/9/main" objectType="CheckBox" fmlaLink="$T$11"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S$20" lockText="1" noThreeD="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Lines="6" dropStyle="combo" dx="22" fmlaLink="$R$11" fmlaRange="$S$2:$S$7" sel="1" val="0"/>
</file>

<file path=xl/ctrlProps/ctrlProp110.xml><?xml version="1.0" encoding="utf-8"?>
<formControlPr xmlns="http://schemas.microsoft.com/office/spreadsheetml/2009/9/main" objectType="Drop" dropLines="6" dropStyle="combo" dx="22" fmlaLink="$R$12" fmlaRange="$S$2:$S$7" sel="1" val="0"/>
</file>

<file path=xl/ctrlProps/ctrlProp111.xml><?xml version="1.0" encoding="utf-8"?>
<formControlPr xmlns="http://schemas.microsoft.com/office/spreadsheetml/2009/9/main" objectType="Drop" dropLines="6" dropStyle="combo" dx="22" fmlaLink="$R$13" fmlaRange="$S$2:$S$7" sel="1" val="0"/>
</file>

<file path=xl/ctrlProps/ctrlProp112.xml><?xml version="1.0" encoding="utf-8"?>
<formControlPr xmlns="http://schemas.microsoft.com/office/spreadsheetml/2009/9/main" objectType="Drop" dropLines="6" dropStyle="combo" dx="22" fmlaLink="$R$14" fmlaRange="$S$2:$S$7" sel="1" val="0"/>
</file>

<file path=xl/ctrlProps/ctrlProp113.xml><?xml version="1.0" encoding="utf-8"?>
<formControlPr xmlns="http://schemas.microsoft.com/office/spreadsheetml/2009/9/main" objectType="Drop" dropLines="12" dropStyle="combo" dx="22" fmlaLink="$T$11" fmlaRange="$R$22:$R$33" noThreeD="1" sel="1" val="0"/>
</file>

<file path=xl/ctrlProps/ctrlProp114.xml><?xml version="1.0" encoding="utf-8"?>
<formControlPr xmlns="http://schemas.microsoft.com/office/spreadsheetml/2009/9/main" objectType="Drop" dropLines="12" dropStyle="combo" dx="22" fmlaLink="$T$12" fmlaRange="$R$22:$R$33" noThreeD="1" sel="1" val="0"/>
</file>

<file path=xl/ctrlProps/ctrlProp115.xml><?xml version="1.0" encoding="utf-8"?>
<formControlPr xmlns="http://schemas.microsoft.com/office/spreadsheetml/2009/9/main" objectType="Drop" dropLines="12" dropStyle="combo" dx="22" fmlaLink="$T$13" fmlaRange="$R$22:$R$33" noThreeD="1" sel="1" val="0"/>
</file>

<file path=xl/ctrlProps/ctrlProp116.xml><?xml version="1.0" encoding="utf-8"?>
<formControlPr xmlns="http://schemas.microsoft.com/office/spreadsheetml/2009/9/main" objectType="Drop" dropLines="12" dropStyle="combo" dx="22" fmlaLink="$T$14" fmlaRange="$R$22:$R$33" noThreeD="1" sel="1" val="0"/>
</file>

<file path=xl/ctrlProps/ctrlProp117.xml><?xml version="1.0" encoding="utf-8"?>
<formControlPr xmlns="http://schemas.microsoft.com/office/spreadsheetml/2009/9/main" objectType="Drop" dropLines="6" dropStyle="combo" dx="22" fmlaLink="$R$15" fmlaRange="$S$2:$S$7" sel="1" val="0"/>
</file>

<file path=xl/ctrlProps/ctrlProp118.xml><?xml version="1.0" encoding="utf-8"?>
<formControlPr xmlns="http://schemas.microsoft.com/office/spreadsheetml/2009/9/main" objectType="Drop" dropLines="12" dropStyle="combo" dx="22" fmlaLink="$T$15" fmlaRange="$R$22:$R$33" noThreeD="1" sel="1" val="0"/>
</file>

<file path=xl/ctrlProps/ctrlProp119.xml><?xml version="1.0" encoding="utf-8"?>
<formControlPr xmlns="http://schemas.microsoft.com/office/spreadsheetml/2009/9/main" objectType="Drop" dropLines="6" dropStyle="combo" dx="22" fmlaLink="$R$16" fmlaRange="$S$2:$S$7" sel="1" val="0"/>
</file>

<file path=xl/ctrlProps/ctrlProp120.xml><?xml version="1.0" encoding="utf-8"?>
<formControlPr xmlns="http://schemas.microsoft.com/office/spreadsheetml/2009/9/main" objectType="Drop" dropLines="12" dropStyle="combo" dx="22" fmlaLink="$T$16" fmlaRange="$R$22:$R$33" noThreeD="1" sel="1" val="0"/>
</file>

<file path=xl/ctrlProps/ctrlProp121.xml><?xml version="1.0" encoding="utf-8"?>
<formControlPr xmlns="http://schemas.microsoft.com/office/spreadsheetml/2009/9/main" objectType="Drop" dropLines="6" dropStyle="combo" dx="22" fmlaLink="$R$17" fmlaRange="$S$2:$S$7" sel="1" val="0"/>
</file>

<file path=xl/ctrlProps/ctrlProp122.xml><?xml version="1.0" encoding="utf-8"?>
<formControlPr xmlns="http://schemas.microsoft.com/office/spreadsheetml/2009/9/main" objectType="Drop" dropLines="12" dropStyle="combo" dx="22" fmlaLink="$T$17" fmlaRange="$R$22:$R$33" noThreeD="1" sel="1" val="0"/>
</file>

<file path=xl/ctrlProps/ctrlProp123.xml><?xml version="1.0" encoding="utf-8"?>
<formControlPr xmlns="http://schemas.microsoft.com/office/spreadsheetml/2009/9/main" objectType="Drop" dropLines="6" dropStyle="combo" dx="22" fmlaLink="$R$18" fmlaRange="$S$2:$S$7" sel="1" val="0"/>
</file>

<file path=xl/ctrlProps/ctrlProp124.xml><?xml version="1.0" encoding="utf-8"?>
<formControlPr xmlns="http://schemas.microsoft.com/office/spreadsheetml/2009/9/main" objectType="Drop" dropLines="12" dropStyle="combo" dx="22" fmlaLink="$T$18" fmlaRange="$R$22:$R$33" noThreeD="1" sel="1" val="0"/>
</file>

<file path=xl/ctrlProps/ctrlProp125.xml><?xml version="1.0" encoding="utf-8"?>
<formControlPr xmlns="http://schemas.microsoft.com/office/spreadsheetml/2009/9/main" objectType="Drop" dropLines="6" dropStyle="combo" dx="22" fmlaLink="$R$19" fmlaRange="$S$2:$S$7" sel="1" val="0"/>
</file>

<file path=xl/ctrlProps/ctrlProp126.xml><?xml version="1.0" encoding="utf-8"?>
<formControlPr xmlns="http://schemas.microsoft.com/office/spreadsheetml/2009/9/main" objectType="Drop" dropLines="12" dropStyle="combo" dx="22" fmlaLink="$T$19" fmlaRange="$R$22:$R$33" noThreeD="1" sel="1" val="0"/>
</file>

<file path=xl/ctrlProps/ctrlProp127.xml><?xml version="1.0" encoding="utf-8"?>
<formControlPr xmlns="http://schemas.microsoft.com/office/spreadsheetml/2009/9/main" objectType="Drop" dropLines="6" dropStyle="combo" dx="22" fmlaLink="$R$20" fmlaRange="$S$2:$S$7" sel="1" val="0"/>
</file>

<file path=xl/ctrlProps/ctrlProp128.xml><?xml version="1.0" encoding="utf-8"?>
<formControlPr xmlns="http://schemas.microsoft.com/office/spreadsheetml/2009/9/main" objectType="Drop" dropLines="12" dropStyle="combo" dx="22" fmlaLink="$T$20" fmlaRange="$R$22:$R$33" noThreeD="1" sel="1" val="0"/>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CheckBox" fmlaLink="$Q$4" lockText="1" noThreeD="1"/>
</file>

<file path=xl/ctrlProps/ctrlProp131.xml><?xml version="1.0" encoding="utf-8"?>
<formControlPr xmlns="http://schemas.microsoft.com/office/spreadsheetml/2009/9/main" objectType="CheckBox" fmlaLink="$Q$8" lockText="1" noThreeD="1"/>
</file>

<file path=xl/ctrlProps/ctrlProp132.xml><?xml version="1.0" encoding="utf-8"?>
<formControlPr xmlns="http://schemas.microsoft.com/office/spreadsheetml/2009/9/main" objectType="CheckBox" fmlaLink="$Q$9" lockText="1" noThreeD="1"/>
</file>

<file path=xl/ctrlProps/ctrlProp133.xml><?xml version="1.0" encoding="utf-8"?>
<formControlPr xmlns="http://schemas.microsoft.com/office/spreadsheetml/2009/9/main" objectType="CheckBox" fmlaLink="$Q$10" lockText="1" noThreeD="1"/>
</file>

<file path=xl/ctrlProps/ctrlProp134.xml><?xml version="1.0" encoding="utf-8"?>
<formControlPr xmlns="http://schemas.microsoft.com/office/spreadsheetml/2009/9/main" objectType="CheckBox" fmlaLink="$Q$11" lockText="1" noThreeD="1"/>
</file>

<file path=xl/ctrlProps/ctrlProp135.xml><?xml version="1.0" encoding="utf-8"?>
<formControlPr xmlns="http://schemas.microsoft.com/office/spreadsheetml/2009/9/main" objectType="CheckBox" fmlaLink="$Q$13" lockText="1" noThreeD="1"/>
</file>

<file path=xl/ctrlProps/ctrlProp136.xml><?xml version="1.0" encoding="utf-8"?>
<formControlPr xmlns="http://schemas.microsoft.com/office/spreadsheetml/2009/9/main" objectType="CheckBox" fmlaLink="$Q$15" lockText="1" noThreeD="1"/>
</file>

<file path=xl/ctrlProps/ctrlProp137.xml><?xml version="1.0" encoding="utf-8"?>
<formControlPr xmlns="http://schemas.microsoft.com/office/spreadsheetml/2009/9/main" objectType="CheckBox" fmlaLink="$Q$12" lockText="1" noThreeD="1"/>
</file>

<file path=xl/ctrlProps/ctrlProp138.xml><?xml version="1.0" encoding="utf-8"?>
<formControlPr xmlns="http://schemas.microsoft.com/office/spreadsheetml/2009/9/main" objectType="CheckBox" fmlaLink="$Q$14"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55</xdr:row>
          <xdr:rowOff>47625</xdr:rowOff>
        </xdr:from>
        <xdr:to>
          <xdr:col>7</xdr:col>
          <xdr:colOff>285750</xdr:colOff>
          <xdr:row>58</xdr:row>
          <xdr:rowOff>28575</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160</xdr:row>
      <xdr:rowOff>0</xdr:rowOff>
    </xdr:from>
    <xdr:to>
      <xdr:col>4</xdr:col>
      <xdr:colOff>647700</xdr:colOff>
      <xdr:row>181</xdr:row>
      <xdr:rowOff>85725</xdr:rowOff>
    </xdr:to>
    <xdr:sp macro="" textlink="">
      <xdr:nvSpPr>
        <xdr:cNvPr id="66561" name="Object 1" hidden="1">
          <a:extLst>
            <a:ext uri="{63B3BB69-23CF-44E3-9099-C40C66FF867C}">
              <a14:compatExt xmlns:a14="http://schemas.microsoft.com/office/drawing/2010/main" spid="_x0000_s66561"/>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395</xdr:row>
      <xdr:rowOff>19050</xdr:rowOff>
    </xdr:from>
    <xdr:to>
      <xdr:col>4</xdr:col>
      <xdr:colOff>69850</xdr:colOff>
      <xdr:row>417</xdr:row>
      <xdr:rowOff>91440</xdr:rowOff>
    </xdr:to>
    <xdr:pic>
      <xdr:nvPicPr>
        <xdr:cNvPr id="10" name="Picture 9"/>
        <xdr:cNvPicPr/>
      </xdr:nvPicPr>
      <xdr:blipFill rotWithShape="1">
        <a:blip xmlns:r="http://schemas.openxmlformats.org/officeDocument/2006/relationships" r:embed="rId1" cstate="print">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408</xdr:row>
      <xdr:rowOff>142875</xdr:rowOff>
    </xdr:from>
    <xdr:to>
      <xdr:col>2</xdr:col>
      <xdr:colOff>1393190</xdr:colOff>
      <xdr:row>411</xdr:row>
      <xdr:rowOff>67310</xdr:rowOff>
    </xdr:to>
    <xdr:sp macro="" textlink="">
      <xdr:nvSpPr>
        <xdr:cNvPr id="11" name="Rectangle 10"/>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GB"/>
        </a:p>
      </xdr:txBody>
    </xdr:sp>
    <xdr:clientData/>
  </xdr:twoCellAnchor>
  <xdr:twoCellAnchor editAs="oneCell">
    <xdr:from>
      <xdr:col>0</xdr:col>
      <xdr:colOff>19050</xdr:colOff>
      <xdr:row>420</xdr:row>
      <xdr:rowOff>180975</xdr:rowOff>
    </xdr:from>
    <xdr:to>
      <xdr:col>3</xdr:col>
      <xdr:colOff>990600</xdr:colOff>
      <xdr:row>440</xdr:row>
      <xdr:rowOff>133350</xdr:rowOff>
    </xdr:to>
    <xdr:pic>
      <xdr:nvPicPr>
        <xdr:cNvPr id="9" name="Picture 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4</xdr:col>
      <xdr:colOff>428625</xdr:colOff>
      <xdr:row>184</xdr:row>
      <xdr:rowOff>39184</xdr:rowOff>
    </xdr:to>
    <xdr:pic>
      <xdr:nvPicPr>
        <xdr:cNvPr id="12" name="Picture 11"/>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157</xdr:row>
      <xdr:rowOff>0</xdr:rowOff>
    </xdr:from>
    <xdr:to>
      <xdr:col>4</xdr:col>
      <xdr:colOff>410818</xdr:colOff>
      <xdr:row>184</xdr:row>
      <xdr:rowOff>38100</xdr:rowOff>
    </xdr:to>
    <xdr:pic>
      <xdr:nvPicPr>
        <xdr:cNvPr id="13" name="Picture 12"/>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186</xdr:row>
      <xdr:rowOff>0</xdr:rowOff>
    </xdr:from>
    <xdr:to>
      <xdr:col>4</xdr:col>
      <xdr:colOff>381001</xdr:colOff>
      <xdr:row>216</xdr:row>
      <xdr:rowOff>138427</xdr:rowOff>
    </xdr:to>
    <xdr:pic>
      <xdr:nvPicPr>
        <xdr:cNvPr id="8" name="Picture 7"/>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219</xdr:row>
      <xdr:rowOff>9525</xdr:rowOff>
    </xdr:from>
    <xdr:to>
      <xdr:col>4</xdr:col>
      <xdr:colOff>419100</xdr:colOff>
      <xdr:row>248</xdr:row>
      <xdr:rowOff>50044</xdr:rowOff>
    </xdr:to>
    <xdr:pic>
      <xdr:nvPicPr>
        <xdr:cNvPr id="16" name="Picture 15"/>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314</xdr:row>
      <xdr:rowOff>0</xdr:rowOff>
    </xdr:from>
    <xdr:to>
      <xdr:col>4</xdr:col>
      <xdr:colOff>856419</xdr:colOff>
      <xdr:row>343</xdr:row>
      <xdr:rowOff>104209</xdr:rowOff>
    </xdr:to>
    <xdr:pic>
      <xdr:nvPicPr>
        <xdr:cNvPr id="18" name="Picture 17"/>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346</xdr:row>
      <xdr:rowOff>38100</xdr:rowOff>
    </xdr:from>
    <xdr:to>
      <xdr:col>5</xdr:col>
      <xdr:colOff>600076</xdr:colOff>
      <xdr:row>384</xdr:row>
      <xdr:rowOff>12598</xdr:rowOff>
    </xdr:to>
    <xdr:pic>
      <xdr:nvPicPr>
        <xdr:cNvPr id="19" name="Picture 18"/>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285</xdr:row>
      <xdr:rowOff>0</xdr:rowOff>
    </xdr:from>
    <xdr:to>
      <xdr:col>4</xdr:col>
      <xdr:colOff>854016</xdr:colOff>
      <xdr:row>311</xdr:row>
      <xdr:rowOff>85695</xdr:rowOff>
    </xdr:to>
    <xdr:pic>
      <xdr:nvPicPr>
        <xdr:cNvPr id="14" name="Picture 13"/>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100" b="1" i="0" u="none" strike="noStrike" baseline="0">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xdr:cNvSpPr txBox="1">
          <a:spLocks noChangeArrowheads="1"/>
        </xdr:cNvSpPr>
      </xdr:nvSpPr>
      <xdr:spPr bwMode="auto">
        <a:xfrm>
          <a:off x="7619999" y="47625"/>
          <a:ext cx="6219825" cy="4762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21"/>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Enter the test case number (in the box on the left), tab out of the box, then press 'Replay selected case'.</a:t>
          </a:r>
        </a:p>
        <a:p>
          <a:pPr algn="l" rtl="0">
            <a:defRPr sz="1000"/>
          </a:pPr>
          <a:r>
            <a:rPr lang="en-GB" sz="900" b="0" i="0" u="none" strike="noStrike" baseline="0">
              <a:solidFill>
                <a:srgbClr val="008080"/>
              </a:solidFill>
              <a:latin typeface="Arial"/>
              <a:cs typeface="Arial"/>
            </a:rPr>
            <a:t>This will generate the test case and the results expected from processing this case through the SA tax calculation. </a:t>
          </a:r>
        </a:p>
        <a:p>
          <a:pPr algn="l" rtl="0">
            <a:defRPr sz="1000"/>
          </a:pPr>
          <a:r>
            <a:rPr lang="en-GB" sz="900" b="0" i="0" u="none" strike="noStrike" baseline="0">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2038350</xdr:colOff>
          <xdr:row>1</xdr:row>
          <xdr:rowOff>57150</xdr:rowOff>
        </xdr:from>
        <xdr:to>
          <xdr:col>4</xdr:col>
          <xdr:colOff>609600</xdr:colOff>
          <xdr:row>3</xdr:row>
          <xdr:rowOff>47625</xdr:rowOff>
        </xdr:to>
        <xdr:sp macro="" textlink="">
          <xdr:nvSpPr>
            <xdr:cNvPr id="45059" name="Button 3" hidden="1">
              <a:extLst>
                <a:ext uri="{63B3BB69-23CF-44E3-9099-C40C66FF867C}">
                  <a14:compatExt spid="_x0000_s4505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104775</xdr:colOff>
          <xdr:row>13</xdr:row>
          <xdr:rowOff>19050</xdr:rowOff>
        </xdr:from>
        <xdr:to>
          <xdr:col>11</xdr:col>
          <xdr:colOff>352425</xdr:colOff>
          <xdr:row>15</xdr:row>
          <xdr:rowOff>95250</xdr:rowOff>
        </xdr:to>
        <xdr:sp macro="" textlink="">
          <xdr:nvSpPr>
            <xdr:cNvPr id="43026" name="Button 18" hidden="1">
              <a:extLst>
                <a:ext uri="{63B3BB69-23CF-44E3-9099-C40C66FF867C}">
                  <a14:compatExt spid="_x0000_s43026"/>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54864" tIns="41148" rIns="54864" bIns="41148"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id="43027" name="Button 19" hidden="1">
              <a:extLst>
                <a:ext uri="{63B3BB69-23CF-44E3-9099-C40C66FF867C}">
                  <a14:compatExt spid="_x0000_s4302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323850</xdr:colOff>
          <xdr:row>10</xdr:row>
          <xdr:rowOff>104775</xdr:rowOff>
        </xdr:to>
        <xdr:sp macro="" textlink="">
          <xdr:nvSpPr>
            <xdr:cNvPr id="43028" name="Button 20" hidden="1">
              <a:extLst>
                <a:ext uri="{63B3BB69-23CF-44E3-9099-C40C66FF867C}">
                  <a14:compatExt spid="_x0000_s43028"/>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323850</xdr:colOff>
          <xdr:row>6</xdr:row>
          <xdr:rowOff>142875</xdr:rowOff>
        </xdr:to>
        <xdr:sp macro="" textlink="">
          <xdr:nvSpPr>
            <xdr:cNvPr id="43029" name="Button 21" hidden="1">
              <a:extLst>
                <a:ext uri="{63B3BB69-23CF-44E3-9099-C40C66FF867C}">
                  <a14:compatExt spid="_x0000_s4302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361950</xdr:colOff>
          <xdr:row>20</xdr:row>
          <xdr:rowOff>38100</xdr:rowOff>
        </xdr:to>
        <xdr:sp macro="" textlink="">
          <xdr:nvSpPr>
            <xdr:cNvPr id="43030" name="Button 22" hidden="1">
              <a:extLst>
                <a:ext uri="{63B3BB69-23CF-44E3-9099-C40C66FF867C}">
                  <a14:compatExt spid="_x0000_s4303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54864" tIns="41148" rIns="54864" bIns="41148"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57150</xdr:rowOff>
        </xdr:to>
        <xdr:sp macro="" textlink="">
          <xdr:nvSpPr>
            <xdr:cNvPr id="43031" name="Drop Down 23" hidden="1">
              <a:extLst>
                <a:ext uri="{63B3BB69-23CF-44E3-9099-C40C66FF867C}">
                  <a14:compatExt spid="_x0000_s4303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38100</xdr:rowOff>
        </xdr:from>
        <xdr:to>
          <xdr:col>3</xdr:col>
          <xdr:colOff>533400</xdr:colOff>
          <xdr:row>15</xdr:row>
          <xdr:rowOff>85725</xdr:rowOff>
        </xdr:to>
        <xdr:sp macro="" textlink="">
          <xdr:nvSpPr>
            <xdr:cNvPr id="43032" name="Drop Down 24" hidden="1">
              <a:extLst>
                <a:ext uri="{63B3BB69-23CF-44E3-9099-C40C66FF867C}">
                  <a14:compatExt spid="_x0000_s430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28575</xdr:rowOff>
        </xdr:from>
        <xdr:to>
          <xdr:col>3</xdr:col>
          <xdr:colOff>533400</xdr:colOff>
          <xdr:row>7</xdr:row>
          <xdr:rowOff>76200</xdr:rowOff>
        </xdr:to>
        <xdr:sp macro="" textlink="">
          <xdr:nvSpPr>
            <xdr:cNvPr id="43033" name="Drop Down 25" hidden="1">
              <a:extLst>
                <a:ext uri="{63B3BB69-23CF-44E3-9099-C40C66FF867C}">
                  <a14:compatExt spid="_x0000_s4303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514350</xdr:colOff>
          <xdr:row>7</xdr:row>
          <xdr:rowOff>95250</xdr:rowOff>
        </xdr:to>
        <xdr:sp macro="" textlink="">
          <xdr:nvSpPr>
            <xdr:cNvPr id="43034" name="Drop Down 26" hidden="1">
              <a:extLst>
                <a:ext uri="{63B3BB69-23CF-44E3-9099-C40C66FF867C}">
                  <a14:compatExt spid="_x0000_s4303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xdr:row>
          <xdr:rowOff>57150</xdr:rowOff>
        </xdr:from>
        <xdr:to>
          <xdr:col>7</xdr:col>
          <xdr:colOff>533400</xdr:colOff>
          <xdr:row>7</xdr:row>
          <xdr:rowOff>104775</xdr:rowOff>
        </xdr:to>
        <xdr:sp macro="" textlink="">
          <xdr:nvSpPr>
            <xdr:cNvPr id="43035" name="Drop Down 27" hidden="1">
              <a:extLst>
                <a:ext uri="{63B3BB69-23CF-44E3-9099-C40C66FF867C}">
                  <a14:compatExt spid="_x0000_s4303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552450</xdr:colOff>
          <xdr:row>11</xdr:row>
          <xdr:rowOff>85725</xdr:rowOff>
        </xdr:to>
        <xdr:sp macro="" textlink="">
          <xdr:nvSpPr>
            <xdr:cNvPr id="43036" name="Drop Down 28" hidden="1">
              <a:extLst>
                <a:ext uri="{63B3BB69-23CF-44E3-9099-C40C66FF867C}">
                  <a14:compatExt spid="_x0000_s4303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95250</xdr:rowOff>
        </xdr:to>
        <xdr:sp macro="" textlink="">
          <xdr:nvSpPr>
            <xdr:cNvPr id="43037" name="Drop Down 29" hidden="1">
              <a:extLst>
                <a:ext uri="{63B3BB69-23CF-44E3-9099-C40C66FF867C}">
                  <a14:compatExt spid="_x0000_s4303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id="43038" name="Drop Down 30" hidden="1">
              <a:extLst>
                <a:ext uri="{63B3BB69-23CF-44E3-9099-C40C66FF867C}">
                  <a14:compatExt spid="_x0000_s4303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57150</xdr:rowOff>
        </xdr:from>
        <xdr:to>
          <xdr:col>3</xdr:col>
          <xdr:colOff>552450</xdr:colOff>
          <xdr:row>20</xdr:row>
          <xdr:rowOff>104775</xdr:rowOff>
        </xdr:to>
        <xdr:sp macro="" textlink="">
          <xdr:nvSpPr>
            <xdr:cNvPr id="43039" name="Drop Down 31" hidden="1">
              <a:extLst>
                <a:ext uri="{63B3BB69-23CF-44E3-9099-C40C66FF867C}">
                  <a14:compatExt spid="_x0000_s4303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19</xdr:row>
          <xdr:rowOff>57150</xdr:rowOff>
        </xdr:from>
        <xdr:to>
          <xdr:col>5</xdr:col>
          <xdr:colOff>533400</xdr:colOff>
          <xdr:row>20</xdr:row>
          <xdr:rowOff>104775</xdr:rowOff>
        </xdr:to>
        <xdr:sp macro="" textlink="">
          <xdr:nvSpPr>
            <xdr:cNvPr id="43040" name="Drop Down 32" hidden="1">
              <a:extLst>
                <a:ext uri="{63B3BB69-23CF-44E3-9099-C40C66FF867C}">
                  <a14:compatExt spid="_x0000_s4304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id="43041" name="Drop Down 33" hidden="1">
              <a:extLst>
                <a:ext uri="{63B3BB69-23CF-44E3-9099-C40C66FF867C}">
                  <a14:compatExt spid="_x0000_s4304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95250</xdr:rowOff>
        </xdr:to>
        <xdr:sp macro="" textlink="">
          <xdr:nvSpPr>
            <xdr:cNvPr id="43042" name="Drop Down 34" hidden="1">
              <a:extLst>
                <a:ext uri="{63B3BB69-23CF-44E3-9099-C40C66FF867C}">
                  <a14:compatExt spid="_x0000_s4304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id="43043" name="Drop Down 35" hidden="1">
              <a:extLst>
                <a:ext uri="{63B3BB69-23CF-44E3-9099-C40C66FF867C}">
                  <a14:compatExt spid="_x0000_s4304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552450</xdr:colOff>
          <xdr:row>23</xdr:row>
          <xdr:rowOff>95250</xdr:rowOff>
        </xdr:to>
        <xdr:sp macro="" textlink="">
          <xdr:nvSpPr>
            <xdr:cNvPr id="43044" name="Drop Down 36" hidden="1">
              <a:extLst>
                <a:ext uri="{63B3BB69-23CF-44E3-9099-C40C66FF867C}">
                  <a14:compatExt spid="_x0000_s4304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19050</xdr:rowOff>
        </xdr:from>
        <xdr:to>
          <xdr:col>3</xdr:col>
          <xdr:colOff>561975</xdr:colOff>
          <xdr:row>26</xdr:row>
          <xdr:rowOff>66675</xdr:rowOff>
        </xdr:to>
        <xdr:sp macro="" textlink="">
          <xdr:nvSpPr>
            <xdr:cNvPr id="43045" name="Drop Down 37" hidden="1">
              <a:extLst>
                <a:ext uri="{63B3BB69-23CF-44E3-9099-C40C66FF867C}">
                  <a14:compatExt spid="_x0000_s4304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25</xdr:row>
          <xdr:rowOff>38100</xdr:rowOff>
        </xdr:from>
        <xdr:to>
          <xdr:col>5</xdr:col>
          <xdr:colOff>533400</xdr:colOff>
          <xdr:row>26</xdr:row>
          <xdr:rowOff>85725</xdr:rowOff>
        </xdr:to>
        <xdr:sp macro="" textlink="">
          <xdr:nvSpPr>
            <xdr:cNvPr id="43046" name="Drop Down 38" hidden="1">
              <a:extLst>
                <a:ext uri="{63B3BB69-23CF-44E3-9099-C40C66FF867C}">
                  <a14:compatExt spid="_x0000_s43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id="43047" name="Drop Down 39" hidden="1">
              <a:extLst>
                <a:ext uri="{63B3BB69-23CF-44E3-9099-C40C66FF867C}">
                  <a14:compatExt spid="_x0000_s4304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id="43051" name="Drop Down 43" hidden="1">
              <a:extLst>
                <a:ext uri="{63B3BB69-23CF-44E3-9099-C40C66FF867C}">
                  <a14:compatExt spid="_x0000_s4305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19050</xdr:rowOff>
        </xdr:from>
        <xdr:to>
          <xdr:col>7</xdr:col>
          <xdr:colOff>523875</xdr:colOff>
          <xdr:row>15</xdr:row>
          <xdr:rowOff>66675</xdr:rowOff>
        </xdr:to>
        <xdr:sp macro="" textlink="">
          <xdr:nvSpPr>
            <xdr:cNvPr id="43053" name="Drop Down 45" hidden="1">
              <a:extLst>
                <a:ext uri="{63B3BB69-23CF-44E3-9099-C40C66FF867C}">
                  <a14:compatExt spid="_x0000_s4305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238125</xdr:colOff>
      <xdr:row>10</xdr:row>
      <xdr:rowOff>114300</xdr:rowOff>
    </xdr:from>
    <xdr:to>
      <xdr:col>8</xdr:col>
      <xdr:colOff>361950</xdr:colOff>
      <xdr:row>12</xdr:row>
      <xdr:rowOff>0</xdr:rowOff>
    </xdr:to>
    <xdr:sp macro="[0]!MORESELECT_NICX_Click" textlink="">
      <xdr:nvSpPr>
        <xdr:cNvPr id="44077" name="Text Box 45"/>
        <xdr:cNvSpPr txBox="1">
          <a:spLocks noChangeArrowheads="1"/>
        </xdr:cNvSpPr>
      </xdr:nvSpPr>
      <xdr:spPr bwMode="auto">
        <a:xfrm>
          <a:off x="4276725" y="16383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id="44052" name="Check Box 20" hidden="1">
              <a:extLst>
                <a:ext uri="{63B3BB69-23CF-44E3-9099-C40C66FF867C}">
                  <a14:compatExt spid="_x0000_s44052"/>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133350</xdr:rowOff>
        </xdr:to>
        <xdr:sp macro="" textlink="">
          <xdr:nvSpPr>
            <xdr:cNvPr id="44056" name="Button 24" hidden="1">
              <a:extLst>
                <a:ext uri="{63B3BB69-23CF-44E3-9099-C40C66FF867C}">
                  <a14:compatExt spid="_x0000_s44056"/>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54864" tIns="41148" rIns="54864" bIns="41148"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95250</xdr:rowOff>
        </xdr:from>
        <xdr:to>
          <xdr:col>11</xdr:col>
          <xdr:colOff>400050</xdr:colOff>
          <xdr:row>7</xdr:row>
          <xdr:rowOff>85725</xdr:rowOff>
        </xdr:to>
        <xdr:sp macro="" textlink="">
          <xdr:nvSpPr>
            <xdr:cNvPr id="44057" name="Button 25" hidden="1">
              <a:extLst>
                <a:ext uri="{63B3BB69-23CF-44E3-9099-C40C66FF867C}">
                  <a14:compatExt spid="_x0000_s4405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85725</xdr:rowOff>
        </xdr:from>
        <xdr:to>
          <xdr:col>11</xdr:col>
          <xdr:colOff>409575</xdr:colOff>
          <xdr:row>20</xdr:row>
          <xdr:rowOff>114300</xdr:rowOff>
        </xdr:to>
        <xdr:sp macro="" textlink="">
          <xdr:nvSpPr>
            <xdr:cNvPr id="44058" name="Button 26" hidden="1">
              <a:extLst>
                <a:ext uri="{63B3BB69-23CF-44E3-9099-C40C66FF867C}">
                  <a14:compatExt spid="_x0000_s44058"/>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id="44059" name="Button 27" hidden="1">
              <a:extLst>
                <a:ext uri="{63B3BB69-23CF-44E3-9099-C40C66FF867C}">
                  <a14:compatExt spid="_x0000_s4405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10</xdr:row>
          <xdr:rowOff>9525</xdr:rowOff>
        </xdr:from>
        <xdr:to>
          <xdr:col>11</xdr:col>
          <xdr:colOff>400050</xdr:colOff>
          <xdr:row>12</xdr:row>
          <xdr:rowOff>85725</xdr:rowOff>
        </xdr:to>
        <xdr:sp macro="" textlink="">
          <xdr:nvSpPr>
            <xdr:cNvPr id="44060" name="Button 28" hidden="1">
              <a:extLst>
                <a:ext uri="{63B3BB69-23CF-44E3-9099-C40C66FF867C}">
                  <a14:compatExt spid="_x0000_s4406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54864" tIns="41148" rIns="54864" bIns="41148"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id="44062" name="Drop Down 30" hidden="1">
              <a:extLst>
                <a:ext uri="{63B3BB69-23CF-44E3-9099-C40C66FF867C}">
                  <a14:compatExt spid="_x0000_s4406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3</xdr:row>
          <xdr:rowOff>47625</xdr:rowOff>
        </xdr:from>
        <xdr:to>
          <xdr:col>5</xdr:col>
          <xdr:colOff>533400</xdr:colOff>
          <xdr:row>4</xdr:row>
          <xdr:rowOff>95250</xdr:rowOff>
        </xdr:to>
        <xdr:sp macro="" textlink="">
          <xdr:nvSpPr>
            <xdr:cNvPr id="44063" name="Drop Down 31" hidden="1">
              <a:extLst>
                <a:ext uri="{63B3BB69-23CF-44E3-9099-C40C66FF867C}">
                  <a14:compatExt spid="_x0000_s4406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95250</xdr:rowOff>
        </xdr:to>
        <xdr:sp macro="" textlink="">
          <xdr:nvSpPr>
            <xdr:cNvPr id="44064" name="Drop Down 32" hidden="1">
              <a:extLst>
                <a:ext uri="{63B3BB69-23CF-44E3-9099-C40C66FF867C}">
                  <a14:compatExt spid="_x0000_s4406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95250</xdr:rowOff>
        </xdr:to>
        <xdr:sp macro="" textlink="">
          <xdr:nvSpPr>
            <xdr:cNvPr id="44065" name="Drop Down 33" hidden="1">
              <a:extLst>
                <a:ext uri="{63B3BB69-23CF-44E3-9099-C40C66FF867C}">
                  <a14:compatExt spid="_x0000_s4406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57150</xdr:rowOff>
        </xdr:from>
        <xdr:to>
          <xdr:col>5</xdr:col>
          <xdr:colOff>523875</xdr:colOff>
          <xdr:row>9</xdr:row>
          <xdr:rowOff>104775</xdr:rowOff>
        </xdr:to>
        <xdr:sp macro="" textlink="">
          <xdr:nvSpPr>
            <xdr:cNvPr id="44066" name="Drop Down 34" hidden="1">
              <a:extLst>
                <a:ext uri="{63B3BB69-23CF-44E3-9099-C40C66FF867C}">
                  <a14:compatExt spid="_x0000_s4406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id="44067" name="Drop Down 35" hidden="1">
              <a:extLst>
                <a:ext uri="{63B3BB69-23CF-44E3-9099-C40C66FF867C}">
                  <a14:compatExt spid="_x0000_s4406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id="44068" name="Drop Down 36" hidden="1">
              <a:extLst>
                <a:ext uri="{63B3BB69-23CF-44E3-9099-C40C66FF867C}">
                  <a14:compatExt spid="_x0000_s4406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id="44069" name="Drop Down 37" hidden="1">
              <a:extLst>
                <a:ext uri="{63B3BB69-23CF-44E3-9099-C40C66FF867C}">
                  <a14:compatExt spid="_x0000_s4406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id="44070" name="Drop Down 38" hidden="1">
              <a:extLst>
                <a:ext uri="{63B3BB69-23CF-44E3-9099-C40C66FF867C}">
                  <a14:compatExt spid="_x0000_s4407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id="44071" name="Drop Down 39" hidden="1">
              <a:extLst>
                <a:ext uri="{63B3BB69-23CF-44E3-9099-C40C66FF867C}">
                  <a14:compatExt spid="_x0000_s4407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id="44072" name="Drop Down 40" hidden="1">
              <a:extLst>
                <a:ext uri="{63B3BB69-23CF-44E3-9099-C40C66FF867C}">
                  <a14:compatExt spid="_x0000_s4407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57150</xdr:rowOff>
        </xdr:from>
        <xdr:to>
          <xdr:col>3</xdr:col>
          <xdr:colOff>504825</xdr:colOff>
          <xdr:row>19</xdr:row>
          <xdr:rowOff>104775</xdr:rowOff>
        </xdr:to>
        <xdr:sp macro="" textlink="">
          <xdr:nvSpPr>
            <xdr:cNvPr id="44073" name="Drop Down 41" hidden="1">
              <a:extLst>
                <a:ext uri="{63B3BB69-23CF-44E3-9099-C40C66FF867C}">
                  <a14:compatExt spid="_x0000_s4407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95250</xdr:rowOff>
        </xdr:to>
        <xdr:sp macro="" textlink="">
          <xdr:nvSpPr>
            <xdr:cNvPr id="44074" name="Drop Down 42" hidden="1">
              <a:extLst>
                <a:ext uri="{63B3BB69-23CF-44E3-9099-C40C66FF867C}">
                  <a14:compatExt spid="_x0000_s4407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95250</xdr:rowOff>
        </xdr:to>
        <xdr:sp macro="" textlink="">
          <xdr:nvSpPr>
            <xdr:cNvPr id="44079" name="Drop Down 47" hidden="1">
              <a:extLst>
                <a:ext uri="{63B3BB69-23CF-44E3-9099-C40C66FF867C}">
                  <a14:compatExt spid="_x0000_s4407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95250</xdr:rowOff>
        </xdr:to>
        <xdr:sp macro="" textlink="">
          <xdr:nvSpPr>
            <xdr:cNvPr id="44080" name="Check Box 48" hidden="1">
              <a:extLst>
                <a:ext uri="{63B3BB69-23CF-44E3-9099-C40C66FF867C}">
                  <a14:compatExt spid="_x0000_s4408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id="44081" name="Drop Down 49" hidden="1">
              <a:extLst>
                <a:ext uri="{63B3BB69-23CF-44E3-9099-C40C66FF867C}">
                  <a14:compatExt spid="_x0000_s4408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514350</xdr:colOff>
          <xdr:row>22</xdr:row>
          <xdr:rowOff>95250</xdr:rowOff>
        </xdr:to>
        <xdr:sp macro="" textlink="">
          <xdr:nvSpPr>
            <xdr:cNvPr id="44082" name="Drop Down 50" hidden="1">
              <a:extLst>
                <a:ext uri="{63B3BB69-23CF-44E3-9099-C40C66FF867C}">
                  <a14:compatExt spid="_x0000_s4408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276225</xdr:colOff>
      <xdr:row>17</xdr:row>
      <xdr:rowOff>9525</xdr:rowOff>
    </xdr:from>
    <xdr:to>
      <xdr:col>8</xdr:col>
      <xdr:colOff>228600</xdr:colOff>
      <xdr:row>18</xdr:row>
      <xdr:rowOff>85725</xdr:rowOff>
    </xdr:to>
    <xdr:sp macro="[0]!SA110_CAL_Click" textlink="">
      <xdr:nvSpPr>
        <xdr:cNvPr id="49192" name="Rectangle 40"/>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Calculation (</a:t>
          </a:r>
          <a:r>
            <a:rPr lang="en-GB" sz="1000" b="0" i="0" u="none" strike="noStrike" baseline="0">
              <a:solidFill>
                <a:srgbClr val="008080"/>
              </a:solidFill>
              <a:latin typeface="Arial"/>
              <a:cs typeface="Arial"/>
            </a:rPr>
            <a:t>SA110</a:t>
          </a:r>
          <a:r>
            <a:rPr lang="en-GB" sz="1000" b="0" i="0" u="none" strike="noStrike" baseline="0">
              <a:solidFill>
                <a:srgbClr val="000000"/>
              </a:solidFill>
              <a:latin typeface="Arial"/>
              <a:cs typeface="Arial"/>
            </a:rPr>
            <a:t> CAL)</a:t>
          </a:r>
        </a:p>
      </xdr:txBody>
    </xdr:sp>
    <xdr:clientData/>
  </xdr:twoCellAnchor>
  <xdr:twoCellAnchor>
    <xdr:from>
      <xdr:col>6</xdr:col>
      <xdr:colOff>295275</xdr:colOff>
      <xdr:row>15</xdr:row>
      <xdr:rowOff>66675</xdr:rowOff>
    </xdr:from>
    <xdr:to>
      <xdr:col>9</xdr:col>
      <xdr:colOff>0</xdr:colOff>
      <xdr:row>17</xdr:row>
      <xdr:rowOff>0</xdr:rowOff>
    </xdr:to>
    <xdr:sp macro="[0]!SA109_NRD_Click" textlink="">
      <xdr:nvSpPr>
        <xdr:cNvPr id="49193" name="Rectangle 41"/>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Residence etc. (</a:t>
          </a:r>
          <a:r>
            <a:rPr lang="en-GB" sz="1000" b="0" i="0" u="none" strike="noStrike" baseline="0">
              <a:solidFill>
                <a:srgbClr val="008080"/>
              </a:solidFill>
              <a:latin typeface="Arial"/>
              <a:cs typeface="Arial"/>
            </a:rPr>
            <a:t>SA109</a:t>
          </a:r>
          <a:r>
            <a:rPr lang="en-GB" sz="1000" b="0" i="0" u="none" strike="noStrike" baseline="0">
              <a:solidFill>
                <a:srgbClr val="000000"/>
              </a:solidFill>
              <a:latin typeface="Arial"/>
              <a:cs typeface="Arial"/>
            </a:rPr>
            <a:t> NRD)</a:t>
          </a:r>
        </a:p>
      </xdr:txBody>
    </xdr:sp>
    <xdr:clientData/>
  </xdr:twoCellAnchor>
  <xdr:twoCellAnchor>
    <xdr:from>
      <xdr:col>6</xdr:col>
      <xdr:colOff>295275</xdr:colOff>
      <xdr:row>13</xdr:row>
      <xdr:rowOff>76200</xdr:rowOff>
    </xdr:from>
    <xdr:to>
      <xdr:col>9</xdr:col>
      <xdr:colOff>0</xdr:colOff>
      <xdr:row>15</xdr:row>
      <xdr:rowOff>9525</xdr:rowOff>
    </xdr:to>
    <xdr:sp macro="[0]!SA108_CGT_Click" textlink="">
      <xdr:nvSpPr>
        <xdr:cNvPr id="49194" name="Rectangle 42"/>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Capital Gains (</a:t>
          </a:r>
          <a:r>
            <a:rPr lang="en-GB" sz="1000" b="0" i="0" u="none" strike="noStrike" baseline="0">
              <a:solidFill>
                <a:srgbClr val="008080"/>
              </a:solidFill>
              <a:latin typeface="Arial"/>
              <a:cs typeface="Arial"/>
            </a:rPr>
            <a:t>SA108</a:t>
          </a:r>
          <a:r>
            <a:rPr lang="en-GB" sz="1000" b="0" i="0" u="none" strike="noStrike" baseline="0">
              <a:solidFill>
                <a:srgbClr val="000000"/>
              </a:solidFill>
              <a:latin typeface="Arial"/>
              <a:cs typeface="Arial"/>
            </a:rPr>
            <a:t> CGT)</a:t>
          </a:r>
        </a:p>
      </xdr:txBody>
    </xdr:sp>
    <xdr:clientData/>
  </xdr:twoCellAnchor>
  <xdr:twoCellAnchor>
    <xdr:from>
      <xdr:col>6</xdr:col>
      <xdr:colOff>295275</xdr:colOff>
      <xdr:row>11</xdr:row>
      <xdr:rowOff>95250</xdr:rowOff>
    </xdr:from>
    <xdr:to>
      <xdr:col>8</xdr:col>
      <xdr:colOff>209550</xdr:colOff>
      <xdr:row>13</xdr:row>
      <xdr:rowOff>28575</xdr:rowOff>
    </xdr:to>
    <xdr:sp macro="[0]!SA107_TRU_Click" textlink="">
      <xdr:nvSpPr>
        <xdr:cNvPr id="49195" name="Rectangle 43"/>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Trust and Estates</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SA107</a:t>
          </a:r>
          <a:r>
            <a:rPr lang="en-GB" sz="1000" b="0" i="0" u="none" strike="noStrike" baseline="0">
              <a:solidFill>
                <a:srgbClr val="000000"/>
              </a:solidFill>
              <a:latin typeface="Arial"/>
              <a:cs typeface="Arial"/>
            </a:rPr>
            <a:t> TRU)</a:t>
          </a:r>
        </a:p>
      </xdr:txBody>
    </xdr:sp>
    <xdr:clientData/>
  </xdr:twoCellAnchor>
  <xdr:twoCellAnchor>
    <xdr:from>
      <xdr:col>6</xdr:col>
      <xdr:colOff>314325</xdr:colOff>
      <xdr:row>9</xdr:row>
      <xdr:rowOff>133350</xdr:rowOff>
    </xdr:from>
    <xdr:to>
      <xdr:col>9</xdr:col>
      <xdr:colOff>19050</xdr:colOff>
      <xdr:row>11</xdr:row>
      <xdr:rowOff>66675</xdr:rowOff>
    </xdr:to>
    <xdr:sp macro="[0]!SA106_FOR_Click" textlink="">
      <xdr:nvSpPr>
        <xdr:cNvPr id="49196" name="Rectangle 44"/>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Foreign (</a:t>
          </a:r>
          <a:r>
            <a:rPr lang="en-GB" sz="1000" b="0" i="0" u="none" strike="noStrike" baseline="0">
              <a:solidFill>
                <a:srgbClr val="008080"/>
              </a:solidFill>
              <a:latin typeface="Arial"/>
              <a:cs typeface="Arial"/>
            </a:rPr>
            <a:t>SA106</a:t>
          </a:r>
          <a:r>
            <a:rPr lang="en-GB" sz="1000" b="0" i="0" u="none" strike="noStrike" baseline="0">
              <a:solidFill>
                <a:srgbClr val="000000"/>
              </a:solidFill>
              <a:latin typeface="Arial"/>
              <a:cs typeface="Arial"/>
            </a:rPr>
            <a:t> FOR)</a:t>
          </a:r>
        </a:p>
      </xdr:txBody>
    </xdr:sp>
    <xdr:clientData/>
  </xdr:twoCellAnchor>
  <xdr:twoCellAnchor>
    <xdr:from>
      <xdr:col>6</xdr:col>
      <xdr:colOff>314325</xdr:colOff>
      <xdr:row>8</xdr:row>
      <xdr:rowOff>47625</xdr:rowOff>
    </xdr:from>
    <xdr:to>
      <xdr:col>8</xdr:col>
      <xdr:colOff>228600</xdr:colOff>
      <xdr:row>9</xdr:row>
      <xdr:rowOff>57150</xdr:rowOff>
    </xdr:to>
    <xdr:sp macro="[0]!SA105_PRO_Click" textlink="">
      <xdr:nvSpPr>
        <xdr:cNvPr id="49197" name="Rectangle 45"/>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Income from property</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SA105</a:t>
          </a:r>
          <a:r>
            <a:rPr lang="en-GB" sz="1000" b="0" i="0" u="none" strike="noStrike" baseline="0">
              <a:solidFill>
                <a:srgbClr val="000000"/>
              </a:solidFill>
              <a:latin typeface="Arial"/>
              <a:cs typeface="Arial"/>
            </a:rPr>
            <a:t> PRO)</a:t>
          </a:r>
        </a:p>
      </xdr:txBody>
    </xdr:sp>
    <xdr:clientData/>
  </xdr:twoCellAnchor>
  <xdr:twoCellAnchor>
    <xdr:from>
      <xdr:col>4</xdr:col>
      <xdr:colOff>57150</xdr:colOff>
      <xdr:row>15</xdr:row>
      <xdr:rowOff>66675</xdr:rowOff>
    </xdr:from>
    <xdr:to>
      <xdr:col>6</xdr:col>
      <xdr:colOff>209550</xdr:colOff>
      <xdr:row>17</xdr:row>
      <xdr:rowOff>0</xdr:rowOff>
    </xdr:to>
    <xdr:sp macro="[0]!SA104_PS_Click" textlink="">
      <xdr:nvSpPr>
        <xdr:cNvPr id="49198" name="Rectangle 46"/>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Partnership (</a:t>
          </a:r>
          <a:r>
            <a:rPr lang="en-GB" sz="1000" b="0" i="0" u="none" strike="noStrike" baseline="0">
              <a:solidFill>
                <a:srgbClr val="008080"/>
              </a:solidFill>
              <a:latin typeface="Arial"/>
              <a:cs typeface="Arial"/>
            </a:rPr>
            <a:t>SA104S/F</a:t>
          </a:r>
          <a:r>
            <a:rPr lang="en-GB" sz="1000" b="0" i="0" u="none" strike="noStrike" baseline="0">
              <a:solidFill>
                <a:srgbClr val="000000"/>
              </a:solidFill>
              <a:latin typeface="Arial"/>
              <a:cs typeface="Arial"/>
            </a:rPr>
            <a:t> PS)</a:t>
          </a:r>
        </a:p>
      </xdr:txBody>
    </xdr:sp>
    <xdr:clientData/>
  </xdr:twoCellAnchor>
  <xdr:twoCellAnchor>
    <xdr:from>
      <xdr:col>4</xdr:col>
      <xdr:colOff>57150</xdr:colOff>
      <xdr:row>13</xdr:row>
      <xdr:rowOff>85725</xdr:rowOff>
    </xdr:from>
    <xdr:to>
      <xdr:col>6</xdr:col>
      <xdr:colOff>209550</xdr:colOff>
      <xdr:row>15</xdr:row>
      <xdr:rowOff>19050</xdr:rowOff>
    </xdr:to>
    <xdr:sp macro="[0]!SA103L_LUN_Click" textlink="">
      <xdr:nvSpPr>
        <xdr:cNvPr id="49199" name="Rectangle 47"/>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Lloyd's Underwriters (</a:t>
          </a:r>
          <a:r>
            <a:rPr lang="en-GB" sz="1000" b="0" i="0" u="none" strike="noStrike" baseline="0">
              <a:solidFill>
                <a:srgbClr val="008080"/>
              </a:solidFill>
              <a:latin typeface="Arial"/>
              <a:cs typeface="Arial"/>
            </a:rPr>
            <a:t>SA103L</a:t>
          </a:r>
          <a:r>
            <a:rPr lang="en-GB" sz="1000" b="0" i="0" u="none" strike="noStrike" baseline="0">
              <a:solidFill>
                <a:srgbClr val="000000"/>
              </a:solidFill>
              <a:latin typeface="Arial"/>
              <a:cs typeface="Arial"/>
            </a:rPr>
            <a:t> LUN)</a:t>
          </a:r>
        </a:p>
      </xdr:txBody>
    </xdr:sp>
    <xdr:clientData/>
  </xdr:twoCellAnchor>
  <xdr:twoCellAnchor>
    <xdr:from>
      <xdr:col>4</xdr:col>
      <xdr:colOff>57150</xdr:colOff>
      <xdr:row>11</xdr:row>
      <xdr:rowOff>104775</xdr:rowOff>
    </xdr:from>
    <xdr:to>
      <xdr:col>6</xdr:col>
      <xdr:colOff>209550</xdr:colOff>
      <xdr:row>13</xdr:row>
      <xdr:rowOff>38100</xdr:rowOff>
    </xdr:to>
    <xdr:sp macro="[0]!SA103SF_SE_Click" textlink="">
      <xdr:nvSpPr>
        <xdr:cNvPr id="49200" name="Rectangle 48"/>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Self employment (</a:t>
          </a:r>
          <a:r>
            <a:rPr lang="en-GB" sz="1000" b="0" i="0" u="none" strike="noStrike" baseline="0">
              <a:solidFill>
                <a:srgbClr val="008080"/>
              </a:solidFill>
              <a:latin typeface="Arial"/>
              <a:cs typeface="Arial"/>
            </a:rPr>
            <a:t>SA103S/F</a:t>
          </a:r>
          <a:r>
            <a:rPr lang="en-GB" sz="1000" b="0" i="0" u="none" strike="noStrike" baseline="0">
              <a:solidFill>
                <a:srgbClr val="000000"/>
              </a:solidFill>
              <a:latin typeface="Arial"/>
              <a:cs typeface="Arial"/>
            </a:rPr>
            <a:t> SE)</a:t>
          </a:r>
        </a:p>
      </xdr:txBody>
    </xdr:sp>
    <xdr:clientData/>
  </xdr:twoCellAnchor>
  <xdr:twoCellAnchor>
    <xdr:from>
      <xdr:col>4</xdr:col>
      <xdr:colOff>47625</xdr:colOff>
      <xdr:row>9</xdr:row>
      <xdr:rowOff>133350</xdr:rowOff>
    </xdr:from>
    <xdr:to>
      <xdr:col>6</xdr:col>
      <xdr:colOff>200025</xdr:colOff>
      <xdr:row>11</xdr:row>
      <xdr:rowOff>66675</xdr:rowOff>
    </xdr:to>
    <xdr:sp macro="[0]!SA102M_MOR_Click" textlink="">
      <xdr:nvSpPr>
        <xdr:cNvPr id="49201" name="Rectangle 49"/>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Ministers of Religion</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SA102M</a:t>
          </a:r>
          <a:r>
            <a:rPr lang="en-GB" sz="1000" b="0" i="0" u="none" strike="noStrike" baseline="0">
              <a:solidFill>
                <a:srgbClr val="000000"/>
              </a:solidFill>
              <a:latin typeface="Arial"/>
              <a:cs typeface="Arial"/>
            </a:rPr>
            <a:t> MOR)</a:t>
          </a:r>
        </a:p>
      </xdr:txBody>
    </xdr:sp>
    <xdr:clientData/>
  </xdr:twoCellAnchor>
  <xdr:twoCellAnchor>
    <xdr:from>
      <xdr:col>4</xdr:col>
      <xdr:colOff>57150</xdr:colOff>
      <xdr:row>8</xdr:row>
      <xdr:rowOff>57150</xdr:rowOff>
    </xdr:from>
    <xdr:to>
      <xdr:col>6</xdr:col>
      <xdr:colOff>209550</xdr:colOff>
      <xdr:row>9</xdr:row>
      <xdr:rowOff>66675</xdr:rowOff>
    </xdr:to>
    <xdr:sp macro="[0]!SA102_EMP_Click" textlink="">
      <xdr:nvSpPr>
        <xdr:cNvPr id="49202" name="Rectangle 50"/>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Employment (</a:t>
          </a:r>
          <a:r>
            <a:rPr lang="en-GB" sz="1000" b="0" i="0" u="none" strike="noStrike" baseline="0">
              <a:solidFill>
                <a:srgbClr val="008080"/>
              </a:solidFill>
              <a:latin typeface="Arial"/>
              <a:cs typeface="Arial"/>
            </a:rPr>
            <a:t>SA102</a:t>
          </a:r>
          <a:r>
            <a:rPr lang="en-GB" sz="1000" b="0" i="0" u="none" strike="noStrike" baseline="0">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Pension Charges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Married Couples Allowance</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Other Reliefs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Shares Schemes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Additional Information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8</xdr:row>
          <xdr:rowOff>19050</xdr:rowOff>
        </xdr:from>
        <xdr:to>
          <xdr:col>6</xdr:col>
          <xdr:colOff>314325</xdr:colOff>
          <xdr:row>9</xdr:row>
          <xdr:rowOff>38100</xdr:rowOff>
        </xdr:to>
        <xdr:sp macro="" textlink="">
          <xdr:nvSpPr>
            <xdr:cNvPr id="49208" name="Check Box 56" hidden="1">
              <a:extLst>
                <a:ext uri="{63B3BB69-23CF-44E3-9099-C40C66FF867C}">
                  <a14:compatExt spid="_x0000_s49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104775</xdr:rowOff>
        </xdr:from>
        <xdr:to>
          <xdr:col>6</xdr:col>
          <xdr:colOff>314325</xdr:colOff>
          <xdr:row>11</xdr:row>
          <xdr:rowOff>38100</xdr:rowOff>
        </xdr:to>
        <xdr:sp macro="" textlink="">
          <xdr:nvSpPr>
            <xdr:cNvPr id="49209" name="Check Box 57" hidden="1">
              <a:extLst>
                <a:ext uri="{63B3BB69-23CF-44E3-9099-C40C66FF867C}">
                  <a14:compatExt spid="_x0000_s49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11</xdr:row>
          <xdr:rowOff>76200</xdr:rowOff>
        </xdr:from>
        <xdr:to>
          <xdr:col>6</xdr:col>
          <xdr:colOff>323850</xdr:colOff>
          <xdr:row>13</xdr:row>
          <xdr:rowOff>19050</xdr:rowOff>
        </xdr:to>
        <xdr:sp macro="" textlink="">
          <xdr:nvSpPr>
            <xdr:cNvPr id="49210" name="Check Box 58" hidden="1">
              <a:extLst>
                <a:ext uri="{63B3BB69-23CF-44E3-9099-C40C66FF867C}">
                  <a14:compatExt spid="_x0000_s49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xdr:row>
          <xdr:rowOff>38100</xdr:rowOff>
        </xdr:from>
        <xdr:to>
          <xdr:col>6</xdr:col>
          <xdr:colOff>323850</xdr:colOff>
          <xdr:row>16</xdr:row>
          <xdr:rowOff>114300</xdr:rowOff>
        </xdr:to>
        <xdr:sp macro="" textlink="">
          <xdr:nvSpPr>
            <xdr:cNvPr id="49211" name="Check Box 59" hidden="1">
              <a:extLst>
                <a:ext uri="{63B3BB69-23CF-44E3-9099-C40C66FF867C}">
                  <a14:compatExt spid="_x0000_s49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95250</xdr:rowOff>
        </xdr:from>
        <xdr:to>
          <xdr:col>9</xdr:col>
          <xdr:colOff>57150</xdr:colOff>
          <xdr:row>11</xdr:row>
          <xdr:rowOff>28575</xdr:rowOff>
        </xdr:to>
        <xdr:sp macro="" textlink="">
          <xdr:nvSpPr>
            <xdr:cNvPr id="49212" name="Check Box 60" hidden="1">
              <a:extLst>
                <a:ext uri="{63B3BB69-23CF-44E3-9099-C40C66FF867C}">
                  <a14:compatExt spid="_x0000_s49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66675</xdr:rowOff>
        </xdr:from>
        <xdr:to>
          <xdr:col>9</xdr:col>
          <xdr:colOff>57150</xdr:colOff>
          <xdr:row>13</xdr:row>
          <xdr:rowOff>0</xdr:rowOff>
        </xdr:to>
        <xdr:sp macro="" textlink="">
          <xdr:nvSpPr>
            <xdr:cNvPr id="49213" name="Check Box 61" hidden="1">
              <a:extLst>
                <a:ext uri="{63B3BB69-23CF-44E3-9099-C40C66FF867C}">
                  <a14:compatExt spid="_x0000_s49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38100</xdr:rowOff>
        </xdr:from>
        <xdr:to>
          <xdr:col>9</xdr:col>
          <xdr:colOff>57150</xdr:colOff>
          <xdr:row>14</xdr:row>
          <xdr:rowOff>123825</xdr:rowOff>
        </xdr:to>
        <xdr:sp macro="" textlink="">
          <xdr:nvSpPr>
            <xdr:cNvPr id="49214" name="Check Box 62" hidden="1">
              <a:extLst>
                <a:ext uri="{63B3BB69-23CF-44E3-9099-C40C66FF867C}">
                  <a14:compatExt spid="_x0000_s49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19050</xdr:rowOff>
        </xdr:from>
        <xdr:to>
          <xdr:col>9</xdr:col>
          <xdr:colOff>57150</xdr:colOff>
          <xdr:row>9</xdr:row>
          <xdr:rowOff>38100</xdr:rowOff>
        </xdr:to>
        <xdr:sp macro="" textlink="">
          <xdr:nvSpPr>
            <xdr:cNvPr id="49215" name="Check Box 63" hidden="1">
              <a:extLst>
                <a:ext uri="{63B3BB69-23CF-44E3-9099-C40C66FF867C}">
                  <a14:compatExt spid="_x0000_s49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13</xdr:row>
          <xdr:rowOff>57150</xdr:rowOff>
        </xdr:from>
        <xdr:to>
          <xdr:col>6</xdr:col>
          <xdr:colOff>323850</xdr:colOff>
          <xdr:row>14</xdr:row>
          <xdr:rowOff>133350</xdr:rowOff>
        </xdr:to>
        <xdr:sp macro="" textlink="">
          <xdr:nvSpPr>
            <xdr:cNvPr id="49216" name="Check Box 64" hidden="1">
              <a:extLst>
                <a:ext uri="{63B3BB69-23CF-44E3-9099-C40C66FF867C}">
                  <a14:compatExt spid="_x0000_s49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57150</xdr:rowOff>
        </xdr:from>
        <xdr:to>
          <xdr:col>2</xdr:col>
          <xdr:colOff>1581150</xdr:colOff>
          <xdr:row>23</xdr:row>
          <xdr:rowOff>66675</xdr:rowOff>
        </xdr:to>
        <xdr:sp macro="" textlink="">
          <xdr:nvSpPr>
            <xdr:cNvPr id="49217" name="Button 65" hidden="1">
              <a:extLst>
                <a:ext uri="{63B3BB69-23CF-44E3-9099-C40C66FF867C}">
                  <a14:compatExt spid="_x0000_s49217"/>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5</xdr:col>
          <xdr:colOff>1552575</xdr:colOff>
          <xdr:row>23</xdr:row>
          <xdr:rowOff>76200</xdr:rowOff>
        </xdr:to>
        <xdr:sp macro="" textlink="">
          <xdr:nvSpPr>
            <xdr:cNvPr id="49218" name="Button 66" hidden="1">
              <a:extLst>
                <a:ext uri="{63B3BB69-23CF-44E3-9099-C40C66FF867C}">
                  <a14:compatExt spid="_x0000_s49218"/>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GB" sz="1400" b="1" i="0" u="none" strike="noStrike" baseline="0">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21</xdr:row>
          <xdr:rowOff>66675</xdr:rowOff>
        </xdr:from>
        <xdr:to>
          <xdr:col>9</xdr:col>
          <xdr:colOff>19050</xdr:colOff>
          <xdr:row>23</xdr:row>
          <xdr:rowOff>66675</xdr:rowOff>
        </xdr:to>
        <xdr:sp macro="" textlink="">
          <xdr:nvSpPr>
            <xdr:cNvPr id="49219" name="Button 67" hidden="1">
              <a:extLst>
                <a:ext uri="{63B3BB69-23CF-44E3-9099-C40C66FF867C}">
                  <a14:compatExt spid="_x0000_s4921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28575</xdr:rowOff>
        </xdr:from>
        <xdr:to>
          <xdr:col>9</xdr:col>
          <xdr:colOff>57150</xdr:colOff>
          <xdr:row>16</xdr:row>
          <xdr:rowOff>114300</xdr:rowOff>
        </xdr:to>
        <xdr:sp macro="" textlink="">
          <xdr:nvSpPr>
            <xdr:cNvPr id="49220" name="Check Box 68" hidden="1">
              <a:extLst>
                <a:ext uri="{63B3BB69-23CF-44E3-9099-C40C66FF867C}">
                  <a14:compatExt spid="_x0000_s49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133350</xdr:rowOff>
        </xdr:from>
        <xdr:to>
          <xdr:col>9</xdr:col>
          <xdr:colOff>57150</xdr:colOff>
          <xdr:row>19</xdr:row>
          <xdr:rowOff>9525</xdr:rowOff>
        </xdr:to>
        <xdr:sp macro="" textlink="">
          <xdr:nvSpPr>
            <xdr:cNvPr id="49221" name="Check Box 69" hidden="1">
              <a:extLst>
                <a:ext uri="{63B3BB69-23CF-44E3-9099-C40C66FF867C}">
                  <a14:compatExt spid="_x0000_s49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2247900</xdr:colOff>
          <xdr:row>8</xdr:row>
          <xdr:rowOff>38100</xdr:rowOff>
        </xdr:from>
        <xdr:to>
          <xdr:col>2</xdr:col>
          <xdr:colOff>2552700</xdr:colOff>
          <xdr:row>9</xdr:row>
          <xdr:rowOff>47625</xdr:rowOff>
        </xdr:to>
        <xdr:sp macro="" textlink="">
          <xdr:nvSpPr>
            <xdr:cNvPr id="49222" name="Check Box 70" hidden="1">
              <a:extLst>
                <a:ext uri="{63B3BB69-23CF-44E3-9099-C40C66FF867C}">
                  <a14:compatExt spid="_x0000_s49222"/>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2247900</xdr:colOff>
          <xdr:row>10</xdr:row>
          <xdr:rowOff>19050</xdr:rowOff>
        </xdr:from>
        <xdr:to>
          <xdr:col>2</xdr:col>
          <xdr:colOff>2552700</xdr:colOff>
          <xdr:row>11</xdr:row>
          <xdr:rowOff>95250</xdr:rowOff>
        </xdr:to>
        <xdr:sp macro="" textlink="">
          <xdr:nvSpPr>
            <xdr:cNvPr id="49223" name="Check Box 71" hidden="1">
              <a:extLst>
                <a:ext uri="{63B3BB69-23CF-44E3-9099-C40C66FF867C}">
                  <a14:compatExt spid="_x0000_s49223"/>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2247900</xdr:colOff>
          <xdr:row>12</xdr:row>
          <xdr:rowOff>38100</xdr:rowOff>
        </xdr:from>
        <xdr:to>
          <xdr:col>2</xdr:col>
          <xdr:colOff>2552700</xdr:colOff>
          <xdr:row>13</xdr:row>
          <xdr:rowOff>114300</xdr:rowOff>
        </xdr:to>
        <xdr:sp macro="" textlink="">
          <xdr:nvSpPr>
            <xdr:cNvPr id="49224" name="Check Box 72" hidden="1">
              <a:extLst>
                <a:ext uri="{63B3BB69-23CF-44E3-9099-C40C66FF867C}">
                  <a14:compatExt spid="_x0000_s49224"/>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2247900</xdr:colOff>
          <xdr:row>14</xdr:row>
          <xdr:rowOff>47625</xdr:rowOff>
        </xdr:from>
        <xdr:to>
          <xdr:col>2</xdr:col>
          <xdr:colOff>2552700</xdr:colOff>
          <xdr:row>15</xdr:row>
          <xdr:rowOff>123825</xdr:rowOff>
        </xdr:to>
        <xdr:sp macro="" textlink="">
          <xdr:nvSpPr>
            <xdr:cNvPr id="49225" name="Check Box 73" hidden="1">
              <a:extLst>
                <a:ext uri="{63B3BB69-23CF-44E3-9099-C40C66FF867C}">
                  <a14:compatExt spid="_x0000_s49225"/>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2257425</xdr:colOff>
          <xdr:row>16</xdr:row>
          <xdr:rowOff>57150</xdr:rowOff>
        </xdr:from>
        <xdr:to>
          <xdr:col>2</xdr:col>
          <xdr:colOff>2562225</xdr:colOff>
          <xdr:row>17</xdr:row>
          <xdr:rowOff>133350</xdr:rowOff>
        </xdr:to>
        <xdr:sp macro="" textlink="">
          <xdr:nvSpPr>
            <xdr:cNvPr id="49226" name="Check Box 74" hidden="1">
              <a:extLst>
                <a:ext uri="{63B3BB69-23CF-44E3-9099-C40C66FF867C}">
                  <a14:compatExt spid="_x0000_s49226"/>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xdr:cNvSpPr txBox="1">
          <a:spLocks noChangeArrowheads="1"/>
        </xdr:cNvSpPr>
      </xdr:nvSpPr>
      <xdr:spPr bwMode="auto">
        <a:xfrm>
          <a:off x="190500" y="3486150"/>
          <a:ext cx="1619250" cy="6572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Reset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Pressing this will remove all data from the calculation sheets and removes all additional pages.</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xdr:cNvSpPr txBox="1">
          <a:spLocks noChangeArrowheads="1"/>
        </xdr:cNvSpPr>
      </xdr:nvSpPr>
      <xdr:spPr bwMode="auto">
        <a:xfrm>
          <a:off x="205409" y="4376944"/>
          <a:ext cx="2022614" cy="102331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Calculate Now</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Once Tax return data has been entered on the input sheets press 'Calculate Now' to make the tabs for the calculation sheets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Amendments will not be reflected in the calculation sheets until 'Calculate Now' is pressed again.</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xdr:twoCellAnchor>
    <xdr:from>
      <xdr:col>9</xdr:col>
      <xdr:colOff>125482</xdr:colOff>
      <xdr:row>21</xdr:row>
      <xdr:rowOff>61705</xdr:rowOff>
    </xdr:from>
    <xdr:to>
      <xdr:col>10</xdr:col>
      <xdr:colOff>1708702</xdr:colOff>
      <xdr:row>23</xdr:row>
      <xdr:rowOff>71231</xdr:rowOff>
    </xdr:to>
    <xdr:sp macro="" textlink="">
      <xdr:nvSpPr>
        <xdr:cNvPr id="49229" name="Text Box 77"/>
        <xdr:cNvSpPr txBox="1">
          <a:spLocks noChangeArrowheads="1"/>
        </xdr:cNvSpPr>
      </xdr:nvSpPr>
      <xdr:spPr bwMode="auto">
        <a:xfrm>
          <a:off x="7571547" y="3051727"/>
          <a:ext cx="2519155" cy="31598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27432" bIns="0" anchor="t" upright="1"/>
        <a:lstStyle/>
        <a:p>
          <a:pPr algn="ctr" rtl="0">
            <a:defRPr sz="1000"/>
          </a:pPr>
          <a:r>
            <a:rPr lang="en-GB" sz="800" b="0" i="0" u="none" strike="noStrike" baseline="0">
              <a:solidFill>
                <a:srgbClr val="008080"/>
              </a:solidFill>
              <a:latin typeface="Arial"/>
              <a:cs typeface="Arial"/>
            </a:rPr>
            <a:t>The background working sheets can be toggled on/off at any time.</a:t>
          </a:r>
        </a:p>
      </xdr:txBody>
    </xdr:sp>
    <xdr:clientData/>
  </xdr:twoCellAnchor>
  <xdr:twoCellAnchor>
    <xdr:from>
      <xdr:col>9</xdr:col>
      <xdr:colOff>123825</xdr:colOff>
      <xdr:row>7</xdr:row>
      <xdr:rowOff>200025</xdr:rowOff>
    </xdr:from>
    <xdr:to>
      <xdr:col>10</xdr:col>
      <xdr:colOff>457200</xdr:colOff>
      <xdr:row>20</xdr:row>
      <xdr:rowOff>0</xdr:rowOff>
    </xdr:to>
    <xdr:sp macro="" textlink="">
      <xdr:nvSpPr>
        <xdr:cNvPr id="49230" name="Text Box 78"/>
        <xdr:cNvSpPr txBox="1">
          <a:spLocks noChangeArrowheads="1"/>
        </xdr:cNvSpPr>
      </xdr:nvSpPr>
      <xdr:spPr bwMode="auto">
        <a:xfrm>
          <a:off x="7569890" y="1293329"/>
          <a:ext cx="1269310" cy="161386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Additional sheets.</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The tabs for the core return (INC1, INC2, REL1 &amp; REL2) are always visible. Tick the required additional information and additional pages to make additional tabs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When an additional sheet is removed (unticked) all data on that sheet is lost.</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9</xdr:col>
      <xdr:colOff>151986</xdr:colOff>
      <xdr:row>25</xdr:row>
      <xdr:rowOff>161924</xdr:rowOff>
    </xdr:from>
    <xdr:to>
      <xdr:col>10</xdr:col>
      <xdr:colOff>1571211</xdr:colOff>
      <xdr:row>36</xdr:row>
      <xdr:rowOff>149086</xdr:rowOff>
    </xdr:to>
    <xdr:sp macro="" textlink="">
      <xdr:nvSpPr>
        <xdr:cNvPr id="42" name="Text Box 78"/>
        <xdr:cNvSpPr txBox="1">
          <a:spLocks noChangeArrowheads="1"/>
        </xdr:cNvSpPr>
      </xdr:nvSpPr>
      <xdr:spPr bwMode="auto">
        <a:xfrm>
          <a:off x="7598051" y="3764859"/>
          <a:ext cx="2355160" cy="1643684"/>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Tax Calculation.</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5</xdr:col>
      <xdr:colOff>0</xdr:colOff>
      <xdr:row>17</xdr:row>
      <xdr:rowOff>0</xdr:rowOff>
    </xdr:from>
    <xdr:to>
      <xdr:col>6</xdr:col>
      <xdr:colOff>219075</xdr:colOff>
      <xdr:row>19</xdr:row>
      <xdr:rowOff>9525</xdr:rowOff>
    </xdr:to>
    <xdr:sp macro="[0]!SA104_PS_Click" textlink="">
      <xdr:nvSpPr>
        <xdr:cNvPr id="48" name="Rectangle 46"/>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GB" sz="1000" b="0" i="0" u="none" strike="noStrike" kern="0" cap="none" spc="0" normalizeH="0" baseline="0" noProof="0">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6</xdr:col>
          <xdr:colOff>9525</xdr:colOff>
          <xdr:row>16</xdr:row>
          <xdr:rowOff>123825</xdr:rowOff>
        </xdr:from>
        <xdr:to>
          <xdr:col>6</xdr:col>
          <xdr:colOff>323850</xdr:colOff>
          <xdr:row>18</xdr:row>
          <xdr:rowOff>57150</xdr:rowOff>
        </xdr:to>
        <xdr:sp macro="" textlink="">
          <xdr:nvSpPr>
            <xdr:cNvPr id="2" name="Check Box 76" hidden="1">
              <a:extLst>
                <a:ext uri="{63B3BB69-23CF-44E3-9099-C40C66FF867C}">
                  <a14:compatExt spid="_x0000_s49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5</xdr:col>
          <xdr:colOff>1552575</xdr:colOff>
          <xdr:row>25</xdr:row>
          <xdr:rowOff>161925</xdr:rowOff>
        </xdr:to>
        <xdr:sp macro="" textlink="">
          <xdr:nvSpPr>
            <xdr:cNvPr id="3" name="Button 78" hidden="1">
              <a:extLst>
                <a:ext uri="{63B3BB69-23CF-44E3-9099-C40C66FF867C}">
                  <a14:compatExt spid="_x0000_s4923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GB" sz="1400" b="1" i="0" u="none" strike="noStrike" baseline="0">
                  <a:solidFill>
                    <a:srgbClr val="800000"/>
                  </a:solidFill>
                  <a:latin typeface="Arial"/>
                  <a:cs typeface="Arial"/>
                </a:rPr>
                <a:t>Cyfrifwch Nawr</a:t>
              </a:r>
            </a:p>
          </xdr:txBody>
        </xdr:sp>
        <xdr:clientData fPrintsWithSheet="0"/>
      </xdr:twoCellAnchor>
    </mc:Choice>
    <mc:Fallback/>
  </mc:AlternateContent>
  <xdr:twoCellAnchor>
    <xdr:from>
      <xdr:col>6</xdr:col>
      <xdr:colOff>1</xdr:colOff>
      <xdr:row>26</xdr:row>
      <xdr:rowOff>4141</xdr:rowOff>
    </xdr:from>
    <xdr:to>
      <xdr:col>9</xdr:col>
      <xdr:colOff>1</xdr:colOff>
      <xdr:row>29</xdr:row>
      <xdr:rowOff>8282</xdr:rowOff>
    </xdr:to>
    <xdr:sp macro="" textlink="">
      <xdr:nvSpPr>
        <xdr:cNvPr id="45" name="Text Box 76"/>
        <xdr:cNvSpPr txBox="1">
          <a:spLocks noChangeArrowheads="1"/>
        </xdr:cNvSpPr>
      </xdr:nvSpPr>
      <xdr:spPr bwMode="auto">
        <a:xfrm>
          <a:off x="4936436" y="3772728"/>
          <a:ext cx="2509630" cy="45140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In-Year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If you are completing an in-year repayment calculation and you want to restrict the Personal Allowance tick the box below and enter the amount of PA in the box</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6</xdr:col>
          <xdr:colOff>38100</xdr:colOff>
          <xdr:row>29</xdr:row>
          <xdr:rowOff>142875</xdr:rowOff>
        </xdr:from>
        <xdr:to>
          <xdr:col>7</xdr:col>
          <xdr:colOff>123825</xdr:colOff>
          <xdr:row>31</xdr:row>
          <xdr:rowOff>66675</xdr:rowOff>
        </xdr:to>
        <xdr:sp macro="" textlink="">
          <xdr:nvSpPr>
            <xdr:cNvPr id="49231" name="Check Box 79" hidden="1">
              <a:extLst>
                <a:ext uri="{63B3BB69-23CF-44E3-9099-C40C66FF867C}">
                  <a14:compatExt spid="_x0000_s49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723900</xdr:colOff>
      <xdr:row>0</xdr:row>
      <xdr:rowOff>400050</xdr:rowOff>
    </xdr:to>
    <xdr:pic>
      <xdr:nvPicPr>
        <xdr:cNvPr id="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id="40964" name="Drop Down 4" hidden="1">
              <a:extLst>
                <a:ext uri="{63B3BB69-23CF-44E3-9099-C40C66FF867C}">
                  <a14:compatExt spid="_x0000_s40964"/>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id="40971" name="Drop Down 11" hidden="1">
              <a:extLst>
                <a:ext uri="{63B3BB69-23CF-44E3-9099-C40C66FF867C}">
                  <a14:compatExt spid="_x0000_s4097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123826</xdr:rowOff>
    </xdr:from>
    <xdr:to>
      <xdr:col>4</xdr:col>
      <xdr:colOff>371475</xdr:colOff>
      <xdr:row>4</xdr:row>
      <xdr:rowOff>28576</xdr:rowOff>
    </xdr:to>
    <xdr:sp macro="[0]!BPA_Click" textlink="">
      <xdr:nvSpPr>
        <xdr:cNvPr id="39940" name="Text Box 4"/>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id="39937" name="Check Box 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26</xdr:row>
          <xdr:rowOff>66675</xdr:rowOff>
        </xdr:from>
        <xdr:to>
          <xdr:col>3</xdr:col>
          <xdr:colOff>171450</xdr:colOff>
          <xdr:row>28</xdr:row>
          <xdr:rowOff>38100</xdr:rowOff>
        </xdr:to>
        <xdr:sp macro="" textlink="">
          <xdr:nvSpPr>
            <xdr:cNvPr id="39943" name="Check Box 7" hidden="1">
              <a:extLst>
                <a:ext uri="{63B3BB69-23CF-44E3-9099-C40C66FF867C}">
                  <a14:compatExt spid="_x0000_s39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32</xdr:row>
          <xdr:rowOff>66675</xdr:rowOff>
        </xdr:from>
        <xdr:to>
          <xdr:col>3</xdr:col>
          <xdr:colOff>171450</xdr:colOff>
          <xdr:row>34</xdr:row>
          <xdr:rowOff>38100</xdr:rowOff>
        </xdr:to>
        <xdr:sp macro="" textlink="">
          <xdr:nvSpPr>
            <xdr:cNvPr id="39946" name="Check Box 10" hidden="1">
              <a:extLst>
                <a:ext uri="{63B3BB69-23CF-44E3-9099-C40C66FF867C}">
                  <a14:compatExt spid="_x0000_s39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32</xdr:row>
          <xdr:rowOff>66675</xdr:rowOff>
        </xdr:from>
        <xdr:to>
          <xdr:col>7</xdr:col>
          <xdr:colOff>171450</xdr:colOff>
          <xdr:row>34</xdr:row>
          <xdr:rowOff>38100</xdr:rowOff>
        </xdr:to>
        <xdr:sp macro="" textlink="">
          <xdr:nvSpPr>
            <xdr:cNvPr id="39947" name="Check Box 11" hidden="1">
              <a:extLst>
                <a:ext uri="{63B3BB69-23CF-44E3-9099-C40C66FF867C}">
                  <a14:compatExt spid="_x0000_s39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id="39949" name="Drop Down 13" hidden="1">
              <a:extLst>
                <a:ext uri="{63B3BB69-23CF-44E3-9099-C40C66FF867C}">
                  <a14:compatExt spid="_x0000_s3994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95250</xdr:rowOff>
        </xdr:from>
        <xdr:to>
          <xdr:col>3</xdr:col>
          <xdr:colOff>180975</xdr:colOff>
          <xdr:row>12</xdr:row>
          <xdr:rowOff>9525</xdr:rowOff>
        </xdr:to>
        <xdr:sp macro="" textlink="">
          <xdr:nvSpPr>
            <xdr:cNvPr id="39952" name="Check Box 16" hidden="1">
              <a:extLst>
                <a:ext uri="{63B3BB69-23CF-44E3-9099-C40C66FF867C}">
                  <a14:compatExt spid="_x0000_s39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19050</xdr:colOff>
          <xdr:row>13</xdr:row>
          <xdr:rowOff>47625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xdr:cNvSpPr txBox="1">
          <a:spLocks noChangeArrowheads="1"/>
        </xdr:cNvSpPr>
      </xdr:nvSpPr>
      <xdr:spPr bwMode="auto">
        <a:xfrm>
          <a:off x="6858000" y="1581150"/>
          <a:ext cx="1133475" cy="13811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0000"/>
              </a:solidFill>
              <a:latin typeface="Arial"/>
              <a:cs typeface="Arial"/>
            </a:rPr>
            <a:t>Gains on UK life policies </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0000"/>
              </a:solidFill>
              <a:latin typeface="Arial"/>
              <a:cs typeface="Arial"/>
            </a:rPr>
            <a:t>Enter a single gain in boxes 4 &amp; 5 (or 6 &amp; 7, or 8, 9, &amp; 10).</a:t>
          </a:r>
        </a:p>
        <a:p>
          <a:pPr algn="l" rtl="0">
            <a:defRPr sz="1000"/>
          </a:pPr>
          <a:r>
            <a:rPr lang="en-GB" sz="800" b="0" i="0" u="none" strike="noStrike" baseline="0">
              <a:solidFill>
                <a:srgbClr val="000000"/>
              </a:solidFill>
              <a:latin typeface="Arial"/>
              <a:cs typeface="Arial"/>
            </a:rPr>
            <a:t>When there is more than one  leave these boxes blank and click 'multiple gains'.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xdr:cNvSpPr>
          <a:spLocks noChangeShapeType="1"/>
        </xdr:cNvSpPr>
      </xdr:nvSpPr>
      <xdr:spPr bwMode="auto">
        <a:xfrm>
          <a:off x="1533525" y="382905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id="50177" name="Drop Down 1" descr="MCA Claim" hidden="1">
              <a:extLst>
                <a:ext uri="{63B3BB69-23CF-44E3-9099-C40C66FF867C}">
                  <a14:compatExt spid="_x0000_s50177"/>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1695450</xdr:colOff>
          <xdr:row>9</xdr:row>
          <xdr:rowOff>47625</xdr:rowOff>
        </xdr:to>
        <xdr:sp macro="" textlink="">
          <xdr:nvSpPr>
            <xdr:cNvPr id="50178" name="Drop Down 2" descr="Date of birth of older spouse" hidden="1">
              <a:extLst>
                <a:ext uri="{63B3BB69-23CF-44E3-9099-C40C66FF867C}">
                  <a14:compatExt spid="_x0000_s50178"/>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1695450</xdr:colOff>
          <xdr:row>13</xdr:row>
          <xdr:rowOff>57150</xdr:rowOff>
        </xdr:to>
        <xdr:sp macro="" textlink="">
          <xdr:nvSpPr>
            <xdr:cNvPr id="50179" name="Drop Down 3" descr="Amount allocated to lower income partner&#10;" hidden="1">
              <a:extLst>
                <a:ext uri="{63B3BB69-23CF-44E3-9099-C40C66FF867C}">
                  <a14:compatExt spid="_x0000_s50179"/>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57150</xdr:rowOff>
        </xdr:to>
        <xdr:sp macro="" textlink="">
          <xdr:nvSpPr>
            <xdr:cNvPr id="50180" name="Drop Down 4" descr="Number of months married&#10;" hidden="1">
              <a:extLst>
                <a:ext uri="{63B3BB69-23CF-44E3-9099-C40C66FF867C}">
                  <a14:compatExt spid="_x0000_s5018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15</xdr:col>
      <xdr:colOff>0</xdr:colOff>
      <xdr:row>10</xdr:row>
      <xdr:rowOff>9525</xdr:rowOff>
    </xdr:from>
    <xdr:to>
      <xdr:col>16</xdr:col>
      <xdr:colOff>428625</xdr:colOff>
      <xdr:row>12</xdr:row>
      <xdr:rowOff>38100</xdr:rowOff>
    </xdr:to>
    <xdr:sp macro="[0]!EMP_PTIME_TEACH_2_Click" textlink="">
      <xdr:nvSpPr>
        <xdr:cNvPr id="2057" name="Text Box 9"/>
        <xdr:cNvSpPr txBox="1">
          <a:spLocks noChangeArrowheads="1"/>
        </xdr:cNvSpPr>
      </xdr:nvSpPr>
      <xdr:spPr bwMode="auto">
        <a:xfrm>
          <a:off x="6610350" y="1343025"/>
          <a:ext cx="1304925" cy="3048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part-time teacher (2)</a:t>
          </a:r>
        </a:p>
      </xdr:txBody>
    </xdr:sp>
    <xdr:clientData/>
  </xdr:twoCellAnchor>
  <xdr:twoCellAnchor>
    <xdr:from>
      <xdr:col>7</xdr:col>
      <xdr:colOff>0</xdr:colOff>
      <xdr:row>10</xdr:row>
      <xdr:rowOff>9525</xdr:rowOff>
    </xdr:from>
    <xdr:to>
      <xdr:col>9</xdr:col>
      <xdr:colOff>0</xdr:colOff>
      <xdr:row>12</xdr:row>
      <xdr:rowOff>38100</xdr:rowOff>
    </xdr:to>
    <xdr:sp macro="[0]!EMP_PTIME_TEACH_1_Click" textlink="">
      <xdr:nvSpPr>
        <xdr:cNvPr id="2056" name="Text Box 8"/>
        <xdr:cNvSpPr txBox="1">
          <a:spLocks noChangeArrowheads="1"/>
        </xdr:cNvSpPr>
      </xdr:nvSpPr>
      <xdr:spPr bwMode="auto">
        <a:xfrm>
          <a:off x="2724150" y="1343025"/>
          <a:ext cx="1333500" cy="3048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part-time teacher (1)</a:t>
          </a:r>
        </a:p>
      </xdr:txBody>
    </xdr:sp>
    <xdr:clientData/>
  </xdr:twoCellAnchor>
  <mc:AlternateContent xmlns:mc="http://schemas.openxmlformats.org/markup-compatibility/2006">
    <mc:Choice xmlns:a14="http://schemas.microsoft.com/office/drawing/2010/main" Requires="a14">
      <xdr:twoCellAnchor editAs="oneCell">
        <xdr:from>
          <xdr:col>6</xdr:col>
          <xdr:colOff>247650</xdr:colOff>
          <xdr:row>10</xdr:row>
          <xdr:rowOff>114300</xdr:rowOff>
        </xdr:from>
        <xdr:to>
          <xdr:col>7</xdr:col>
          <xdr:colOff>209550</xdr:colOff>
          <xdr:row>12</xdr:row>
          <xdr:rowOff>66675</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10</xdr:row>
          <xdr:rowOff>114300</xdr:rowOff>
        </xdr:from>
        <xdr:to>
          <xdr:col>15</xdr:col>
          <xdr:colOff>180975</xdr:colOff>
          <xdr:row>12</xdr:row>
          <xdr:rowOff>57150</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285750</xdr:colOff>
          <xdr:row>35</xdr:row>
          <xdr:rowOff>19050</xdr:rowOff>
        </xdr:from>
        <xdr:to>
          <xdr:col>17</xdr:col>
          <xdr:colOff>1333500</xdr:colOff>
          <xdr:row>39</xdr:row>
          <xdr:rowOff>66675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95250</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0</xdr:colOff>
      <xdr:row>27</xdr:row>
      <xdr:rowOff>142875</xdr:rowOff>
    </xdr:from>
    <xdr:to>
      <xdr:col>8</xdr:col>
      <xdr:colOff>990600</xdr:colOff>
      <xdr:row>30</xdr:row>
      <xdr:rowOff>19050</xdr:rowOff>
    </xdr:to>
    <xdr:sp macro="[0]!FSE_NICX_Click" textlink="">
      <xdr:nvSpPr>
        <xdr:cNvPr id="7179" name="Text Box 11"/>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Excempt from paying Class 4 NIC </a:t>
          </a:r>
          <a:r>
            <a:rPr lang="en-GB" sz="800" b="0" i="0" u="none" strike="noStrike" baseline="0">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19050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16</xdr:row>
          <xdr:rowOff>95250</xdr:rowOff>
        </xdr:from>
        <xdr:to>
          <xdr:col>3</xdr:col>
          <xdr:colOff>238125</xdr:colOff>
          <xdr:row>18</xdr:row>
          <xdr:rowOff>9525</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95250</xdr:rowOff>
        </xdr:from>
        <xdr:to>
          <xdr:col>3</xdr:col>
          <xdr:colOff>228600</xdr:colOff>
          <xdr:row>15</xdr:row>
          <xdr:rowOff>9525</xdr:rowOff>
        </xdr:to>
        <xdr:sp macro="" textlink="">
          <xdr:nvSpPr>
            <xdr:cNvPr id="7173" name="Check Box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1619250</xdr:colOff>
          <xdr:row>35</xdr:row>
          <xdr:rowOff>0</xdr:rowOff>
        </xdr:from>
        <xdr:to>
          <xdr:col>9</xdr:col>
          <xdr:colOff>2219325</xdr:colOff>
          <xdr:row>39</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19050</xdr:rowOff>
        </xdr:to>
        <xdr:sp macro="" textlink="">
          <xdr:nvSpPr>
            <xdr:cNvPr id="2" name="Check Box 11" hidden="1">
              <a:extLst>
                <a:ext uri="{63B3BB69-23CF-44E3-9099-C40C66FF867C}">
                  <a14:compatExt spid="_x0000_s7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9524</xdr:colOff>
      <xdr:row>15</xdr:row>
      <xdr:rowOff>0</xdr:rowOff>
    </xdr:from>
    <xdr:to>
      <xdr:col>12</xdr:col>
      <xdr:colOff>981074</xdr:colOff>
      <xdr:row>16</xdr:row>
      <xdr:rowOff>133350</xdr:rowOff>
    </xdr:to>
    <xdr:sp macro="[0]!LUN_NICDEF_Click" textlink="">
      <xdr:nvSpPr>
        <xdr:cNvPr id="8196" name="Text Box 4"/>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ea typeface="+mn-ea"/>
              <a:cs typeface="Arial"/>
            </a:rPr>
            <a:t>Exempt from Class 4 NIC </a:t>
          </a:r>
          <a:r>
            <a:rPr lang="en-GB" sz="800" b="0" i="0" u="none" strike="noStrike" baseline="0">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133350</xdr:rowOff>
        </xdr:from>
        <xdr:to>
          <xdr:col>11</xdr:col>
          <xdr:colOff>266700</xdr:colOff>
          <xdr:row>17</xdr:row>
          <xdr:rowOff>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id="2"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22</xdr:row>
          <xdr:rowOff>28575</xdr:rowOff>
        </xdr:from>
        <xdr:to>
          <xdr:col>13</xdr:col>
          <xdr:colOff>295275</xdr:colOff>
          <xdr:row>26</xdr:row>
          <xdr:rowOff>104775</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10</xdr:col>
      <xdr:colOff>9525</xdr:colOff>
      <xdr:row>11</xdr:row>
      <xdr:rowOff>114300</xdr:rowOff>
    </xdr:from>
    <xdr:to>
      <xdr:col>11</xdr:col>
      <xdr:colOff>847725</xdr:colOff>
      <xdr:row>13</xdr:row>
      <xdr:rowOff>9525</xdr:rowOff>
    </xdr:to>
    <xdr:sp macro="[0]!FPS_NICX_Click" textlink="">
      <xdr:nvSpPr>
        <xdr:cNvPr id="9223" name="Text Box 7"/>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285750</xdr:colOff>
          <xdr:row>14</xdr:row>
          <xdr:rowOff>0</xdr:rowOff>
        </xdr:to>
        <xdr:sp macro="" textlink="">
          <xdr:nvSpPr>
            <xdr:cNvPr id="9219" name="Check Box 3"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18</xdr:row>
          <xdr:rowOff>114300</xdr:rowOff>
        </xdr:from>
        <xdr:to>
          <xdr:col>3</xdr:col>
          <xdr:colOff>257175</xdr:colOff>
          <xdr:row>20</xdr:row>
          <xdr:rowOff>9525</xdr:rowOff>
        </xdr:to>
        <xdr:sp macro="" textlink="">
          <xdr:nvSpPr>
            <xdr:cNvPr id="9220" name="Check Box 4" hidden="1">
              <a:extLst>
                <a:ext uri="{63B3BB69-23CF-44E3-9099-C40C66FF867C}">
                  <a14:compatExt spid="_x0000_s9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12</xdr:row>
          <xdr:rowOff>114300</xdr:rowOff>
        </xdr:from>
        <xdr:to>
          <xdr:col>7</xdr:col>
          <xdr:colOff>238125</xdr:colOff>
          <xdr:row>14</xdr:row>
          <xdr:rowOff>9525</xdr:rowOff>
        </xdr:to>
        <xdr:sp macro="" textlink="">
          <xdr:nvSpPr>
            <xdr:cNvPr id="2" name="Check Box 5" hidden="1">
              <a:extLst>
                <a:ext uri="{63B3BB69-23CF-44E3-9099-C40C66FF867C}">
                  <a14:compatExt spid="_x0000_s9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1390650</xdr:colOff>
          <xdr:row>14</xdr:row>
          <xdr:rowOff>66675</xdr:rowOff>
        </xdr:from>
        <xdr:to>
          <xdr:col>14</xdr:col>
          <xdr:colOff>933450</xdr:colOff>
          <xdr:row>18</xdr:row>
          <xdr:rowOff>123825</xdr:rowOff>
        </xdr:to>
        <xdr:sp macro="" textlink="">
          <xdr:nvSpPr>
            <xdr:cNvPr id="9222" name="Button 6"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32</xdr:row>
          <xdr:rowOff>19050</xdr:rowOff>
        </xdr:from>
        <xdr:to>
          <xdr:col>3</xdr:col>
          <xdr:colOff>504825</xdr:colOff>
          <xdr:row>33</xdr:row>
          <xdr:rowOff>57150</xdr:rowOff>
        </xdr:to>
        <xdr:sp macro="" textlink="">
          <xdr:nvSpPr>
            <xdr:cNvPr id="84993" name="Drop Down 1" hidden="1">
              <a:extLst>
                <a:ext uri="{63B3BB69-23CF-44E3-9099-C40C66FF867C}">
                  <a14:compatExt spid="_x0000_s8499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4</xdr:col>
      <xdr:colOff>485775</xdr:colOff>
      <xdr:row>22</xdr:row>
      <xdr:rowOff>85725</xdr:rowOff>
    </xdr:from>
    <xdr:to>
      <xdr:col>7</xdr:col>
      <xdr:colOff>332581</xdr:colOff>
      <xdr:row>24</xdr:row>
      <xdr:rowOff>59531</xdr:rowOff>
    </xdr:to>
    <xdr:sp macro="" textlink="">
      <xdr:nvSpPr>
        <xdr:cNvPr id="6" name="Text Box 77"/>
        <xdr:cNvSpPr txBox="1">
          <a:spLocks noChangeArrowheads="1"/>
        </xdr:cNvSpPr>
      </xdr:nvSpPr>
      <xdr:spPr bwMode="auto">
        <a:xfrm>
          <a:off x="3486150" y="3648075"/>
          <a:ext cx="2732881" cy="297656"/>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57150</xdr:colOff>
          <xdr:row>6</xdr:row>
          <xdr:rowOff>57150</xdr:rowOff>
        </xdr:from>
        <xdr:to>
          <xdr:col>8</xdr:col>
          <xdr:colOff>361950</xdr:colOff>
          <xdr:row>9</xdr:row>
          <xdr:rowOff>9525</xdr:rowOff>
        </xdr:to>
        <xdr:sp macro="" textlink="">
          <xdr:nvSpPr>
            <xdr:cNvPr id="23561" name="Button 9" hidden="1">
              <a:extLst>
                <a:ext uri="{63B3BB69-23CF-44E3-9099-C40C66FF867C}">
                  <a14:compatExt spid="_x0000_s23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Calculate Foreign Tax </a:t>
              </a:r>
            </a:p>
            <a:p>
              <a:pPr algn="ctr" rtl="0">
                <a:defRPr sz="1000"/>
              </a:pPr>
              <a:r>
                <a:rPr lang="en-GB" sz="1000" b="1" i="0" u="none" strike="noStrike" baseline="0">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xdr:cNvSpPr txBox="1">
          <a:spLocks noChangeArrowheads="1"/>
        </xdr:cNvSpPr>
      </xdr:nvSpPr>
      <xdr:spPr bwMode="auto">
        <a:xfrm>
          <a:off x="304800" y="247650"/>
          <a:ext cx="4019550" cy="60960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Foreign Tax Credit Relief on income</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8080"/>
              </a:solidFill>
              <a:latin typeface="Arial"/>
              <a:cs typeface="Arial"/>
            </a:rPr>
            <a:t>If Tax Credit Relief has already been calculated enter the result in box 2.</a:t>
          </a:r>
        </a:p>
        <a:p>
          <a:pPr algn="l" rtl="0">
            <a:defRPr sz="1000"/>
          </a:pPr>
          <a:r>
            <a:rPr lang="en-GB" sz="800" b="0" i="0" u="none" strike="noStrike" baseline="0">
              <a:solidFill>
                <a:srgbClr val="008080"/>
              </a:solidFill>
              <a:latin typeface="Arial"/>
              <a:cs typeface="Arial"/>
            </a:rPr>
            <a:t>Otherwise complete the remaining boxes, then click the 'Calculate Foreign Tax Credit Relief on income’ button to work out Tax Credit Relief on up to 10 items of income. </a:t>
          </a:r>
          <a:endParaRPr lang="en-GB" sz="800" b="0" i="0" u="none" strike="noStrike" baseline="0">
            <a:solidFill>
              <a:srgbClr val="000080"/>
            </a:solidFill>
            <a:latin typeface="Arial"/>
            <a:cs typeface="Arial"/>
          </a:endParaRPr>
        </a:p>
        <a:p>
          <a:pPr algn="l" rtl="0">
            <a:defRPr sz="1000"/>
          </a:pPr>
          <a:endParaRPr lang="en-GB" sz="800" b="0" i="0"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36</xdr:row>
          <xdr:rowOff>47625</xdr:rowOff>
        </xdr:from>
        <xdr:to>
          <xdr:col>16</xdr:col>
          <xdr:colOff>762000</xdr:colOff>
          <xdr:row>38</xdr:row>
          <xdr:rowOff>9525</xdr:rowOff>
        </xdr:to>
        <xdr:sp macro="" textlink="">
          <xdr:nvSpPr>
            <xdr:cNvPr id="23563" name="Button 11" hidden="1">
              <a:extLst>
                <a:ext uri="{63B3BB69-23CF-44E3-9099-C40C66FF867C}">
                  <a14:compatExt spid="_x0000_s2356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38100</xdr:colOff>
      <xdr:row>25</xdr:row>
      <xdr:rowOff>28575</xdr:rowOff>
    </xdr:from>
    <xdr:to>
      <xdr:col>16</xdr:col>
      <xdr:colOff>9525</xdr:colOff>
      <xdr:row>29</xdr:row>
      <xdr:rowOff>9525</xdr:rowOff>
    </xdr:to>
    <xdr:sp macro="" textlink="">
      <xdr:nvSpPr>
        <xdr:cNvPr id="23564" name="Text Box 12"/>
        <xdr:cNvSpPr txBox="1">
          <a:spLocks noChangeArrowheads="1"/>
        </xdr:cNvSpPr>
      </xdr:nvSpPr>
      <xdr:spPr bwMode="auto">
        <a:xfrm>
          <a:off x="4600575" y="3838575"/>
          <a:ext cx="3095625" cy="5905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Gains on foreign life policies</a:t>
          </a:r>
          <a:endParaRPr lang="en-GB" sz="900" b="0" i="0" u="none" strike="noStrike" baseline="0">
            <a:solidFill>
              <a:srgbClr val="000000"/>
            </a:solidFill>
            <a:latin typeface="Arial"/>
            <a:cs typeface="Arial"/>
          </a:endParaRPr>
        </a:p>
        <a:p>
          <a:pPr algn="l" rtl="0">
            <a:defRPr sz="1000"/>
          </a:pPr>
          <a:r>
            <a:rPr lang="en-GB" sz="900" b="1" i="0" u="none" strike="noStrike" baseline="0">
              <a:solidFill>
                <a:srgbClr val="008080"/>
              </a:solidFill>
              <a:latin typeface="Arial"/>
              <a:cs typeface="Arial"/>
            </a:rPr>
            <a:t>S</a:t>
          </a:r>
          <a:r>
            <a:rPr lang="en-GB" sz="800" b="1" i="0" u="none" strike="noStrike" baseline="0">
              <a:solidFill>
                <a:srgbClr val="008080"/>
              </a:solidFill>
              <a:latin typeface="Arial"/>
              <a:cs typeface="Arial"/>
            </a:rPr>
            <a:t>ingle gain</a:t>
          </a:r>
          <a:r>
            <a:rPr lang="en-GB" sz="800" b="0" i="0" u="none" strike="noStrike" baseline="0">
              <a:solidFill>
                <a:srgbClr val="008080"/>
              </a:solidFill>
              <a:latin typeface="Arial"/>
              <a:cs typeface="Arial"/>
            </a:rPr>
            <a:t>: enter in boxes 43, 44 and 45. </a:t>
          </a:r>
        </a:p>
        <a:p>
          <a:pPr algn="l" rtl="0">
            <a:defRPr sz="1000"/>
          </a:pPr>
          <a:r>
            <a:rPr lang="en-GB" sz="800" b="1" i="0" u="none" strike="noStrike" baseline="0">
              <a:solidFill>
                <a:srgbClr val="008080"/>
              </a:solidFill>
              <a:latin typeface="Arial"/>
              <a:cs typeface="Arial"/>
            </a:rPr>
            <a:t>Multiple gains</a:t>
          </a:r>
          <a:r>
            <a:rPr lang="en-GB" sz="800" b="0" i="0" u="none" strike="noStrike" baseline="0">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20</xdr:row>
      <xdr:rowOff>123825</xdr:rowOff>
    </xdr:from>
    <xdr:to>
      <xdr:col>5</xdr:col>
      <xdr:colOff>95250</xdr:colOff>
      <xdr:row>23</xdr:row>
      <xdr:rowOff>133350</xdr:rowOff>
    </xdr:to>
    <xdr:sp macro="[0]!FOR_SWISS_TAX_Click" textlink="">
      <xdr:nvSpPr>
        <xdr:cNvPr id="23566" name="Text Box 14"/>
        <xdr:cNvSpPr txBox="1">
          <a:spLocks noChangeArrowheads="1"/>
        </xdr:cNvSpPr>
      </xdr:nvSpPr>
      <xdr:spPr bwMode="auto">
        <a:xfrm>
          <a:off x="419100" y="2581275"/>
          <a:ext cx="1514475" cy="466725"/>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Arial"/>
              <a:cs typeface="Arial"/>
            </a:rPr>
            <a:t>Swiss Tax agreement.</a:t>
          </a:r>
        </a:p>
        <a:p>
          <a:pPr algn="l" rtl="0">
            <a:defRPr sz="1000"/>
          </a:pPr>
          <a:r>
            <a:rPr lang="en-GB" sz="800" b="0" i="0" u="none" strike="noStrike" baseline="0">
              <a:solidFill>
                <a:srgbClr val="000000"/>
              </a:solidFill>
              <a:latin typeface="Arial"/>
              <a:cs typeface="Arial"/>
            </a:rPr>
            <a:t>Where the tax paid covers</a:t>
          </a:r>
        </a:p>
        <a:p>
          <a:pPr algn="l" rtl="0">
            <a:defRPr sz="1000"/>
          </a:pPr>
          <a:r>
            <a:rPr lang="en-GB" sz="800" b="0" i="0" u="none" strike="noStrike" baseline="0">
              <a:solidFill>
                <a:srgbClr val="000000"/>
              </a:solidFill>
              <a:latin typeface="Arial"/>
              <a:cs typeface="Arial"/>
            </a:rPr>
            <a:t> UK tax liability on the income</a:t>
          </a:r>
          <a:endParaRPr lang="en-GB" sz="800" b="0" i="0" u="none" strike="noStrike" baseline="0">
            <a:solidFill>
              <a:srgbClr val="000080"/>
            </a:solidFill>
            <a:latin typeface="Arial"/>
            <a:cs typeface="Arial"/>
          </a:endParaRPr>
        </a:p>
        <a:p>
          <a:pPr algn="l" rtl="0">
            <a:defRPr sz="1000"/>
          </a:pPr>
          <a:endParaRPr lang="en-GB" sz="800" b="0" i="0"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20</xdr:row>
          <xdr:rowOff>123825</xdr:rowOff>
        </xdr:from>
        <xdr:to>
          <xdr:col>5</xdr:col>
          <xdr:colOff>171450</xdr:colOff>
          <xdr:row>22</xdr:row>
          <xdr:rowOff>85725</xdr:rowOff>
        </xdr:to>
        <xdr:sp macro="" textlink="">
          <xdr:nvSpPr>
            <xdr:cNvPr id="23567" name="Check Box 15" hidden="1">
              <a:extLst>
                <a:ext uri="{63B3BB69-23CF-44E3-9099-C40C66FF867C}">
                  <a14:compatExt spid="_x0000_s23567"/>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5</xdr:row>
          <xdr:rowOff>28575</xdr:rowOff>
        </xdr:from>
        <xdr:to>
          <xdr:col>12</xdr:col>
          <xdr:colOff>790575</xdr:colOff>
          <xdr:row>7</xdr:row>
          <xdr:rowOff>9525</xdr:rowOff>
        </xdr:to>
        <xdr:sp macro="" textlink="">
          <xdr:nvSpPr>
            <xdr:cNvPr id="24582" name="Button 6" hidden="1">
              <a:extLst>
                <a:ext uri="{63B3BB69-23CF-44E3-9099-C40C66FF867C}">
                  <a14:compatExt spid="_x0000_s24582"/>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0</xdr:rowOff>
        </xdr:from>
        <xdr:to>
          <xdr:col>3</xdr:col>
          <xdr:colOff>38100</xdr:colOff>
          <xdr:row>10</xdr:row>
          <xdr:rowOff>38100</xdr:rowOff>
        </xdr:to>
        <xdr:sp macro="" textlink="">
          <xdr:nvSpPr>
            <xdr:cNvPr id="24584" name="Drop Down 8" hidden="1">
              <a:extLst>
                <a:ext uri="{63B3BB69-23CF-44E3-9099-C40C66FF867C}">
                  <a14:compatExt spid="_x0000_s2458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28575</xdr:colOff>
          <xdr:row>14</xdr:row>
          <xdr:rowOff>38100</xdr:rowOff>
        </xdr:to>
        <xdr:sp macro="" textlink="">
          <xdr:nvSpPr>
            <xdr:cNvPr id="24585" name="Drop Down 9" hidden="1">
              <a:extLst>
                <a:ext uri="{63B3BB69-23CF-44E3-9099-C40C66FF867C}">
                  <a14:compatExt spid="_x0000_s2458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id="24586" name="Drop Down 10" hidden="1">
              <a:extLst>
                <a:ext uri="{63B3BB69-23CF-44E3-9099-C40C66FF867C}">
                  <a14:compatExt spid="_x0000_s2458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47625</xdr:colOff>
          <xdr:row>22</xdr:row>
          <xdr:rowOff>38100</xdr:rowOff>
        </xdr:to>
        <xdr:sp macro="" textlink="">
          <xdr:nvSpPr>
            <xdr:cNvPr id="24587" name="Drop Down 11" hidden="1">
              <a:extLst>
                <a:ext uri="{63B3BB69-23CF-44E3-9099-C40C66FF867C}">
                  <a14:compatExt spid="_x0000_s2458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133350</xdr:rowOff>
        </xdr:from>
        <xdr:to>
          <xdr:col>10</xdr:col>
          <xdr:colOff>628650</xdr:colOff>
          <xdr:row>10</xdr:row>
          <xdr:rowOff>9525</xdr:rowOff>
        </xdr:to>
        <xdr:sp macro="" textlink="">
          <xdr:nvSpPr>
            <xdr:cNvPr id="24589" name="Drop Down 13" hidden="1">
              <a:extLst>
                <a:ext uri="{63B3BB69-23CF-44E3-9099-C40C66FF867C}">
                  <a14:compatExt spid="_x0000_s2458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133350</xdr:rowOff>
        </xdr:from>
        <xdr:to>
          <xdr:col>10</xdr:col>
          <xdr:colOff>628650</xdr:colOff>
          <xdr:row>14</xdr:row>
          <xdr:rowOff>9525</xdr:rowOff>
        </xdr:to>
        <xdr:sp macro="" textlink="">
          <xdr:nvSpPr>
            <xdr:cNvPr id="24590" name="Drop Down 14" hidden="1">
              <a:extLst>
                <a:ext uri="{63B3BB69-23CF-44E3-9099-C40C66FF867C}">
                  <a14:compatExt spid="_x0000_s2459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id="24591" name="Drop Down 15" hidden="1">
              <a:extLst>
                <a:ext uri="{63B3BB69-23CF-44E3-9099-C40C66FF867C}">
                  <a14:compatExt spid="_x0000_s2459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628650</xdr:colOff>
          <xdr:row>22</xdr:row>
          <xdr:rowOff>19050</xdr:rowOff>
        </xdr:to>
        <xdr:sp macro="" textlink="">
          <xdr:nvSpPr>
            <xdr:cNvPr id="24592" name="Drop Down 16" hidden="1">
              <a:extLst>
                <a:ext uri="{63B3BB69-23CF-44E3-9099-C40C66FF867C}">
                  <a14:compatExt spid="_x0000_s2459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xdr:cNvSpPr txBox="1">
          <a:spLocks noChangeArrowheads="1"/>
        </xdr:cNvSpPr>
      </xdr:nvSpPr>
      <xdr:spPr bwMode="auto">
        <a:xfrm>
          <a:off x="10111317" y="158750"/>
          <a:ext cx="1533525" cy="4349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8080"/>
              </a:solidFill>
              <a:latin typeface="Arial"/>
              <a:cs typeface="Arial"/>
            </a:rPr>
            <a:t>Select the income type, enter the income from column B of the foreign pages,  and the tax from column C.</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For foreign dividends that qualify for UK tax credits select income type: 'dividends that qualify for UK tax credits'.</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For foreign dividends that do not qualify for UK tax credits (in FOR7)  select income type: 'dividends that do not qualify'.</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Press the 'Calculate FTCR and update box 2' button to calculate the FTCR due. </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25</xdr:row>
          <xdr:rowOff>0</xdr:rowOff>
        </xdr:from>
        <xdr:to>
          <xdr:col>3</xdr:col>
          <xdr:colOff>47625</xdr:colOff>
          <xdr:row>26</xdr:row>
          <xdr:rowOff>38100</xdr:rowOff>
        </xdr:to>
        <xdr:sp macro="" textlink="">
          <xdr:nvSpPr>
            <xdr:cNvPr id="24594" name="Drop Down 18" hidden="1">
              <a:extLst>
                <a:ext uri="{63B3BB69-23CF-44E3-9099-C40C66FF867C}">
                  <a14:compatExt spid="_x0000_s2459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133350</xdr:rowOff>
        </xdr:from>
        <xdr:to>
          <xdr:col>10</xdr:col>
          <xdr:colOff>628650</xdr:colOff>
          <xdr:row>26</xdr:row>
          <xdr:rowOff>9525</xdr:rowOff>
        </xdr:to>
        <xdr:sp macro="" textlink="">
          <xdr:nvSpPr>
            <xdr:cNvPr id="24595" name="Drop Down 19" hidden="1">
              <a:extLst>
                <a:ext uri="{63B3BB69-23CF-44E3-9099-C40C66FF867C}">
                  <a14:compatExt spid="_x0000_s2459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0</xdr:rowOff>
        </xdr:from>
        <xdr:to>
          <xdr:col>3</xdr:col>
          <xdr:colOff>47625</xdr:colOff>
          <xdr:row>30</xdr:row>
          <xdr:rowOff>38100</xdr:rowOff>
        </xdr:to>
        <xdr:sp macro="" textlink="">
          <xdr:nvSpPr>
            <xdr:cNvPr id="24596" name="Drop Down 20" hidden="1">
              <a:extLst>
                <a:ext uri="{63B3BB69-23CF-44E3-9099-C40C66FF867C}">
                  <a14:compatExt spid="_x0000_s2459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628650</xdr:colOff>
          <xdr:row>30</xdr:row>
          <xdr:rowOff>19050</xdr:rowOff>
        </xdr:to>
        <xdr:sp macro="" textlink="">
          <xdr:nvSpPr>
            <xdr:cNvPr id="24597" name="Drop Down 21" hidden="1">
              <a:extLst>
                <a:ext uri="{63B3BB69-23CF-44E3-9099-C40C66FF867C}">
                  <a14:compatExt spid="_x0000_s2459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33</xdr:row>
          <xdr:rowOff>0</xdr:rowOff>
        </xdr:from>
        <xdr:to>
          <xdr:col>3</xdr:col>
          <xdr:colOff>47625</xdr:colOff>
          <xdr:row>34</xdr:row>
          <xdr:rowOff>38100</xdr:rowOff>
        </xdr:to>
        <xdr:sp macro="" textlink="">
          <xdr:nvSpPr>
            <xdr:cNvPr id="24598" name="Drop Down 22" hidden="1">
              <a:extLst>
                <a:ext uri="{63B3BB69-23CF-44E3-9099-C40C66FF867C}">
                  <a14:compatExt spid="_x0000_s2459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628650</xdr:colOff>
          <xdr:row>34</xdr:row>
          <xdr:rowOff>19050</xdr:rowOff>
        </xdr:to>
        <xdr:sp macro="" textlink="">
          <xdr:nvSpPr>
            <xdr:cNvPr id="24599" name="Drop Down 23" hidden="1">
              <a:extLst>
                <a:ext uri="{63B3BB69-23CF-44E3-9099-C40C66FF867C}">
                  <a14:compatExt spid="_x0000_s2459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37</xdr:row>
          <xdr:rowOff>0</xdr:rowOff>
        </xdr:from>
        <xdr:to>
          <xdr:col>3</xdr:col>
          <xdr:colOff>47625</xdr:colOff>
          <xdr:row>38</xdr:row>
          <xdr:rowOff>38100</xdr:rowOff>
        </xdr:to>
        <xdr:sp macro="" textlink="">
          <xdr:nvSpPr>
            <xdr:cNvPr id="24600" name="Drop Down 24" hidden="1">
              <a:extLst>
                <a:ext uri="{63B3BB69-23CF-44E3-9099-C40C66FF867C}">
                  <a14:compatExt spid="_x0000_s246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628650</xdr:colOff>
          <xdr:row>38</xdr:row>
          <xdr:rowOff>19050</xdr:rowOff>
        </xdr:to>
        <xdr:sp macro="" textlink="">
          <xdr:nvSpPr>
            <xdr:cNvPr id="24601" name="Drop Down 25" hidden="1">
              <a:extLst>
                <a:ext uri="{63B3BB69-23CF-44E3-9099-C40C66FF867C}">
                  <a14:compatExt spid="_x0000_s2460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41</xdr:row>
          <xdr:rowOff>0</xdr:rowOff>
        </xdr:from>
        <xdr:to>
          <xdr:col>3</xdr:col>
          <xdr:colOff>47625</xdr:colOff>
          <xdr:row>42</xdr:row>
          <xdr:rowOff>38100</xdr:rowOff>
        </xdr:to>
        <xdr:sp macro="" textlink="">
          <xdr:nvSpPr>
            <xdr:cNvPr id="24618" name="Drop Down 42" hidden="1">
              <a:extLst>
                <a:ext uri="{63B3BB69-23CF-44E3-9099-C40C66FF867C}">
                  <a14:compatExt spid="_x0000_s2461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133350</xdr:rowOff>
        </xdr:from>
        <xdr:to>
          <xdr:col>10</xdr:col>
          <xdr:colOff>628650</xdr:colOff>
          <xdr:row>42</xdr:row>
          <xdr:rowOff>9525</xdr:rowOff>
        </xdr:to>
        <xdr:sp macro="" textlink="">
          <xdr:nvSpPr>
            <xdr:cNvPr id="24619" name="Drop Down 43" hidden="1">
              <a:extLst>
                <a:ext uri="{63B3BB69-23CF-44E3-9099-C40C66FF867C}">
                  <a14:compatExt spid="_x0000_s2461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45</xdr:row>
          <xdr:rowOff>0</xdr:rowOff>
        </xdr:from>
        <xdr:to>
          <xdr:col>3</xdr:col>
          <xdr:colOff>47625</xdr:colOff>
          <xdr:row>46</xdr:row>
          <xdr:rowOff>38100</xdr:rowOff>
        </xdr:to>
        <xdr:sp macro="" textlink="">
          <xdr:nvSpPr>
            <xdr:cNvPr id="24620" name="Drop Down 44" hidden="1">
              <a:extLst>
                <a:ext uri="{63B3BB69-23CF-44E3-9099-C40C66FF867C}">
                  <a14:compatExt spid="_x0000_s2462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628650</xdr:colOff>
          <xdr:row>46</xdr:row>
          <xdr:rowOff>19050</xdr:rowOff>
        </xdr:to>
        <xdr:sp macro="" textlink="">
          <xdr:nvSpPr>
            <xdr:cNvPr id="24621" name="Drop Down 45" hidden="1">
              <a:extLst>
                <a:ext uri="{63B3BB69-23CF-44E3-9099-C40C66FF867C}">
                  <a14:compatExt spid="_x0000_s2462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19</xdr:row>
          <xdr:rowOff>133350</xdr:rowOff>
        </xdr:from>
        <xdr:to>
          <xdr:col>7</xdr:col>
          <xdr:colOff>0</xdr:colOff>
          <xdr:row>22</xdr:row>
          <xdr:rowOff>28575</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1" i="0" u="none" strike="noStrike" baseline="0">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8</xdr:col>
      <xdr:colOff>19050</xdr:colOff>
      <xdr:row>12</xdr:row>
      <xdr:rowOff>142875</xdr:rowOff>
    </xdr:from>
    <xdr:to>
      <xdr:col>10</xdr:col>
      <xdr:colOff>219075</xdr:colOff>
      <xdr:row>14</xdr:row>
      <xdr:rowOff>19050</xdr:rowOff>
    </xdr:to>
    <xdr:sp macro="[0]!NRD_RB_OVER_7YEARS_Click" textlink="">
      <xdr:nvSpPr>
        <xdr:cNvPr id="3093" name="Text Box 21"/>
        <xdr:cNvSpPr txBox="1">
          <a:spLocks noChangeArrowheads="1"/>
        </xdr:cNvSpPr>
      </xdr:nvSpPr>
      <xdr:spPr bwMode="auto">
        <a:xfrm>
          <a:off x="4095750" y="2085975"/>
          <a:ext cx="2324100" cy="2000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xdr:cNvSpPr txBox="1">
          <a:spLocks noChangeArrowheads="1"/>
        </xdr:cNvSpPr>
      </xdr:nvSpPr>
      <xdr:spPr bwMode="auto">
        <a:xfrm>
          <a:off x="4095749" y="1609725"/>
          <a:ext cx="2276475" cy="2000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UK resident for 17 of the past 20 years</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104775</xdr:rowOff>
        </xdr:from>
        <xdr:to>
          <xdr:col>3</xdr:col>
          <xdr:colOff>238125</xdr:colOff>
          <xdr:row>6</xdr:row>
          <xdr:rowOff>0</xdr:rowOff>
        </xdr:to>
        <xdr:sp macro="" textlink="">
          <xdr:nvSpPr>
            <xdr:cNvPr id="3075" name="Check Box 3" hidden="1">
              <a:extLst>
                <a:ext uri="{63B3BB69-23CF-44E3-9099-C40C66FF867C}">
                  <a14:compatExt spid="_x0000_s3075"/>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8</xdr:row>
          <xdr:rowOff>114300</xdr:rowOff>
        </xdr:from>
        <xdr:to>
          <xdr:col>3</xdr:col>
          <xdr:colOff>238125</xdr:colOff>
          <xdr:row>10</xdr:row>
          <xdr:rowOff>9525</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11</xdr:row>
          <xdr:rowOff>114300</xdr:rowOff>
        </xdr:from>
        <xdr:to>
          <xdr:col>3</xdr:col>
          <xdr:colOff>238125</xdr:colOff>
          <xdr:row>13</xdr:row>
          <xdr:rowOff>9525</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id="3080" name="Check Box 8" hidden="1">
              <a:extLst>
                <a:ext uri="{63B3BB69-23CF-44E3-9099-C40C66FF867C}">
                  <a14:compatExt spid="_x0000_s308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id="3082" name="Check Box 10" hidden="1">
              <a:extLst>
                <a:ext uri="{63B3BB69-23CF-44E3-9099-C40C66FF867C}">
                  <a14:compatExt spid="_x0000_s3082"/>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id="3083" name="Check Box 11" hidden="1">
              <a:extLst>
                <a:ext uri="{63B3BB69-23CF-44E3-9099-C40C66FF867C}">
                  <a14:compatExt spid="_x0000_s3083"/>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id="3084" name="Check Box 12" hidden="1">
              <a:extLst>
                <a:ext uri="{63B3BB69-23CF-44E3-9099-C40C66FF867C}">
                  <a14:compatExt spid="_x0000_s3084"/>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id="3087" name="Check Box 15" hidden="1">
              <a:extLst>
                <a:ext uri="{63B3BB69-23CF-44E3-9099-C40C66FF867C}">
                  <a14:compatExt spid="_x0000_s3087"/>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Age under 18</a:t>
          </a:r>
        </a:p>
      </xdr:txBody>
    </xdr:sp>
    <xdr:clientData/>
  </xdr:twoCellAnchor>
  <xdr:twoCellAnchor>
    <xdr:from>
      <xdr:col>8</xdr:col>
      <xdr:colOff>19050</xdr:colOff>
      <xdr:row>15</xdr:row>
      <xdr:rowOff>152400</xdr:rowOff>
    </xdr:from>
    <xdr:to>
      <xdr:col>10</xdr:col>
      <xdr:colOff>219075</xdr:colOff>
      <xdr:row>17</xdr:row>
      <xdr:rowOff>28575</xdr:rowOff>
    </xdr:to>
    <xdr:sp macro="[0]!NRD_RB_OVER_7YEARS_Click" textlink="">
      <xdr:nvSpPr>
        <xdr:cNvPr id="21" name="Text Box 21"/>
        <xdr:cNvSpPr txBox="1">
          <a:spLocks noChangeArrowheads="1"/>
        </xdr:cNvSpPr>
      </xdr:nvSpPr>
      <xdr:spPr bwMode="auto">
        <a:xfrm>
          <a:off x="4095750" y="2581275"/>
          <a:ext cx="2324100" cy="2000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id="3194" name="Check Box 122" hidden="1">
              <a:extLst>
                <a:ext uri="{63B3BB69-23CF-44E3-9099-C40C66FF867C}">
                  <a14:compatExt spid="_x0000_s3194"/>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647700</xdr:colOff>
      <xdr:row>0</xdr:row>
      <xdr:rowOff>400050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4</xdr:col>
      <xdr:colOff>720725</xdr:colOff>
      <xdr:row>0</xdr:row>
      <xdr:rowOff>400050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CAF2\PTCPP-SAP-MAIN\SA%20P&amp;P\Tax%20Calculation\2015-2016\'TAXCALC_MAIN_2015_2016_v7.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s\CAF2\PTCPP-SAP-MAIN\SA%20P&amp;P\Returns\SA%20Returns%20(16-17)\JAR\HMRC-MTR-2017-v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CAF2\PTCPP-SAP-MAIN\SA%20P&amp;P\Tax%20Calculation\2015-2016\MTR_Tester_2016_E2-0_NOT_ISSU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CAF2\PTCPP-SAP-MAIN\SA%20P&amp;P\Tax%20Calculation\2016-2017\MTR_Tester_2017_V10.1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CAF2\PTCPP-SAP-MAIN\SA%20P&amp;P\Tax%20Calculation\2016-2017\MTR_Tester_2017_V10.17.5%20test.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s\CAF2\PTCPP-SAP-MAIN\SA%20P&amp;P\Tax%20Calculation\2016-2017\MTR_Tester_2017_V1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s log"/>
      <sheetName val="Read me"/>
      <sheetName val="target"/>
      <sheetName val="Add pages"/>
      <sheetName val="SA302"/>
      <sheetName val="Taxable Income"/>
      <sheetName val="Income types"/>
      <sheetName val="CRC"/>
      <sheetName val="Swiss Tax Credit"/>
      <sheetName val="Liability"/>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NI"/>
      <sheetName val="PRO"/>
      <sheetName val="FOR"/>
      <sheetName val="Swiss Tax"/>
      <sheetName val="FTCR"/>
      <sheetName val="Multi-foreign-gains"/>
      <sheetName val="TRU"/>
      <sheetName val="CGT"/>
      <sheetName val="NRD"/>
      <sheetName val="CAL"/>
      <sheetName val="SA302_template"/>
      <sheetName val="SA302_template (W)"/>
      <sheetName val="IRCX_template"/>
      <sheetName val="TCRWS"/>
      <sheetName val="FTCR_Calc"/>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Losses Cap (c20)"/>
      <sheetName val="RBC &amp; Cap (C20a)"/>
      <sheetName val="Notional (c21c24)"/>
      <sheetName val="Pensions (c25c26)"/>
      <sheetName val="S loans(c27)"/>
      <sheetName val="CBC(c28)"/>
      <sheetName val="non-res (c91)"/>
      <sheetName val="c99"/>
      <sheetName val="Swiss (SW)"/>
    </sheetNames>
    <sheetDataSet>
      <sheetData sheetId="0">
        <row r="41">
          <cell r="E41">
            <v>0.05</v>
          </cell>
        </row>
        <row r="42">
          <cell r="E42">
            <v>0.12</v>
          </cell>
          <cell r="I42">
            <v>1.1111111111111101</v>
          </cell>
          <cell r="J42" t="str">
            <v>100/90</v>
          </cell>
        </row>
        <row r="43">
          <cell r="E43">
            <v>0.09</v>
          </cell>
          <cell r="I43">
            <v>1.25</v>
          </cell>
          <cell r="J43" t="str">
            <v>100/80</v>
          </cell>
        </row>
        <row r="44">
          <cell r="E44">
            <v>0.02</v>
          </cell>
          <cell r="I44">
            <v>1.25</v>
          </cell>
          <cell r="J44" t="str">
            <v>100/80</v>
          </cell>
        </row>
        <row r="46">
          <cell r="E46">
            <v>0</v>
          </cell>
        </row>
        <row r="47">
          <cell r="E47">
            <v>0.1</v>
          </cell>
          <cell r="I47">
            <v>1.2820512820512822</v>
          </cell>
          <cell r="J47" t="str">
            <v>100/78</v>
          </cell>
        </row>
        <row r="48">
          <cell r="E48">
            <v>0.2</v>
          </cell>
          <cell r="I48">
            <v>1.8181818181818181</v>
          </cell>
          <cell r="J48" t="str">
            <v>100/55</v>
          </cell>
        </row>
        <row r="49">
          <cell r="E49">
            <v>0.3</v>
          </cell>
          <cell r="I49">
            <v>1.6</v>
          </cell>
          <cell r="J49" t="str">
            <v>100/62.5</v>
          </cell>
        </row>
        <row r="50">
          <cell r="E50">
            <v>0.1</v>
          </cell>
          <cell r="I50">
            <v>1.25</v>
          </cell>
          <cell r="J50" t="str">
            <v>100/80</v>
          </cell>
        </row>
        <row r="51">
          <cell r="E51">
            <v>0.32500000000000001</v>
          </cell>
        </row>
        <row r="52">
          <cell r="E52">
            <v>0.375</v>
          </cell>
        </row>
        <row r="53">
          <cell r="E53">
            <v>0.4</v>
          </cell>
        </row>
        <row r="54">
          <cell r="E54">
            <v>0.45</v>
          </cell>
        </row>
        <row r="55">
          <cell r="E55">
            <v>0.3</v>
          </cell>
        </row>
        <row r="56">
          <cell r="E56">
            <v>0.22</v>
          </cell>
        </row>
        <row r="57">
          <cell r="E57">
            <v>0.5</v>
          </cell>
        </row>
        <row r="58">
          <cell r="E58">
            <v>0.3</v>
          </cell>
        </row>
        <row r="59">
          <cell r="E59">
            <v>0.1</v>
          </cell>
        </row>
        <row r="60">
          <cell r="E60">
            <v>0.18</v>
          </cell>
        </row>
        <row r="61">
          <cell r="E61">
            <v>0.28000000000000003</v>
          </cell>
        </row>
        <row r="63">
          <cell r="E63">
            <v>5000</v>
          </cell>
        </row>
        <row r="64">
          <cell r="E64">
            <v>26785</v>
          </cell>
        </row>
        <row r="65">
          <cell r="E65">
            <v>31785</v>
          </cell>
        </row>
        <row r="66">
          <cell r="E66">
            <v>31785</v>
          </cell>
        </row>
        <row r="67">
          <cell r="E67">
            <v>118215</v>
          </cell>
        </row>
        <row r="68">
          <cell r="E68">
            <v>150000</v>
          </cell>
        </row>
        <row r="69">
          <cell r="E69">
            <v>2.8</v>
          </cell>
        </row>
        <row r="70">
          <cell r="E70">
            <v>148.4</v>
          </cell>
        </row>
        <row r="71">
          <cell r="E71">
            <v>3.45</v>
          </cell>
        </row>
        <row r="73">
          <cell r="E73">
            <v>5965</v>
          </cell>
        </row>
        <row r="74">
          <cell r="E74">
            <v>3089.25</v>
          </cell>
        </row>
        <row r="75">
          <cell r="E75">
            <v>42385</v>
          </cell>
        </row>
        <row r="76">
          <cell r="E76">
            <v>8060</v>
          </cell>
        </row>
        <row r="77">
          <cell r="E77">
            <v>34325</v>
          </cell>
        </row>
        <row r="79">
          <cell r="E79">
            <v>2000</v>
          </cell>
        </row>
        <row r="82">
          <cell r="E82">
            <v>1000</v>
          </cell>
        </row>
        <row r="83">
          <cell r="E83">
            <v>30000</v>
          </cell>
        </row>
        <row r="84">
          <cell r="E84">
            <v>60000</v>
          </cell>
        </row>
        <row r="85">
          <cell r="E85">
            <v>90000</v>
          </cell>
        </row>
        <row r="87">
          <cell r="E87">
            <v>3000</v>
          </cell>
        </row>
        <row r="88">
          <cell r="E88">
            <v>50000</v>
          </cell>
        </row>
        <row r="89">
          <cell r="E89">
            <v>0.01</v>
          </cell>
        </row>
        <row r="92">
          <cell r="E92">
            <v>10600</v>
          </cell>
        </row>
        <row r="95">
          <cell r="E95">
            <v>27700</v>
          </cell>
        </row>
        <row r="96">
          <cell r="E96">
            <v>100000</v>
          </cell>
        </row>
        <row r="97">
          <cell r="E97">
            <v>0.5</v>
          </cell>
        </row>
        <row r="98">
          <cell r="E98">
            <v>1060</v>
          </cell>
        </row>
        <row r="99">
          <cell r="E99">
            <v>3220</v>
          </cell>
        </row>
        <row r="100">
          <cell r="E100">
            <v>1610</v>
          </cell>
        </row>
        <row r="101">
          <cell r="E101">
            <v>8355</v>
          </cell>
        </row>
        <row r="102">
          <cell r="E102">
            <v>2290</v>
          </cell>
        </row>
        <row r="103">
          <cell r="E103">
            <v>3220</v>
          </cell>
        </row>
        <row r="104">
          <cell r="E104">
            <v>11100</v>
          </cell>
        </row>
        <row r="105">
          <cell r="E105">
            <v>50000</v>
          </cell>
        </row>
        <row r="106">
          <cell r="E106">
            <v>0.25</v>
          </cell>
        </row>
        <row r="111">
          <cell r="E111">
            <v>1935</v>
          </cell>
        </row>
        <row r="112">
          <cell r="E112" t="str">
            <v>2015</v>
          </cell>
          <cell r="H112" t="str">
            <v>26 April 2016</v>
          </cell>
        </row>
        <row r="113">
          <cell r="E113" t="str">
            <v>2016</v>
          </cell>
        </row>
        <row r="114">
          <cell r="E114" t="str">
            <v>2017</v>
          </cell>
        </row>
        <row r="116">
          <cell r="E116" t="str">
            <v>2015-16</v>
          </cell>
        </row>
        <row r="117">
          <cell r="E117" t="str">
            <v>2016-17</v>
          </cell>
        </row>
        <row r="118">
          <cell r="E118" t="str">
            <v>2014-15</v>
          </cell>
        </row>
        <row r="121">
          <cell r="E121">
            <v>0.55000000000000004</v>
          </cell>
        </row>
        <row r="122">
          <cell r="E122">
            <v>0.25</v>
          </cell>
        </row>
        <row r="123">
          <cell r="E123">
            <v>40000</v>
          </cell>
        </row>
        <row r="124">
          <cell r="E124">
            <v>10000</v>
          </cell>
        </row>
        <row r="126">
          <cell r="E126">
            <v>0.4</v>
          </cell>
          <cell r="H126" t="str">
            <v>26 Ebrill 2016</v>
          </cell>
        </row>
        <row r="127">
          <cell r="E127">
            <v>0.55000000000000004</v>
          </cell>
        </row>
        <row r="128">
          <cell r="E128">
            <v>0.2</v>
          </cell>
        </row>
        <row r="129">
          <cell r="E129">
            <v>20000</v>
          </cell>
        </row>
        <row r="130">
          <cell r="E130">
            <v>0.5</v>
          </cell>
        </row>
        <row r="131">
          <cell r="E131">
            <v>0.45</v>
          </cell>
        </row>
        <row r="136">
          <cell r="D136" t="b">
            <v>0</v>
          </cell>
        </row>
        <row r="137">
          <cell r="G137" t="b">
            <v>0</v>
          </cell>
        </row>
        <row r="142">
          <cell r="D142" t="b">
            <v>1</v>
          </cell>
        </row>
        <row r="143">
          <cell r="D143" t="b">
            <v>0</v>
          </cell>
        </row>
        <row r="144">
          <cell r="D144" t="b">
            <v>0</v>
          </cell>
        </row>
        <row r="147">
          <cell r="D147" t="b">
            <v>0</v>
          </cell>
        </row>
        <row r="148">
          <cell r="D148" t="b">
            <v>0</v>
          </cell>
        </row>
        <row r="150">
          <cell r="D150">
            <v>2</v>
          </cell>
        </row>
        <row r="152">
          <cell r="D152">
            <v>0</v>
          </cell>
        </row>
        <row r="168">
          <cell r="D168" t="b">
            <v>0</v>
          </cell>
        </row>
        <row r="169">
          <cell r="D169" t="b">
            <v>0</v>
          </cell>
        </row>
        <row r="171">
          <cell r="D171" t="str">
            <v>FALSE</v>
          </cell>
        </row>
        <row r="172">
          <cell r="D172" t="str">
            <v>FALSE</v>
          </cell>
        </row>
      </sheetData>
      <sheetData sheetId="1" refreshError="1"/>
      <sheetData sheetId="2" refreshError="1"/>
      <sheetData sheetId="3">
        <row r="49">
          <cell r="A49">
            <v>1</v>
          </cell>
        </row>
        <row r="53">
          <cell r="A53">
            <v>1</v>
          </cell>
        </row>
        <row r="57">
          <cell r="A57">
            <v>1</v>
          </cell>
        </row>
        <row r="61">
          <cell r="A61">
            <v>1</v>
          </cell>
        </row>
        <row r="65">
          <cell r="A65">
            <v>1</v>
          </cell>
        </row>
        <row r="69">
          <cell r="A69">
            <v>1</v>
          </cell>
        </row>
        <row r="73">
          <cell r="A73">
            <v>1</v>
          </cell>
        </row>
        <row r="77">
          <cell r="A77">
            <v>1</v>
          </cell>
        </row>
        <row r="81">
          <cell r="A81">
            <v>1</v>
          </cell>
        </row>
        <row r="109">
          <cell r="A109">
            <v>1</v>
          </cell>
        </row>
        <row r="113">
          <cell r="A113">
            <v>1</v>
          </cell>
        </row>
        <row r="117">
          <cell r="A117">
            <v>1</v>
          </cell>
        </row>
        <row r="121">
          <cell r="A121">
            <v>1</v>
          </cell>
        </row>
        <row r="125">
          <cell r="A125">
            <v>1</v>
          </cell>
        </row>
        <row r="129">
          <cell r="A129">
            <v>1</v>
          </cell>
        </row>
        <row r="133">
          <cell r="A133">
            <v>1</v>
          </cell>
        </row>
        <row r="137">
          <cell r="A137">
            <v>1</v>
          </cell>
        </row>
        <row r="141">
          <cell r="A141">
            <v>1</v>
          </cell>
        </row>
        <row r="145">
          <cell r="A145">
            <v>1</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ow r="1">
          <cell r="A1" t="str">
            <v>YPD</v>
          </cell>
        </row>
        <row r="5">
          <cell r="G5">
            <v>4</v>
          </cell>
        </row>
        <row r="11">
          <cell r="A11" t="str">
            <v>INC</v>
          </cell>
        </row>
      </sheetData>
      <sheetData sheetId="13" refreshError="1"/>
      <sheetData sheetId="14">
        <row r="2">
          <cell r="A2" t="str">
            <v>REL</v>
          </cell>
        </row>
      </sheetData>
      <sheetData sheetId="15">
        <row r="5">
          <cell r="N5" t="b">
            <v>0</v>
          </cell>
        </row>
        <row r="7">
          <cell r="A7" t="str">
            <v>SLR</v>
          </cell>
        </row>
        <row r="12">
          <cell r="N12" t="b">
            <v>0</v>
          </cell>
        </row>
        <row r="15">
          <cell r="A15" t="str">
            <v>FIN</v>
          </cell>
        </row>
        <row r="26">
          <cell r="N26" t="b">
            <v>0</v>
          </cell>
        </row>
        <row r="30">
          <cell r="N30" t="b">
            <v>0</v>
          </cell>
        </row>
        <row r="31">
          <cell r="N31" t="b">
            <v>0</v>
          </cell>
        </row>
      </sheetData>
      <sheetData sheetId="16">
        <row r="1">
          <cell r="A1" t="str">
            <v>AOI</v>
          </cell>
        </row>
      </sheetData>
      <sheetData sheetId="17">
        <row r="20">
          <cell r="Q20" t="b">
            <v>0</v>
          </cell>
        </row>
      </sheetData>
      <sheetData sheetId="18">
        <row r="1">
          <cell r="A1" t="str">
            <v>ASE</v>
          </cell>
        </row>
      </sheetData>
      <sheetData sheetId="19">
        <row r="1">
          <cell r="A1" t="str">
            <v>AOR</v>
          </cell>
        </row>
      </sheetData>
      <sheetData sheetId="20">
        <row r="5">
          <cell r="F5">
            <v>1</v>
          </cell>
        </row>
        <row r="9">
          <cell r="F9">
            <v>2</v>
          </cell>
        </row>
        <row r="17">
          <cell r="F17">
            <v>1</v>
          </cell>
        </row>
      </sheetData>
      <sheetData sheetId="21">
        <row r="1">
          <cell r="A1" t="str">
            <v>AIL</v>
          </cell>
        </row>
      </sheetData>
      <sheetData sheetId="22">
        <row r="1">
          <cell r="A1" t="str">
            <v>EMP</v>
          </cell>
        </row>
      </sheetData>
      <sheetData sheetId="23">
        <row r="1">
          <cell r="A1" t="str">
            <v>MOR</v>
          </cell>
        </row>
      </sheetData>
      <sheetData sheetId="24">
        <row r="1">
          <cell r="A1" t="str">
            <v>SSE</v>
          </cell>
        </row>
        <row r="9">
          <cell r="A9" t="str">
            <v>FSE</v>
          </cell>
        </row>
      </sheetData>
      <sheetData sheetId="25">
        <row r="1">
          <cell r="A1" t="str">
            <v>LUN</v>
          </cell>
        </row>
      </sheetData>
      <sheetData sheetId="26">
        <row r="1">
          <cell r="A1" t="str">
            <v>SPS</v>
          </cell>
        </row>
        <row r="16">
          <cell r="A16" t="str">
            <v>FPS</v>
          </cell>
        </row>
      </sheetData>
      <sheetData sheetId="27" refreshError="1"/>
      <sheetData sheetId="28">
        <row r="1">
          <cell r="A1" t="str">
            <v>PRO</v>
          </cell>
        </row>
      </sheetData>
      <sheetData sheetId="29">
        <row r="1">
          <cell r="A1" t="str">
            <v>FOR</v>
          </cell>
        </row>
      </sheetData>
      <sheetData sheetId="30" refreshError="1"/>
      <sheetData sheetId="31">
        <row r="11">
          <cell r="R11">
            <v>1</v>
          </cell>
        </row>
        <row r="12">
          <cell r="R12">
            <v>1</v>
          </cell>
        </row>
        <row r="13">
          <cell r="R13">
            <v>1</v>
          </cell>
        </row>
        <row r="14">
          <cell r="R14">
            <v>1</v>
          </cell>
        </row>
        <row r="15">
          <cell r="R15">
            <v>1</v>
          </cell>
        </row>
        <row r="16">
          <cell r="R16">
            <v>1</v>
          </cell>
        </row>
        <row r="17">
          <cell r="R17">
            <v>1</v>
          </cell>
        </row>
        <row r="18">
          <cell r="R18">
            <v>1</v>
          </cell>
        </row>
        <row r="19">
          <cell r="R19">
            <v>1</v>
          </cell>
        </row>
        <row r="20">
          <cell r="R20">
            <v>1</v>
          </cell>
        </row>
      </sheetData>
      <sheetData sheetId="32">
        <row r="16">
          <cell r="O16">
            <v>0</v>
          </cell>
        </row>
      </sheetData>
      <sheetData sheetId="33">
        <row r="1">
          <cell r="A1" t="str">
            <v>TRU</v>
          </cell>
        </row>
      </sheetData>
      <sheetData sheetId="34">
        <row r="1">
          <cell r="A1" t="str">
            <v>CGT</v>
          </cell>
        </row>
      </sheetData>
      <sheetData sheetId="35">
        <row r="1">
          <cell r="A1" t="str">
            <v>NRD</v>
          </cell>
        </row>
        <row r="4">
          <cell r="Q4" t="b">
            <v>0</v>
          </cell>
        </row>
        <row r="5">
          <cell r="Q5" t="b">
            <v>1</v>
          </cell>
        </row>
        <row r="6">
          <cell r="Q6" t="b">
            <v>0</v>
          </cell>
        </row>
        <row r="7">
          <cell r="Q7" t="b">
            <v>1</v>
          </cell>
        </row>
        <row r="8">
          <cell r="Q8" t="b">
            <v>0</v>
          </cell>
        </row>
        <row r="9">
          <cell r="Q9" t="b">
            <v>0</v>
          </cell>
        </row>
        <row r="10">
          <cell r="Q10" t="b">
            <v>0</v>
          </cell>
        </row>
        <row r="11">
          <cell r="Q11" t="b">
            <v>0</v>
          </cell>
        </row>
        <row r="12">
          <cell r="Q12" t="b">
            <v>0</v>
          </cell>
        </row>
        <row r="13">
          <cell r="Q13" t="b">
            <v>0</v>
          </cell>
        </row>
        <row r="14">
          <cell r="Q14" t="b">
            <v>0</v>
          </cell>
        </row>
        <row r="15">
          <cell r="Q15" t="b">
            <v>0</v>
          </cell>
        </row>
        <row r="16">
          <cell r="Q16" t="b">
            <v>1</v>
          </cell>
        </row>
        <row r="17">
          <cell r="Q17" t="b">
            <v>0</v>
          </cell>
        </row>
      </sheetData>
      <sheetData sheetId="36">
        <row r="1">
          <cell r="A1" t="str">
            <v>CAL</v>
          </cell>
        </row>
        <row r="15">
          <cell r="K15" t="b">
            <v>0</v>
          </cell>
        </row>
      </sheetData>
      <sheetData sheetId="37" refreshError="1"/>
      <sheetData sheetId="38" refreshError="1"/>
      <sheetData sheetId="39">
        <row r="2">
          <cell r="D2">
            <v>0</v>
          </cell>
          <cell r="I2">
            <v>0</v>
          </cell>
        </row>
        <row r="3">
          <cell r="D3">
            <v>0</v>
          </cell>
          <cell r="I3">
            <v>0</v>
          </cell>
        </row>
        <row r="4">
          <cell r="D4">
            <v>0</v>
          </cell>
          <cell r="I4">
            <v>0</v>
          </cell>
        </row>
        <row r="5">
          <cell r="D5">
            <v>0</v>
          </cell>
          <cell r="I5">
            <v>0</v>
          </cell>
        </row>
        <row r="6">
          <cell r="D6">
            <v>0</v>
          </cell>
          <cell r="I6">
            <v>0</v>
          </cell>
        </row>
        <row r="7">
          <cell r="D7">
            <v>0</v>
          </cell>
          <cell r="I7">
            <v>0</v>
          </cell>
        </row>
        <row r="8">
          <cell r="D8">
            <v>0</v>
          </cell>
          <cell r="I8">
            <v>0</v>
          </cell>
        </row>
        <row r="9">
          <cell r="D9">
            <v>0</v>
          </cell>
        </row>
        <row r="10">
          <cell r="D10">
            <v>0</v>
          </cell>
          <cell r="I10">
            <v>0</v>
          </cell>
        </row>
        <row r="11">
          <cell r="D11">
            <v>0</v>
          </cell>
          <cell r="I11">
            <v>0</v>
          </cell>
        </row>
        <row r="12">
          <cell r="D12">
            <v>0</v>
          </cell>
          <cell r="I12">
            <v>0</v>
          </cell>
        </row>
        <row r="13">
          <cell r="D13">
            <v>0</v>
          </cell>
          <cell r="I13">
            <v>0</v>
          </cell>
        </row>
        <row r="14">
          <cell r="D14">
            <v>0</v>
          </cell>
          <cell r="I14">
            <v>0</v>
          </cell>
        </row>
        <row r="15">
          <cell r="D15">
            <v>0</v>
          </cell>
          <cell r="I15">
            <v>0</v>
          </cell>
        </row>
        <row r="16">
          <cell r="D16">
            <v>0</v>
          </cell>
          <cell r="I16">
            <v>0</v>
          </cell>
        </row>
        <row r="17">
          <cell r="D17">
            <v>0</v>
          </cell>
          <cell r="I17">
            <v>0</v>
          </cell>
        </row>
        <row r="18">
          <cell r="D18">
            <v>0</v>
          </cell>
          <cell r="I18">
            <v>0</v>
          </cell>
        </row>
        <row r="19">
          <cell r="D19">
            <v>0</v>
          </cell>
          <cell r="I19">
            <v>0</v>
          </cell>
        </row>
        <row r="20">
          <cell r="D20">
            <v>0</v>
          </cell>
          <cell r="I20">
            <v>0</v>
          </cell>
        </row>
        <row r="21">
          <cell r="I21">
            <v>0</v>
          </cell>
        </row>
        <row r="22">
          <cell r="I22">
            <v>0</v>
          </cell>
        </row>
        <row r="23">
          <cell r="D23">
            <v>0</v>
          </cell>
          <cell r="I23">
            <v>0</v>
          </cell>
        </row>
        <row r="24">
          <cell r="D24">
            <v>0</v>
          </cell>
          <cell r="I24">
            <v>0</v>
          </cell>
        </row>
        <row r="25">
          <cell r="D25">
            <v>0</v>
          </cell>
          <cell r="I25">
            <v>0</v>
          </cell>
        </row>
        <row r="26">
          <cell r="D26">
            <v>0</v>
          </cell>
          <cell r="I26">
            <v>0</v>
          </cell>
        </row>
        <row r="27">
          <cell r="D27">
            <v>0</v>
          </cell>
          <cell r="I27">
            <v>0</v>
          </cell>
        </row>
        <row r="28">
          <cell r="D28">
            <v>10600</v>
          </cell>
          <cell r="I28">
            <v>0</v>
          </cell>
        </row>
        <row r="29">
          <cell r="D29">
            <v>0</v>
          </cell>
          <cell r="I29">
            <v>0</v>
          </cell>
        </row>
        <row r="30">
          <cell r="D30">
            <v>0</v>
          </cell>
          <cell r="I30">
            <v>0</v>
          </cell>
        </row>
        <row r="31">
          <cell r="D31">
            <v>0</v>
          </cell>
          <cell r="I31">
            <v>0</v>
          </cell>
        </row>
        <row r="32">
          <cell r="D32">
            <v>0</v>
          </cell>
          <cell r="I32">
            <v>0</v>
          </cell>
        </row>
        <row r="33">
          <cell r="D33">
            <v>10600</v>
          </cell>
          <cell r="I33">
            <v>0</v>
          </cell>
        </row>
        <row r="34">
          <cell r="D34">
            <v>0</v>
          </cell>
          <cell r="I34">
            <v>0</v>
          </cell>
        </row>
        <row r="35">
          <cell r="D35">
            <v>0</v>
          </cell>
          <cell r="I35">
            <v>0</v>
          </cell>
        </row>
        <row r="36">
          <cell r="D36">
            <v>0</v>
          </cell>
          <cell r="I36">
            <v>0</v>
          </cell>
        </row>
        <row r="37">
          <cell r="D37">
            <v>31785</v>
          </cell>
          <cell r="I37">
            <v>0</v>
          </cell>
        </row>
        <row r="38">
          <cell r="D38">
            <v>0</v>
          </cell>
          <cell r="I38">
            <v>0</v>
          </cell>
        </row>
        <row r="39">
          <cell r="D39">
            <v>0</v>
          </cell>
          <cell r="I39">
            <v>0</v>
          </cell>
        </row>
        <row r="40">
          <cell r="D40">
            <v>0</v>
          </cell>
          <cell r="I40">
            <v>0</v>
          </cell>
        </row>
        <row r="41">
          <cell r="D41">
            <v>0</v>
          </cell>
          <cell r="I41">
            <v>0</v>
          </cell>
        </row>
        <row r="42">
          <cell r="D42">
            <v>0</v>
          </cell>
          <cell r="I42">
            <v>0</v>
          </cell>
        </row>
        <row r="43">
          <cell r="D43">
            <v>0</v>
          </cell>
          <cell r="I43">
            <v>0</v>
          </cell>
        </row>
        <row r="44">
          <cell r="D44">
            <v>0</v>
          </cell>
          <cell r="I44">
            <v>0</v>
          </cell>
        </row>
        <row r="45">
          <cell r="D45">
            <v>0</v>
          </cell>
          <cell r="I45">
            <v>0</v>
          </cell>
        </row>
        <row r="46">
          <cell r="D46">
            <v>0</v>
          </cell>
          <cell r="I46">
            <v>0</v>
          </cell>
        </row>
        <row r="47">
          <cell r="D47">
            <v>0</v>
          </cell>
          <cell r="I47">
            <v>0</v>
          </cell>
        </row>
        <row r="48">
          <cell r="D48">
            <v>0</v>
          </cell>
          <cell r="I48">
            <v>0</v>
          </cell>
        </row>
        <row r="49">
          <cell r="D49">
            <v>0</v>
          </cell>
          <cell r="I49">
            <v>0</v>
          </cell>
        </row>
        <row r="50">
          <cell r="D50">
            <v>0</v>
          </cell>
          <cell r="I50">
            <v>0</v>
          </cell>
        </row>
        <row r="51">
          <cell r="D51">
            <v>0</v>
          </cell>
          <cell r="I51">
            <v>0</v>
          </cell>
        </row>
        <row r="52">
          <cell r="D52">
            <v>0</v>
          </cell>
          <cell r="I52">
            <v>0</v>
          </cell>
        </row>
        <row r="53">
          <cell r="D53">
            <v>0</v>
          </cell>
          <cell r="I53">
            <v>0</v>
          </cell>
        </row>
        <row r="54">
          <cell r="D54">
            <v>0</v>
          </cell>
          <cell r="I54">
            <v>0</v>
          </cell>
        </row>
        <row r="55">
          <cell r="D55">
            <v>0</v>
          </cell>
          <cell r="I55">
            <v>0</v>
          </cell>
        </row>
        <row r="56">
          <cell r="D56">
            <v>0</v>
          </cell>
          <cell r="I56">
            <v>0</v>
          </cell>
        </row>
        <row r="57">
          <cell r="D57">
            <v>0</v>
          </cell>
          <cell r="I57">
            <v>0</v>
          </cell>
        </row>
        <row r="58">
          <cell r="I58">
            <v>0</v>
          </cell>
        </row>
        <row r="59">
          <cell r="D59">
            <v>0</v>
          </cell>
          <cell r="I59">
            <v>0</v>
          </cell>
        </row>
        <row r="60">
          <cell r="D60">
            <v>0</v>
          </cell>
          <cell r="I60">
            <v>0</v>
          </cell>
        </row>
        <row r="61">
          <cell r="D61">
            <v>0</v>
          </cell>
          <cell r="I61">
            <v>0</v>
          </cell>
        </row>
        <row r="62">
          <cell r="D62">
            <v>0</v>
          </cell>
          <cell r="I62">
            <v>0</v>
          </cell>
        </row>
        <row r="63">
          <cell r="D63">
            <v>0</v>
          </cell>
          <cell r="I63">
            <v>0</v>
          </cell>
        </row>
        <row r="64">
          <cell r="D64">
            <v>0</v>
          </cell>
          <cell r="I64">
            <v>0</v>
          </cell>
        </row>
        <row r="65">
          <cell r="D65">
            <v>0</v>
          </cell>
          <cell r="I65">
            <v>0</v>
          </cell>
        </row>
        <row r="66">
          <cell r="D66">
            <v>0</v>
          </cell>
          <cell r="I66">
            <v>0</v>
          </cell>
        </row>
        <row r="67">
          <cell r="D67">
            <v>0</v>
          </cell>
        </row>
        <row r="68">
          <cell r="D68">
            <v>0</v>
          </cell>
          <cell r="I68">
            <v>0</v>
          </cell>
        </row>
        <row r="69">
          <cell r="D69">
            <v>0</v>
          </cell>
          <cell r="I69">
            <v>0</v>
          </cell>
        </row>
        <row r="70">
          <cell r="D70">
            <v>0</v>
          </cell>
        </row>
        <row r="71">
          <cell r="D71">
            <v>0</v>
          </cell>
        </row>
        <row r="72">
          <cell r="D72">
            <v>0</v>
          </cell>
          <cell r="I72">
            <v>0</v>
          </cell>
        </row>
        <row r="73">
          <cell r="D73">
            <v>0</v>
          </cell>
          <cell r="I73">
            <v>0</v>
          </cell>
        </row>
        <row r="74">
          <cell r="D74">
            <v>0</v>
          </cell>
        </row>
      </sheetData>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ow r="59">
          <cell r="D59" t="str">
            <v>N</v>
          </cell>
        </row>
        <row r="66">
          <cell r="D66" t="str">
            <v>N</v>
          </cell>
        </row>
      </sheetData>
      <sheetData sheetId="50">
        <row r="70">
          <cell r="M70">
            <v>0</v>
          </cell>
        </row>
      </sheetData>
      <sheetData sheetId="51" refreshError="1"/>
      <sheetData sheetId="52" refreshError="1"/>
      <sheetData sheetId="53" refreshError="1"/>
      <sheetData sheetId="54">
        <row r="61">
          <cell r="J61">
            <v>0</v>
          </cell>
        </row>
      </sheetData>
      <sheetData sheetId="55">
        <row r="20">
          <cell r="A20" t="b">
            <v>0</v>
          </cell>
        </row>
        <row r="22">
          <cell r="A22" t="b">
            <v>0</v>
          </cell>
        </row>
      </sheetData>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r boxes"/>
      <sheetName val="bvr constraints"/>
      <sheetName val="variables"/>
      <sheetName val="browser"/>
      <sheetName val="browse-data"/>
      <sheetName val="config"/>
      <sheetName val="Changelog"/>
    </sheetNames>
    <sheetDataSet>
      <sheetData sheetId="0" refreshError="1"/>
      <sheetData sheetId="1" refreshError="1"/>
      <sheetData sheetId="2" refreshError="1"/>
      <sheetData sheetId="3" refreshError="1"/>
      <sheetData sheetId="4">
        <row r="3">
          <cell r="B3" t="str">
            <v>Number (2dp)</v>
          </cell>
        </row>
        <row r="4">
          <cell r="B4" t="str">
            <v>IRmonetary structure</v>
          </cell>
        </row>
        <row r="5">
          <cell r="B5" t="str">
            <v>Integer value &gt;= 0</v>
          </cell>
        </row>
        <row r="6">
          <cell r="B6" t="str">
            <v>Integer value greater &gt; 0</v>
          </cell>
        </row>
        <row r="7">
          <cell r="B7" t="str">
            <v>Monetary value (2dp)</v>
          </cell>
        </row>
        <row r="8">
          <cell r="B8" t="str">
            <v>Monetary value (2dp) &lt;&gt; 0.00</v>
          </cell>
        </row>
        <row r="9">
          <cell r="B9" t="str">
            <v>Monetary value (2dp) &gt;= 0.00</v>
          </cell>
        </row>
        <row r="10">
          <cell r="B10" t="str">
            <v>IRnon negative monetary structure</v>
          </cell>
        </row>
        <row r="11">
          <cell r="B11" t="str">
            <v>Number (2dp) &gt; 0.00</v>
          </cell>
        </row>
        <row r="12">
          <cell r="B12" t="str">
            <v>Compressed Part</v>
          </cell>
        </row>
        <row r="13">
          <cell r="B13" t="str">
            <v>Number, ending in .00</v>
          </cell>
        </row>
        <row r="14">
          <cell r="B14" t="str">
            <v>Number, ending in .00, plus currency type</v>
          </cell>
        </row>
        <row r="15">
          <cell r="B15" t="str">
            <v>Number, ending in .00, &gt;= 0.00</v>
          </cell>
        </row>
        <row r="16">
          <cell r="B16" t="str">
            <v>Number, ending in .00, &gt;= 0.00, plus currency type</v>
          </cell>
        </row>
        <row r="17">
          <cell r="B17" t="str">
            <v>Number (2dp) &gt;= 0.00</v>
          </cell>
        </row>
        <row r="18">
          <cell r="B18" t="str">
            <v>IR header string type</v>
          </cell>
        </row>
        <row r="19">
          <cell r="B19" t="str">
            <v>Contains (IR header)</v>
          </cell>
        </row>
        <row r="20">
          <cell r="B20" t="str">
            <v>String</v>
          </cell>
        </row>
        <row r="21">
          <cell r="B21" t="str">
            <v>Integer</v>
          </cell>
        </row>
        <row r="22">
          <cell r="B22" t="str">
            <v>Integer, &gt; 0</v>
          </cell>
        </row>
        <row r="23">
          <cell r="B23" t="str">
            <v>Integer, &gt;= 0</v>
          </cell>
        </row>
        <row r="24">
          <cell r="B24" t="str">
            <v>Base 64 Binary data</v>
          </cell>
        </row>
        <row r="25">
          <cell r="B25" t="str">
            <v>Date</v>
          </cell>
        </row>
        <row r="26">
          <cell r="B26" t="str">
            <v>Date (with timezone)</v>
          </cell>
        </row>
        <row r="27">
          <cell r="B27" t="str">
            <v>ANY (from xsd)</v>
          </cell>
        </row>
        <row r="28">
          <cell r="B28" t="str">
            <v>xsd:date*</v>
          </cell>
        </row>
        <row r="29">
          <cell r="B29" t="str">
            <v>xsd:integer*</v>
          </cell>
        </row>
        <row r="30">
          <cell r="B30" t="str">
            <v>xsd:string*</v>
          </cell>
        </row>
        <row r="31">
          <cell r="B31" t="str">
            <v>xsd:decimal</v>
          </cell>
        </row>
        <row r="32">
          <cell r="B32" t="str">
            <v>xsd:token</v>
          </cell>
        </row>
        <row r="33">
          <cell r="B33" t="str">
            <v>SA monetary structure*</v>
          </cell>
        </row>
        <row r="34">
          <cell r="B34" t="str">
            <v>SA monetary structure</v>
          </cell>
        </row>
        <row r="35">
          <cell r="B35" t="str">
            <v>SA Monetary value (2dp)*</v>
          </cell>
        </row>
        <row r="36">
          <cell r="B36" t="str">
            <v>SA Monetary value (2dp)</v>
          </cell>
        </row>
        <row r="37">
          <cell r="B37" t="str">
            <v>SA Monetary value (2dp) &gt;= 0.00*</v>
          </cell>
        </row>
        <row r="38">
          <cell r="B38" t="str">
            <v>SA Monetary value (2dp) &gt;= 0.00</v>
          </cell>
        </row>
        <row r="39">
          <cell r="B39" t="str">
            <v>SA Monetary value (2dp) &gt; 0.00*</v>
          </cell>
        </row>
        <row r="40">
          <cell r="B40" t="str">
            <v>SA Monetary value (2dp) &gt; 0.00</v>
          </cell>
        </row>
        <row r="41">
          <cell r="B41" t="str">
            <v>SA Monetary value (2dp) except 0.00*</v>
          </cell>
        </row>
        <row r="42">
          <cell r="B42" t="str">
            <v>SA Monetary value (2dp) except 0.00</v>
          </cell>
        </row>
        <row r="43">
          <cell r="B43" t="str">
            <v>SA MTR date*</v>
          </cell>
        </row>
        <row r="44">
          <cell r="B44" t="str">
            <v>SA MTR date</v>
          </cell>
        </row>
        <row r="45">
          <cell r="B45" t="str">
            <v>Year range, yyyy-yy*</v>
          </cell>
        </row>
        <row r="46">
          <cell r="B46" t="str">
            <v>Year range, yyyy-yy</v>
          </cell>
        </row>
        <row r="47">
          <cell r="B47" t="str">
            <v>Year</v>
          </cell>
        </row>
        <row r="48">
          <cell r="B48" t="str">
            <v>SA Country Code (3 upper case letters)*</v>
          </cell>
        </row>
        <row r="49">
          <cell r="B49" t="str">
            <v>SA Country Code (3 upper case letters)</v>
          </cell>
        </row>
        <row r="50">
          <cell r="B50" t="str">
            <v>SA CGT Relief Code (3 upper case letters)</v>
          </cell>
        </row>
        <row r="51">
          <cell r="B51" t="str">
            <v>SA 80 char string type</v>
          </cell>
        </row>
        <row r="52">
          <cell r="B52" t="str">
            <v>SA 56 char string type</v>
          </cell>
        </row>
        <row r="53">
          <cell r="B53" t="str">
            <v>SA 28 char string type</v>
          </cell>
        </row>
        <row r="54">
          <cell r="B54" t="str">
            <v>SA 12 digit string type</v>
          </cell>
        </row>
        <row r="55">
          <cell r="B55" t="str">
            <v>SA 3 digit string type</v>
          </cell>
        </row>
        <row r="56">
          <cell r="B56" t="str">
            <v>Ptr SA date type</v>
          </cell>
        </row>
        <row r="57">
          <cell r="B57" t="str">
            <v>SA Monetary structure (2dp) &gt;= 0.00*</v>
          </cell>
        </row>
        <row r="58">
          <cell r="B58" t="str">
            <v>SA Monetary structure (2dp) &gt;= 0.00</v>
          </cell>
        </row>
        <row r="59">
          <cell r="B59" t="str">
            <v>SA additional information line type</v>
          </cell>
        </row>
        <row r="60">
          <cell r="B60" t="str">
            <v>SA person name type</v>
          </cell>
        </row>
        <row r="61">
          <cell r="B61" t="str">
            <v>SA address structure</v>
          </cell>
        </row>
        <row r="62">
          <cell r="B62" t="str">
            <v>SA NINO type</v>
          </cell>
        </row>
        <row r="63">
          <cell r="B63" t="str">
            <v>SA telephone number type</v>
          </cell>
        </row>
        <row r="64">
          <cell r="B64" t="str">
            <v>SA avoidance scheme reference type</v>
          </cell>
        </row>
        <row r="65">
          <cell r="B65" t="str">
            <v>SA year end type</v>
          </cell>
        </row>
        <row r="66">
          <cell r="B66" t="str">
            <v>SA number of partners type</v>
          </cell>
        </row>
        <row r="67">
          <cell r="B67" t="str">
            <v>SA partnership foreign table structure</v>
          </cell>
        </row>
        <row r="68">
          <cell r="B68" t="str">
            <v>SA attachment structure</v>
          </cell>
        </row>
        <row r="69">
          <cell r="B69" t="str">
            <v>SA type of disposal QULO type</v>
          </cell>
        </row>
        <row r="70">
          <cell r="B70" t="str">
            <v>SA tax triplet structure</v>
          </cell>
        </row>
        <row r="71">
          <cell r="B71" t="str">
            <v>SA tax pair structure</v>
          </cell>
        </row>
        <row r="72">
          <cell r="B72" t="str">
            <v>SA900 trust tax rate structure</v>
          </cell>
        </row>
        <row r="73">
          <cell r="B73" t="str">
            <v>SA building society reference</v>
          </cell>
        </row>
        <row r="74">
          <cell r="B74" t="str">
            <v>SA foreign table plus both 1 structure</v>
          </cell>
        </row>
        <row r="75">
          <cell r="B75" t="str">
            <v>SA foreign table plus both 2 structure</v>
          </cell>
        </row>
        <row r="76">
          <cell r="B76" t="str">
            <v>SA page number type</v>
          </cell>
        </row>
        <row r="77">
          <cell r="B77" t="str">
            <v>SA partnership reference number type</v>
          </cell>
        </row>
        <row r="78">
          <cell r="B78" t="str">
            <v>SA agents reference for client type</v>
          </cell>
        </row>
        <row r="79">
          <cell r="B79" t="str">
            <v>*Any of A-Z, a-z, 0-9, space or &amp;'()*,-./</v>
          </cell>
        </row>
        <row r="80">
          <cell r="B80" t="str">
            <v>*Any of A-Z, a-z, 0-9 or space</v>
          </cell>
        </row>
        <row r="81">
          <cell r="B81" t="str">
            <v>*Any of A-Z, 0-9 or _-</v>
          </cell>
        </row>
        <row r="82">
          <cell r="B82" t="str">
            <v>*Any of A-Z, a-z, space or -'</v>
          </cell>
        </row>
        <row r="83">
          <cell r="B83" t="str">
            <v>*Any of A-Z, a-z, 0-9, space or &amp;'()*,-.</v>
          </cell>
        </row>
        <row r="84">
          <cell r="B84" t="str">
            <v>*Any of A-Z, a-z, 0-9, space or .,-()/=!"%&amp;*;&lt;&gt;'+:?</v>
          </cell>
        </row>
        <row r="85">
          <cell r="B85" t="str">
            <v>*Any of A-Z, a-z, space or '-.</v>
          </cell>
        </row>
        <row r="86">
          <cell r="B86" t="str">
            <v>*Any of 0-9</v>
          </cell>
        </row>
        <row r="87">
          <cell r="B87" t="str">
            <v>"yes"</v>
          </cell>
        </row>
        <row r="88">
          <cell r="B88" t="str">
            <v>"yes" or "no"</v>
          </cell>
        </row>
        <row r="89">
          <cell r="B89" t="str">
            <v>IRoffice named structure</v>
          </cell>
        </row>
        <row r="90">
          <cell r="B90" t="str">
            <v>Employer Reference</v>
          </cell>
        </row>
        <row r="91">
          <cell r="B91" t="str">
            <v>HMRC office and reference details</v>
          </cell>
        </row>
        <row r="92">
          <cell r="B92" t="str">
            <v>ISOcurrency</v>
          </cell>
        </row>
        <row r="93">
          <cell r="B93" t="str">
            <v>International address</v>
          </cell>
        </row>
        <row r="94">
          <cell r="B94" t="str">
            <v>Person's name</v>
          </cell>
        </row>
        <row r="95">
          <cell r="B95" t="str">
            <v>IRheader string</v>
          </cell>
        </row>
        <row r="96">
          <cell r="B96" t="str">
            <v>Telephone number</v>
          </cell>
        </row>
        <row r="97">
          <cell r="B97" t="str">
            <v>Telephone contact details</v>
          </cell>
        </row>
        <row r="98">
          <cell r="B98" t="str">
            <v>Work or home</v>
          </cell>
        </row>
        <row r="99">
          <cell r="B99" t="str">
            <v>Works number</v>
          </cell>
        </row>
        <row r="100">
          <cell r="B100" t="str">
            <v>PAYEaddress line</v>
          </cell>
        </row>
        <row r="101">
          <cell r="B101" t="str">
            <v>CTaddress line</v>
          </cell>
        </row>
        <row r="102">
          <cell r="B102" t="str">
            <v>SAaddress line</v>
          </cell>
        </row>
        <row r="103">
          <cell r="B103" t="str">
            <v>NTCaddress line</v>
          </cell>
        </row>
        <row r="104">
          <cell r="B104" t="str">
            <v>PAYEname</v>
          </cell>
        </row>
        <row r="105">
          <cell r="B105" t="str">
            <v>CTname</v>
          </cell>
        </row>
        <row r="106">
          <cell r="B106" t="str">
            <v>SAname</v>
          </cell>
        </row>
        <row r="107">
          <cell r="B107" t="str">
            <v>NTCname</v>
          </cell>
        </row>
        <row r="108">
          <cell r="B108" t="str">
            <v>PAYEstring</v>
          </cell>
        </row>
        <row r="109">
          <cell r="B109" t="str">
            <v>CTstring</v>
          </cell>
        </row>
        <row r="110">
          <cell r="B110" t="str">
            <v>NTCstring</v>
          </cell>
        </row>
        <row r="111">
          <cell r="B111" t="str">
            <v>UTR</v>
          </cell>
        </row>
        <row r="112">
          <cell r="B112" t="str">
            <v>HMRC Office Number</v>
          </cell>
        </row>
        <row r="113">
          <cell r="B113" t="str">
            <v>Bank sort code</v>
          </cell>
        </row>
        <row r="114">
          <cell r="B114" t="str">
            <v>Bank account number</v>
          </cell>
        </row>
        <row r="115">
          <cell r="B115" t="str">
            <v>Bank account name</v>
          </cell>
        </row>
        <row r="116">
          <cell r="B116" t="str">
            <v>Building society reference</v>
          </cell>
        </row>
        <row r="117">
          <cell r="B117" t="str">
            <v>NINOtype*</v>
          </cell>
        </row>
        <row r="118">
          <cell r="B118" t="str">
            <v>NINO</v>
          </cell>
        </row>
        <row r="119">
          <cell r="B119" t="str">
            <v>IR NINO</v>
          </cell>
        </row>
        <row r="120">
          <cell r="B120" t="str">
            <v>Postcode</v>
          </cell>
        </row>
        <row r="121">
          <cell r="B121" t="str">
            <v>core:EmailType*</v>
          </cell>
        </row>
        <row r="122">
          <cell r="B122" t="str">
            <v>core:NINOtype*</v>
          </cell>
        </row>
        <row r="123">
          <cell r="B123" t="str">
            <v>core:NameStructure*</v>
          </cell>
        </row>
        <row r="124">
          <cell r="B124" t="str">
            <v>core:TelephoneNumberType*</v>
          </cell>
        </row>
        <row r="125">
          <cell r="B125" t="str">
            <v>Date of Birth</v>
          </cell>
        </row>
        <row r="126">
          <cell r="B126" t="str">
            <v>Date of starting</v>
          </cell>
        </row>
        <row r="127">
          <cell r="B127" t="str">
            <v>Date of leaving</v>
          </cell>
        </row>
        <row r="128">
          <cell r="B128" t="str">
            <v>Week or month number</v>
          </cell>
        </row>
        <row r="129">
          <cell r="B129" t="str">
            <v>Person's name (PAYE)</v>
          </cell>
        </row>
        <row r="130">
          <cell r="B130" t="str">
            <v>International address (PAYE)</v>
          </cell>
        </row>
        <row r="131">
          <cell r="B131" t="str">
            <v>Standard tax code type including Week1/Month1 indicator</v>
          </cell>
        </row>
        <row r="132">
          <cell r="B132" t="str">
            <v>Job title</v>
          </cell>
        </row>
        <row r="133">
          <cell r="B133" t="str">
            <v>NINO</v>
          </cell>
        </row>
        <row r="134">
          <cell r="B134" t="str">
            <v>Employer Reference</v>
          </cell>
        </row>
        <row r="135">
          <cell r="B135" t="str">
            <v>HMRC office and reference details</v>
          </cell>
        </row>
        <row r="136">
          <cell r="B136" t="str">
            <v>HMRC Office Number</v>
          </cell>
        </row>
        <row r="137">
          <cell r="B137" t="str">
            <v>Contact details</v>
          </cell>
        </row>
        <row r="138">
          <cell r="B138" t="str">
            <v>Telephone contact details</v>
          </cell>
        </row>
        <row r="139">
          <cell r="B139" t="str">
            <v>PAYEIRheader string</v>
          </cell>
        </row>
        <row r="140">
          <cell r="B140" t="str">
            <v>Attachment structure</v>
          </cell>
        </row>
        <row r="141">
          <cell r="B141" t="str">
            <v>Company reference</v>
          </cell>
        </row>
        <row r="142">
          <cell r="B142" t="str">
            <v>Period</v>
          </cell>
        </row>
        <row r="143">
          <cell r="B143" t="str">
            <v>CTwhole pound structure</v>
          </cell>
        </row>
        <row r="144">
          <cell r="B144" t="str">
            <v>CTpound pence structure</v>
          </cell>
        </row>
        <row r="145">
          <cell r="B145" t="str">
            <v>CTaddress structure</v>
          </cell>
        </row>
        <row r="146">
          <cell r="B146" t="str">
            <v>XBRLsubmission details</v>
          </cell>
        </row>
        <row r="147">
          <cell r="B147" t="str">
            <v>XBRLsubmission</v>
          </cell>
        </row>
        <row r="148">
          <cell r="B148" t="str">
            <v>Charge and allowance</v>
          </cell>
        </row>
        <row r="149">
          <cell r="B149" t="str">
            <v>Arising and maximum</v>
          </cell>
        </row>
        <row r="150">
          <cell r="B150" t="str">
            <v>CTexcluded chars string</v>
          </cell>
        </row>
        <row r="151">
          <cell r="B151" t="str">
            <v>CTfilename</v>
          </cell>
        </row>
        <row r="152">
          <cell r="B152" t="str">
            <v>CTYes no nAType</v>
          </cell>
        </row>
        <row r="153">
          <cell r="B153" t="str">
            <v>CTten digit int</v>
          </cell>
        </row>
        <row r="154">
          <cell r="B154" t="str">
            <v>CTalpha numeric string</v>
          </cell>
        </row>
        <row r="155">
          <cell r="B155" t="str">
            <v>Aad reference code</v>
          </cell>
        </row>
        <row r="156">
          <cell r="B156" t="str">
            <v>Excise number</v>
          </cell>
        </row>
        <row r="157">
          <cell r="B157" t="str">
            <v>Excise office code</v>
          </cell>
        </row>
        <row r="158">
          <cell r="B158" t="str">
            <v>Vat number</v>
          </cell>
        </row>
        <row r="159">
          <cell r="B159" t="str">
            <v>Excise products category code</v>
          </cell>
        </row>
        <row r="160">
          <cell r="B160" t="str">
            <v>Excise product code</v>
          </cell>
        </row>
        <row r="161">
          <cell r="B161" t="str">
            <v>Product quantity</v>
          </cell>
        </row>
        <row r="162">
          <cell r="B162" t="str">
            <v>Weight</v>
          </cell>
        </row>
        <row r="163">
          <cell r="B163" t="str">
            <v>Phone number</v>
          </cell>
        </row>
        <row r="164">
          <cell r="B164" t="str">
            <v>Email address</v>
          </cell>
        </row>
        <row r="165">
          <cell r="B165" t="str">
            <v>Language code</v>
          </cell>
        </row>
        <row r="166">
          <cell r="B166" t="str">
            <v>Country code</v>
          </cell>
        </row>
        <row r="167">
          <cell r="B167" t="str">
            <v>Code list item</v>
          </cell>
        </row>
        <row r="168">
          <cell r="B168" t="str">
            <v>Technical code list item</v>
          </cell>
        </row>
        <row r="169">
          <cell r="B169" t="str">
            <v>Cn code</v>
          </cell>
        </row>
        <row r="170">
          <cell r="B170" t="str">
            <v>Journey time</v>
          </cell>
        </row>
        <row r="171">
          <cell r="B171" t="str">
            <v>Timer duration</v>
          </cell>
        </row>
        <row r="172">
          <cell r="B172" t="str">
            <v>EMCSPost code</v>
          </cell>
        </row>
        <row r="173">
          <cell r="B173" t="str">
            <v>Extraction</v>
          </cell>
        </row>
        <row r="174">
          <cell r="B174" t="str">
            <v>Date time</v>
          </cell>
        </row>
        <row r="175">
          <cell r="B175" t="str">
            <v>Date</v>
          </cell>
        </row>
        <row r="176">
          <cell r="B176" t="str">
            <v>Time</v>
          </cell>
        </row>
        <row r="177">
          <cell r="B177" t="str">
            <v>EMCSHeader</v>
          </cell>
        </row>
        <row r="178">
          <cell r="B178" t="str">
            <v>Message sender</v>
          </cell>
        </row>
        <row r="179">
          <cell r="B179" t="str">
            <v>Message recipient</v>
          </cell>
        </row>
        <row r="180">
          <cell r="B180" t="str">
            <v>Message identifier</v>
          </cell>
        </row>
        <row r="181">
          <cell r="B181" t="str">
            <v>Correlation identifier</v>
          </cell>
        </row>
        <row r="182">
          <cell r="B182" t="str">
            <v>Technical message version</v>
          </cell>
        </row>
        <row r="183">
          <cell r="B183" t="str">
            <v>Common request</v>
          </cell>
        </row>
        <row r="184">
          <cell r="B184" t="str">
            <v>Request message name</v>
          </cell>
        </row>
        <row r="185">
          <cell r="B185" t="str">
            <v>Primary criterion type code</v>
          </cell>
        </row>
        <row r="186">
          <cell r="B186" t="str">
            <v>Type of recall</v>
          </cell>
        </row>
        <row r="187">
          <cell r="B187" t="str">
            <v>Requested list of codes external</v>
          </cell>
        </row>
        <row r="188">
          <cell r="B188" t="str">
            <v>Action code</v>
          </cell>
        </row>
        <row r="189">
          <cell r="B189" t="str">
            <v>Global conclusion of receipt</v>
          </cell>
        </row>
        <row r="190">
          <cell r="B190" t="str">
            <v>History message</v>
          </cell>
        </row>
        <row r="191">
          <cell r="B191" t="str">
            <v>Seed message</v>
          </cell>
        </row>
        <row r="192">
          <cell r="B192" t="str">
            <v>Subject code</v>
          </cell>
        </row>
        <row r="193">
          <cell r="B193" t="str">
            <v>Modification</v>
          </cell>
        </row>
        <row r="194">
          <cell r="B194" t="str">
            <v>Requested list of codes full</v>
          </cell>
        </row>
        <row r="195">
          <cell r="B195" t="str">
            <v>Flag</v>
          </cell>
        </row>
        <row r="196">
          <cell r="B196" t="str">
            <v>Guarantor type code</v>
          </cell>
        </row>
        <row r="197">
          <cell r="B197" t="str">
            <v>Origin type code</v>
          </cell>
        </row>
        <row r="198">
          <cell r="B198" t="str">
            <v>Destination type code</v>
          </cell>
        </row>
        <row r="199">
          <cell r="B199" t="str">
            <v>Category of wine product</v>
          </cell>
        </row>
        <row r="200">
          <cell r="B200" t="str">
            <v>Notification</v>
          </cell>
        </row>
        <row r="201">
          <cell r="B201" t="str">
            <v>Indicator of shortage or excess</v>
          </cell>
        </row>
        <row r="202">
          <cell r="B202" t="str">
            <v>Reminder message</v>
          </cell>
        </row>
        <row r="203">
          <cell r="B203" t="str">
            <v>Functional error codes</v>
          </cell>
        </row>
        <row r="204">
          <cell r="B204" t="str">
            <v>Technical message</v>
          </cell>
        </row>
        <row r="205">
          <cell r="B205" t="str">
            <v>Submitter</v>
          </cell>
        </row>
        <row r="206">
          <cell r="B206" t="str">
            <v>Requested message</v>
          </cell>
        </row>
        <row r="207">
          <cell r="B207" t="str">
            <v>Operator type code</v>
          </cell>
        </row>
        <row r="208">
          <cell r="B208" t="str">
            <v>Operator role code</v>
          </cell>
        </row>
        <row r="209">
          <cell r="B209" t="str">
            <v>Transport arrangement</v>
          </cell>
        </row>
        <row r="210">
          <cell r="B210" t="str">
            <v>Submission</v>
          </cell>
        </row>
        <row r="211">
          <cell r="B211" t="str">
            <v>Diagnosis code</v>
          </cell>
        </row>
        <row r="212">
          <cell r="B212" t="str">
            <v>Message role code</v>
          </cell>
        </row>
        <row r="213">
          <cell r="B213" t="str">
            <v>Status request message</v>
          </cell>
        </row>
        <row r="214">
          <cell r="B214" t="str">
            <v>Change of destination type code</v>
          </cell>
        </row>
        <row r="215">
          <cell r="B215" t="str">
            <v>Status</v>
          </cell>
        </row>
        <row r="216">
          <cell r="B216" t="str">
            <v>Contact details</v>
          </cell>
        </row>
        <row r="217">
          <cell r="B217" t="str">
            <v>Email structure</v>
          </cell>
        </row>
        <row r="218">
          <cell r="B218" t="str">
            <v>Email address</v>
          </cell>
        </row>
        <row r="219">
          <cell r="B219" t="str">
            <v>Gender</v>
          </cell>
        </row>
        <row r="220">
          <cell r="B220" t="str">
            <v>String of digits</v>
          </cell>
        </row>
        <row r="221">
          <cell r="B221" t="str">
            <v>Number (2dp)*</v>
          </cell>
        </row>
        <row r="222">
          <cell r="B222" t="str">
            <v>IRmonetary structure*</v>
          </cell>
        </row>
        <row r="223">
          <cell r="B223" t="str">
            <v>Integer value &gt;= 0*</v>
          </cell>
        </row>
        <row r="224">
          <cell r="B224" t="str">
            <v>Integer value greater &gt; 0*</v>
          </cell>
        </row>
        <row r="225">
          <cell r="B225" t="str">
            <v>Monetary value (2dp)*</v>
          </cell>
        </row>
        <row r="226">
          <cell r="B226" t="str">
            <v>Monetary value (2dp) &lt;&gt; 0.00*</v>
          </cell>
        </row>
        <row r="227">
          <cell r="B227" t="str">
            <v>Monetary value (2dp) &gt;= 0.00*</v>
          </cell>
        </row>
        <row r="228">
          <cell r="B228" t="str">
            <v>IRnon negative monetary structure*</v>
          </cell>
        </row>
        <row r="229">
          <cell r="B229" t="str">
            <v>Number, ending in .00*</v>
          </cell>
        </row>
        <row r="230">
          <cell r="B230" t="str">
            <v>Number, ending in .00, &gt;= 0.00*</v>
          </cell>
        </row>
        <row r="231">
          <cell r="B231" t="str">
            <v>Number, ending in .00, &gt;= 0.00, plus currency type*</v>
          </cell>
        </row>
        <row r="232">
          <cell r="B232" t="str">
            <v>Number (2dp) &gt;= 0.00*</v>
          </cell>
        </row>
        <row r="233">
          <cell r="B233" t="str">
            <v>String*</v>
          </cell>
        </row>
        <row r="234">
          <cell r="B234" t="str">
            <v>Integer*</v>
          </cell>
        </row>
        <row r="235">
          <cell r="B235" t="str">
            <v>SA string*</v>
          </cell>
        </row>
        <row r="236">
          <cell r="B236" t="str">
            <v>SA string</v>
          </cell>
        </row>
        <row r="237">
          <cell r="B237" t="str">
            <v>SA non-empty string*</v>
          </cell>
        </row>
        <row r="238">
          <cell r="B238" t="str">
            <v>SA non-empty string</v>
          </cell>
        </row>
        <row r="239">
          <cell r="B239" t="str">
            <v>"yes"*</v>
          </cell>
        </row>
        <row r="240">
          <cell r="B240" t="str">
            <v>"yes" or "no"*</v>
          </cell>
        </row>
        <row r="241">
          <cell r="B241" t="str">
            <v>ISOcurrency*</v>
          </cell>
        </row>
        <row r="242">
          <cell r="B242" t="str">
            <v>SATru iRheader</v>
          </cell>
        </row>
        <row r="243">
          <cell r="B243" t="str">
            <v>Trust estate</v>
          </cell>
        </row>
        <row r="244">
          <cell r="B244" t="str">
            <v>Trust trades</v>
          </cell>
        </row>
        <row r="245">
          <cell r="B245" t="str">
            <v>Trust lloyds</v>
          </cell>
        </row>
        <row r="246">
          <cell r="B246" t="str">
            <v>Trust partnerships</v>
          </cell>
        </row>
        <row r="247">
          <cell r="B247" t="str">
            <v>Land and property</v>
          </cell>
        </row>
        <row r="248">
          <cell r="B248" t="str">
            <v>Trust foreign</v>
          </cell>
        </row>
        <row r="249">
          <cell r="B249" t="str">
            <v>Trust capital gains</v>
          </cell>
        </row>
        <row r="250">
          <cell r="B250" t="str">
            <v>Trust nonresidence</v>
          </cell>
        </row>
        <row r="251">
          <cell r="B251" t="str">
            <v>Trust charities</v>
          </cell>
        </row>
        <row r="252">
          <cell r="B252" t="str">
            <v>Pensions</v>
          </cell>
        </row>
        <row r="253">
          <cell r="B253" t="str">
            <v>Pay to nominee</v>
          </cell>
        </row>
        <row r="254">
          <cell r="B254" t="str">
            <v>ADDRESSTYPE (from PensionCore)</v>
          </cell>
        </row>
        <row r="255">
          <cell r="B255" t="str">
            <v>ADMINISTRATORADDRESSTYPE (from PensionCore)</v>
          </cell>
        </row>
        <row r="256">
          <cell r="B256" t="str">
            <v>ADMINISTRATORIDTYPE (from PensionCore)</v>
          </cell>
        </row>
        <row r="257">
          <cell r="B257" t="str">
            <v>CRNTYPE (from PensionCore)</v>
          </cell>
        </row>
        <row r="258">
          <cell r="B258" t="str">
            <v>DECLARATIONSTYPE (from PensionCore)</v>
          </cell>
        </row>
        <row r="259">
          <cell r="B259" t="str">
            <v>ENTITYTYPE (from PensionCore)</v>
          </cell>
        </row>
        <row r="260">
          <cell r="B260" t="str">
            <v>INDIVIDUALDETAILSSTRUCTURE (from PensionCore)</v>
          </cell>
        </row>
        <row r="261">
          <cell r="B261" t="str">
            <v>MEMBERDETAILSSTRUCTURE (from PensionCore)</v>
          </cell>
        </row>
        <row r="262">
          <cell r="B262" t="str">
            <v>OTHERDETAILSTYPE (from PensionCore)</v>
          </cell>
        </row>
        <row r="263">
          <cell r="B263" t="str">
            <v>PRACTITIONERIDTYPE (from PensionCore)</v>
          </cell>
        </row>
        <row r="264">
          <cell r="B264" t="str">
            <v>PSOADDRESSLINETYPE (from PensionCore)</v>
          </cell>
        </row>
        <row r="265">
          <cell r="B265" t="str">
            <v>PSOCOUNTRYTYPE (from PensionCore)</v>
          </cell>
        </row>
        <row r="266">
          <cell r="B266" t="str">
            <v>PSOSTRINGTYPE (from PensionCore)</v>
          </cell>
        </row>
        <row r="267">
          <cell r="B267" t="str">
            <v>SCHEMENAMETYPE (from PensionCore)</v>
          </cell>
        </row>
        <row r="268">
          <cell r="B268" t="str">
            <v>SFREFERENCETYPE (from PensionCore)</v>
          </cell>
        </row>
        <row r="269">
          <cell r="B269" t="str">
            <v>TAXREFERENCETYPE (from PensionCore)</v>
          </cell>
        </row>
        <row r="270">
          <cell r="B270" t="str">
            <v>YESTYPE (from PensionCore)</v>
          </cell>
        </row>
        <row r="271">
          <cell r="B271" t="str">
            <v>PSRASSETSARMSLENGTHNATURETYPE (from Return)</v>
          </cell>
        </row>
        <row r="272">
          <cell r="B272" t="str">
            <v>PSRASSETSINFOTYPE (from Return)</v>
          </cell>
        </row>
        <row r="273">
          <cell r="B273" t="str">
            <v>PSRCONNECTEDPARTYASSETSNATURETYPE (from Return)</v>
          </cell>
        </row>
        <row r="274">
          <cell r="B274" t="str">
            <v>PSRLANDINFOTYPE (from Return)</v>
          </cell>
        </row>
        <row r="275">
          <cell r="B275" t="str">
            <v>PSRMARKETVALUECOSTTYPE (from Return)</v>
          </cell>
        </row>
        <row r="276">
          <cell r="B276" t="str">
            <v>PSRRELATEDSHARESTYPE (from Return)</v>
          </cell>
        </row>
        <row r="277">
          <cell r="B277" t="str">
            <v>SIMPLEDATETYPE (from Return)</v>
          </cell>
        </row>
        <row r="278">
          <cell r="B278" t="str">
            <v>Account number type</v>
          </cell>
        </row>
        <row r="279">
          <cell r="B279" t="str">
            <v>Detailed entity type</v>
          </cell>
        </row>
        <row r="280">
          <cell r="B280" t="str">
            <v>Email type</v>
          </cell>
        </row>
        <row r="281">
          <cell r="B281" t="str">
            <v>Envelope: iRheader</v>
          </cell>
        </row>
        <row r="282">
          <cell r="B282" t="str">
            <v>Pension scheme country type</v>
          </cell>
        </row>
        <row r="283">
          <cell r="B283" t="str">
            <v>Simple date type</v>
          </cell>
        </row>
        <row r="284">
          <cell r="B284" t="str">
            <v>Sort code type</v>
          </cell>
        </row>
        <row r="285">
          <cell r="B285" t="str">
            <v>Telephone number type</v>
          </cell>
        </row>
        <row r="286">
          <cell r="B286" t="str">
            <v>UTRtype</v>
          </cell>
        </row>
        <row r="287">
          <cell r="B287" t="str">
            <v>Any of A-Z, a-z, 0-9, space or &amp;'()*,-./</v>
          </cell>
        </row>
        <row r="288">
          <cell r="B288" t="str">
            <v>Any of A-Z, a-z, 0-9 or space</v>
          </cell>
        </row>
        <row r="289">
          <cell r="B289" t="str">
            <v>Any of A-Z, a-z, space or -'</v>
          </cell>
        </row>
        <row r="290">
          <cell r="B290" t="str">
            <v>Any of A-Z, a-z, 0-9, space or .,-()/=!"%&amp;*;&lt;&gt;'+:?</v>
          </cell>
        </row>
        <row r="291">
          <cell r="B291" t="str">
            <v>Any of A-Z, a-z, space or '-.</v>
          </cell>
        </row>
        <row r="292">
          <cell r="B292" t="str">
            <v>Payroll ID</v>
          </cell>
        </row>
        <row r="293">
          <cell r="B293" t="str">
            <v>HMRC Office Number</v>
          </cell>
        </row>
        <row r="294">
          <cell r="B294" t="str">
            <v>Accounts Office Reference</v>
          </cell>
        </row>
        <row r="295">
          <cell r="B295" t="str">
            <v>Tax Year</v>
          </cell>
        </row>
        <row r="296">
          <cell r="B296" t="str">
            <v>EMCS-types: eori number type</v>
          </cell>
        </row>
        <row r="297">
          <cell r="B297" t="str">
            <v>EMCS-tcl: status type</v>
          </cell>
        </row>
      </sheetData>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brary"/>
      <sheetName val="data"/>
      <sheetName val="Changes log"/>
      <sheetName val="Read me"/>
      <sheetName val="Test Case index"/>
      <sheetName val="Selector"/>
      <sheetName val="More Select"/>
      <sheetName val="tc_template"/>
      <sheetName val="target"/>
      <sheetName val="C0"/>
      <sheetName val="C1"/>
      <sheetName val="C2"/>
      <sheetName val="C3"/>
      <sheetName val="C4"/>
      <sheetName val="C5"/>
      <sheetName val="C6"/>
      <sheetName val="C7"/>
      <sheetName val="C8C9C10"/>
      <sheetName val="Add pages"/>
      <sheetName val="Test case"/>
      <sheetName val="SA302"/>
      <sheetName val="Taxable Income"/>
      <sheetName val="Income types"/>
      <sheetName val="CRC"/>
      <sheetName val="Swiss Tax Credit"/>
      <sheetName val="Liability"/>
      <sheetName val="SA302_interface"/>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PRO"/>
      <sheetName val="FOR"/>
      <sheetName val="Swiss Tax"/>
      <sheetName val="FTCR"/>
      <sheetName val="Multi-foreign-gains"/>
      <sheetName val="TRU"/>
      <sheetName val="CGT"/>
      <sheetName val="NRD"/>
      <sheetName val="CAL"/>
      <sheetName val="SA302_template"/>
      <sheetName val="IRCX_template"/>
      <sheetName val="TCRWS"/>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Losses Cap (c20)"/>
      <sheetName val="RBC &amp; Cap (C20a)"/>
      <sheetName val="Notional (c21c24)"/>
      <sheetName val="Pensions (c25c26)"/>
      <sheetName val="S loans(c27)"/>
      <sheetName val="CBC(c28)"/>
      <sheetName val="non-res (c91)"/>
      <sheetName val="c99"/>
      <sheetName val="Swiss (S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
          <cell r="C3" t="str">
            <v>FOR2</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s log"/>
      <sheetName val="Library"/>
      <sheetName val="Read me"/>
      <sheetName val="Test Case index"/>
      <sheetName val="Selector"/>
      <sheetName val="More Select"/>
      <sheetName val="tc_template"/>
      <sheetName val="target"/>
      <sheetName val="C0"/>
      <sheetName val="C1"/>
      <sheetName val="C2"/>
      <sheetName val="C3"/>
      <sheetName val="C4"/>
      <sheetName val="C5"/>
      <sheetName val="C6"/>
      <sheetName val="C7"/>
      <sheetName val="C8C9C10"/>
      <sheetName val="Add pages"/>
      <sheetName val="Test case"/>
      <sheetName val="SA302"/>
      <sheetName val="Taxable Income"/>
      <sheetName val="Income types"/>
      <sheetName val="CRC"/>
      <sheetName val="Swiss Tax Credit"/>
      <sheetName val="Liability"/>
      <sheetName val="SA302_interface"/>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NI"/>
      <sheetName val="PRO"/>
      <sheetName val="FOR"/>
      <sheetName val="Swiss Tax"/>
      <sheetName val="FTCR"/>
      <sheetName val="Multi-foreign-gains"/>
      <sheetName val="TRU"/>
      <sheetName val="CGT"/>
      <sheetName val="NRD"/>
      <sheetName val="CAL"/>
      <sheetName val="SA302_template"/>
      <sheetName val="SA302_template (W)"/>
      <sheetName val="IRCX_template"/>
      <sheetName val="TCRWS"/>
      <sheetName val="FTCR_Calc"/>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RBC &amp; Cap (C20a)"/>
      <sheetName val="Notional (c21c24)"/>
      <sheetName val="Pensions (c25c26)"/>
      <sheetName val="S loans(c27)"/>
      <sheetName val="CBC(c28)"/>
      <sheetName val="non-res (c91)"/>
      <sheetName val="c99"/>
      <sheetName val="Swiss (S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ow r="19">
          <cell r="P19" t="str">
            <v>c4.4</v>
          </cell>
        </row>
        <row r="184">
          <cell r="H184" t="str">
            <v>c4.63b</v>
          </cell>
        </row>
        <row r="241">
          <cell r="L241" t="str">
            <v>c4.70</v>
          </cell>
        </row>
      </sheetData>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s log"/>
      <sheetName val="Library"/>
      <sheetName val="Read me"/>
      <sheetName val="Test Case index"/>
      <sheetName val="Selector"/>
      <sheetName val="More Select"/>
      <sheetName val="tc_template"/>
      <sheetName val="target"/>
      <sheetName val="C0"/>
      <sheetName val="C1"/>
      <sheetName val="C2"/>
      <sheetName val="C3"/>
      <sheetName val="C4"/>
      <sheetName val="C5"/>
      <sheetName val="C6"/>
      <sheetName val="C7"/>
      <sheetName val="C8C9C10"/>
      <sheetName val="Add pages"/>
      <sheetName val="Test case"/>
      <sheetName val="SA302"/>
      <sheetName val="Taxable Income"/>
      <sheetName val="Income types"/>
      <sheetName val="CRC"/>
      <sheetName val="Swiss Tax Credit"/>
      <sheetName val="Liability"/>
      <sheetName val="SA302_interface"/>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NI"/>
      <sheetName val="PRO"/>
      <sheetName val="FOR"/>
      <sheetName val="Swiss Tax"/>
      <sheetName val="FTCR"/>
      <sheetName val="Multi-foreign-gains"/>
      <sheetName val="TRU"/>
      <sheetName val="CGT"/>
      <sheetName val="NRD"/>
      <sheetName val="CAL"/>
      <sheetName val="SA302_template"/>
      <sheetName val="SA302_template (W)"/>
      <sheetName val="IRCX_template"/>
      <sheetName val="TCRWS"/>
      <sheetName val="FTCR_Calc"/>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RBC &amp; Cap (C20a)"/>
      <sheetName val="Notional (c21c24)"/>
      <sheetName val="Pensions (c25c26)"/>
      <sheetName val="S loans(c27)"/>
      <sheetName val="CBC(c28)"/>
      <sheetName val="non-res (c91)"/>
      <sheetName val="c99"/>
      <sheetName val="Swiss (S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ow r="184">
          <cell r="H184" t="str">
            <v>c4.63b</v>
          </cell>
        </row>
      </sheetData>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ow r="32">
          <cell r="M32" t="str">
            <v>c91.6</v>
          </cell>
        </row>
      </sheetData>
      <sheetData sheetId="84"/>
      <sheetData sheetId="8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s log"/>
      <sheetName val="Library"/>
      <sheetName val="Read me"/>
      <sheetName val="Test Case index"/>
      <sheetName val="Selector"/>
      <sheetName val="More Select"/>
      <sheetName val="tc_template"/>
      <sheetName val="target"/>
      <sheetName val="C0"/>
      <sheetName val="C1"/>
      <sheetName val="C2"/>
      <sheetName val="C3"/>
      <sheetName val="C4"/>
      <sheetName val="C5"/>
      <sheetName val="C6"/>
      <sheetName val="C7"/>
      <sheetName val="C8C9C10"/>
      <sheetName val="Add pages"/>
      <sheetName val="Test case"/>
      <sheetName val="SA302"/>
      <sheetName val="Taxable Income"/>
      <sheetName val="Income types"/>
      <sheetName val="CRC"/>
      <sheetName val="Swiss Tax Credit"/>
      <sheetName val="Liability"/>
      <sheetName val="SA302_interface"/>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NI"/>
      <sheetName val="PRO"/>
      <sheetName val="FOR"/>
      <sheetName val="Swiss Tax"/>
      <sheetName val="FTCR"/>
      <sheetName val="Multi-foreign-gains"/>
      <sheetName val="TRU"/>
      <sheetName val="CGT"/>
      <sheetName val="NRD"/>
      <sheetName val="CAL"/>
      <sheetName val="SA302_template"/>
      <sheetName val="SA302_template (W)"/>
      <sheetName val="IRCX_template"/>
      <sheetName val="TCRWS"/>
      <sheetName val="FTCR_Calc"/>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RBC &amp; Cap (C20a)"/>
      <sheetName val="Notional (c21c24)"/>
      <sheetName val="Pensions (c25c26)"/>
      <sheetName val="S loans(c27)"/>
      <sheetName val="CBC(c28)"/>
      <sheetName val="non-res (c91)"/>
      <sheetName val="c99"/>
      <sheetName val="Swiss (S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ow r="136">
          <cell r="I136" t="str">
            <v>c1.58</v>
          </cell>
        </row>
      </sheetData>
      <sheetData sheetId="59"/>
      <sheetData sheetId="60"/>
      <sheetData sheetId="61">
        <row r="162">
          <cell r="I162">
            <v>0</v>
          </cell>
        </row>
      </sheetData>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gov.uk/government/publications/limit-on-income-tax-reliefs-hs204-self-assessment-helpsheet" TargetMode="External"/><Relationship Id="rId1" Type="http://schemas.openxmlformats.org/officeDocument/2006/relationships/hyperlink" Target="http://bg.inrev.gov.uk/tax/actionguides/40100/tax40072_main.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3.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trlProp" Target="../ctrlProps/ctrlProp42.xml"/><Relationship Id="rId26" Type="http://schemas.openxmlformats.org/officeDocument/2006/relationships/ctrlProp" Target="../ctrlProps/ctrlProp50.xml"/><Relationship Id="rId3" Type="http://schemas.openxmlformats.org/officeDocument/2006/relationships/vmlDrawing" Target="../drawings/vmlDrawing4.vml"/><Relationship Id="rId21" Type="http://schemas.openxmlformats.org/officeDocument/2006/relationships/ctrlProp" Target="../ctrlProps/ctrlProp45.x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5"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0.xml"/><Relationship Id="rId20" Type="http://schemas.openxmlformats.org/officeDocument/2006/relationships/ctrlProp" Target="../ctrlProps/ctrlProp44.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24" Type="http://schemas.openxmlformats.org/officeDocument/2006/relationships/ctrlProp" Target="../ctrlProps/ctrlProp48.xml"/><Relationship Id="rId5" Type="http://schemas.openxmlformats.org/officeDocument/2006/relationships/ctrlProp" Target="../ctrlProps/ctrlProp29.xml"/><Relationship Id="rId15" Type="http://schemas.openxmlformats.org/officeDocument/2006/relationships/ctrlProp" Target="../ctrlProps/ctrlProp39.xml"/><Relationship Id="rId23" Type="http://schemas.openxmlformats.org/officeDocument/2006/relationships/ctrlProp" Target="../ctrlProps/ctrlProp47.xml"/><Relationship Id="rId10" Type="http://schemas.openxmlformats.org/officeDocument/2006/relationships/ctrlProp" Target="../ctrlProps/ctrlProp34.xml"/><Relationship Id="rId19" Type="http://schemas.openxmlformats.org/officeDocument/2006/relationships/ctrlProp" Target="../ctrlProps/ctrlProp43.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 Id="rId22"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18" Type="http://schemas.openxmlformats.org/officeDocument/2006/relationships/ctrlProp" Target="../ctrlProps/ctrlProp65.xml"/><Relationship Id="rId3" Type="http://schemas.openxmlformats.org/officeDocument/2006/relationships/vmlDrawing" Target="../drawings/vmlDrawing13.vml"/><Relationship Id="rId21" Type="http://schemas.openxmlformats.org/officeDocument/2006/relationships/ctrlProp" Target="../ctrlProps/ctrlProp68.xml"/><Relationship Id="rId7" Type="http://schemas.openxmlformats.org/officeDocument/2006/relationships/ctrlProp" Target="../ctrlProps/ctrlProp54.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2" Type="http://schemas.openxmlformats.org/officeDocument/2006/relationships/drawing" Target="../drawings/drawing6.xml"/><Relationship Id="rId16" Type="http://schemas.openxmlformats.org/officeDocument/2006/relationships/ctrlProp" Target="../ctrlProps/ctrlProp63.xml"/><Relationship Id="rId20" Type="http://schemas.openxmlformats.org/officeDocument/2006/relationships/ctrlProp" Target="../ctrlProps/ctrlProp67.xml"/><Relationship Id="rId1" Type="http://schemas.openxmlformats.org/officeDocument/2006/relationships/printerSettings" Target="../printerSettings/printerSettings19.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10" Type="http://schemas.openxmlformats.org/officeDocument/2006/relationships/ctrlProp" Target="../ctrlProps/ctrlProp57.xml"/><Relationship Id="rId19" Type="http://schemas.openxmlformats.org/officeDocument/2006/relationships/ctrlProp" Target="../ctrlProps/ctrlProp66.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29.bin"/><Relationship Id="rId6" Type="http://schemas.openxmlformats.org/officeDocument/2006/relationships/comments" Target="../comments9.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5.vml"/><Relationship Id="rId7" Type="http://schemas.openxmlformats.org/officeDocument/2006/relationships/ctrlProp" Target="../ctrlProps/ctrlProp78.xml"/><Relationship Id="rId2" Type="http://schemas.openxmlformats.org/officeDocument/2006/relationships/drawing" Target="../drawings/drawing9.xml"/><Relationship Id="rId1" Type="http://schemas.openxmlformats.org/officeDocument/2006/relationships/printerSettings" Target="../printerSettings/printerSettings32.bin"/><Relationship Id="rId6" Type="http://schemas.openxmlformats.org/officeDocument/2006/relationships/ctrlProp" Target="../ctrlProps/ctrlProp77.xml"/><Relationship Id="rId5" Type="http://schemas.openxmlformats.org/officeDocument/2006/relationships/ctrlProp" Target="../ctrlProps/ctrlProp76.xml"/><Relationship Id="rId10" Type="http://schemas.openxmlformats.org/officeDocument/2006/relationships/comments" Target="../comments10.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33.bin"/><Relationship Id="rId4" Type="http://schemas.openxmlformats.org/officeDocument/2006/relationships/ctrlProp" Target="../ctrlProps/ctrlProp8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34.bin"/><Relationship Id="rId4" Type="http://schemas.openxmlformats.org/officeDocument/2006/relationships/ctrlProp" Target="../ctrlProps/ctrlProp82.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18.vml"/><Relationship Id="rId1" Type="http://schemas.openxmlformats.org/officeDocument/2006/relationships/drawing" Target="../drawings/drawing12.xml"/><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38.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39.bin"/><Relationship Id="rId4" Type="http://schemas.openxmlformats.org/officeDocument/2006/relationships/ctrlProp" Target="../ctrlProps/ctrlProp90.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21.vml"/><Relationship Id="rId7" Type="http://schemas.openxmlformats.org/officeDocument/2006/relationships/ctrlProp" Target="../ctrlProps/ctrlProp94.xml"/><Relationship Id="rId2" Type="http://schemas.openxmlformats.org/officeDocument/2006/relationships/drawing" Target="../drawings/drawing15.xml"/><Relationship Id="rId1" Type="http://schemas.openxmlformats.org/officeDocument/2006/relationships/printerSettings" Target="../printerSettings/printerSettings40.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23.vml"/><Relationship Id="rId7" Type="http://schemas.openxmlformats.org/officeDocument/2006/relationships/ctrlProp" Target="../ctrlProps/ctrlProp102.xml"/><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43.bin"/><Relationship Id="rId4" Type="http://schemas.openxmlformats.org/officeDocument/2006/relationships/ctrlProp" Target="../ctrlProps/ctrlProp104.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9.xml"/><Relationship Id="rId1" Type="http://schemas.openxmlformats.org/officeDocument/2006/relationships/printerSettings" Target="../printerSettings/printerSettings45.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18" Type="http://schemas.openxmlformats.org/officeDocument/2006/relationships/ctrlProp" Target="../ctrlProps/ctrlProp120.xml"/><Relationship Id="rId26" Type="http://schemas.openxmlformats.org/officeDocument/2006/relationships/ctrlProp" Target="../ctrlProps/ctrlProp128.xml"/><Relationship Id="rId3" Type="http://schemas.openxmlformats.org/officeDocument/2006/relationships/printerSettings" Target="../printerSettings/printerSettings46.bin"/><Relationship Id="rId21" Type="http://schemas.openxmlformats.org/officeDocument/2006/relationships/ctrlProp" Target="../ctrlProps/ctrlProp123.xml"/><Relationship Id="rId7" Type="http://schemas.openxmlformats.org/officeDocument/2006/relationships/ctrlProp" Target="../ctrlProps/ctrlProp109.xml"/><Relationship Id="rId12" Type="http://schemas.openxmlformats.org/officeDocument/2006/relationships/ctrlProp" Target="../ctrlProps/ctrlProp114.xml"/><Relationship Id="rId17" Type="http://schemas.openxmlformats.org/officeDocument/2006/relationships/ctrlProp" Target="../ctrlProps/ctrlProp119.xml"/><Relationship Id="rId25" Type="http://schemas.openxmlformats.org/officeDocument/2006/relationships/ctrlProp" Target="../ctrlProps/ctrlProp127.xml"/><Relationship Id="rId2" Type="http://schemas.openxmlformats.org/officeDocument/2006/relationships/hyperlink" Target="http://bg.inrev.gov.uk/tax/helpcards/tax50104.pdf" TargetMode="External"/><Relationship Id="rId16" Type="http://schemas.openxmlformats.org/officeDocument/2006/relationships/ctrlProp" Target="../ctrlProps/ctrlProp118.xml"/><Relationship Id="rId20" Type="http://schemas.openxmlformats.org/officeDocument/2006/relationships/ctrlProp" Target="../ctrlProps/ctrlProp122.xml"/><Relationship Id="rId1" Type="http://schemas.openxmlformats.org/officeDocument/2006/relationships/hyperlink" Target="https://www.gov.uk/government/uploads/system/uploads/attachment_data/file/356800/Digest_of_Double_Taxation_Treaties.pdf" TargetMode="External"/><Relationship Id="rId6" Type="http://schemas.openxmlformats.org/officeDocument/2006/relationships/ctrlProp" Target="../ctrlProps/ctrlProp108.xml"/><Relationship Id="rId11" Type="http://schemas.openxmlformats.org/officeDocument/2006/relationships/ctrlProp" Target="../ctrlProps/ctrlProp113.xml"/><Relationship Id="rId24" Type="http://schemas.openxmlformats.org/officeDocument/2006/relationships/ctrlProp" Target="../ctrlProps/ctrlProp126.xml"/><Relationship Id="rId5" Type="http://schemas.openxmlformats.org/officeDocument/2006/relationships/vmlDrawing" Target="../drawings/vmlDrawing26.vml"/><Relationship Id="rId15" Type="http://schemas.openxmlformats.org/officeDocument/2006/relationships/ctrlProp" Target="../ctrlProps/ctrlProp117.xml"/><Relationship Id="rId23" Type="http://schemas.openxmlformats.org/officeDocument/2006/relationships/ctrlProp" Target="../ctrlProps/ctrlProp125.xml"/><Relationship Id="rId10" Type="http://schemas.openxmlformats.org/officeDocument/2006/relationships/ctrlProp" Target="../ctrlProps/ctrlProp112.xml"/><Relationship Id="rId19" Type="http://schemas.openxmlformats.org/officeDocument/2006/relationships/ctrlProp" Target="../ctrlProps/ctrlProp121.xml"/><Relationship Id="rId4" Type="http://schemas.openxmlformats.org/officeDocument/2006/relationships/drawing" Target="../drawings/drawing20.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 Id="rId27" Type="http://schemas.openxmlformats.org/officeDocument/2006/relationships/comments" Target="../comments11.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1.xml"/><Relationship Id="rId1" Type="http://schemas.openxmlformats.org/officeDocument/2006/relationships/printerSettings" Target="../printerSettings/printerSettings47.bin"/><Relationship Id="rId4" Type="http://schemas.openxmlformats.org/officeDocument/2006/relationships/ctrlProp" Target="../ctrlProps/ctrlProp129.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134.xml"/><Relationship Id="rId3" Type="http://schemas.openxmlformats.org/officeDocument/2006/relationships/vmlDrawing" Target="../drawings/vmlDrawing28.v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drawing" Target="../drawings/drawing22.xml"/><Relationship Id="rId1" Type="http://schemas.openxmlformats.org/officeDocument/2006/relationships/printerSettings" Target="../printerSettings/printerSettings50.bin"/><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0" Type="http://schemas.openxmlformats.org/officeDocument/2006/relationships/ctrlProp" Target="../ctrlProps/ctrlProp136.xml"/><Relationship Id="rId4" Type="http://schemas.openxmlformats.org/officeDocument/2006/relationships/ctrlProp" Target="../ctrlProps/ctrlProp130.xml"/><Relationship Id="rId9" Type="http://schemas.openxmlformats.org/officeDocument/2006/relationships/ctrlProp" Target="../ctrlProps/ctrlProp135.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rgb="FFFFFF99"/>
  </sheetPr>
  <dimension ref="A1:AO226"/>
  <sheetViews>
    <sheetView zoomScale="106" zoomScaleNormal="106" workbookViewId="0">
      <pane xSplit="1" ySplit="1" topLeftCell="B2" activePane="bottomRight" state="frozen"/>
      <selection pane="topRight" activeCell="B1" sqref="B1"/>
      <selection pane="bottomLeft" activeCell="A2" sqref="A2"/>
      <selection pane="bottomRight" activeCell="C89" sqref="C89"/>
    </sheetView>
  </sheetViews>
  <sheetFormatPr defaultColWidth="5.73046875" defaultRowHeight="11.65" x14ac:dyDescent="0.35"/>
  <cols>
    <col min="1" max="1" width="4.3984375" style="115" bestFit="1" customWidth="1"/>
    <col min="2" max="2" width="4.86328125" style="289" bestFit="1" customWidth="1"/>
    <col min="3" max="5" width="5.86328125" style="543" bestFit="1" customWidth="1"/>
    <col min="6" max="8" width="6.265625" style="543" bestFit="1" customWidth="1"/>
    <col min="9" max="9" width="4.3984375" style="543" bestFit="1" customWidth="1"/>
    <col min="10" max="10" width="5" style="40" bestFit="1" customWidth="1"/>
    <col min="11" max="11" width="5.1328125" style="40" bestFit="1" customWidth="1"/>
    <col min="12" max="12" width="3.86328125" style="289" bestFit="1" customWidth="1"/>
    <col min="13" max="15" width="5.86328125" style="543" bestFit="1" customWidth="1"/>
    <col min="16" max="18" width="6.3984375" style="543" bestFit="1" customWidth="1"/>
    <col min="19" max="19" width="5" style="543" bestFit="1" customWidth="1"/>
    <col min="20" max="20" width="5.265625" style="543" bestFit="1" customWidth="1"/>
    <col min="21" max="21" width="3.73046875" style="543" bestFit="1" customWidth="1"/>
    <col min="22" max="23" width="6.3984375" style="543" bestFit="1" customWidth="1"/>
    <col min="24" max="24" width="5.265625" style="543" bestFit="1" customWidth="1"/>
    <col min="25" max="27" width="4.3984375" style="543" bestFit="1" customWidth="1"/>
    <col min="28" max="29" width="4.59765625" style="543" bestFit="1" customWidth="1"/>
    <col min="30" max="30" width="3.73046875" style="543" bestFit="1" customWidth="1"/>
    <col min="31" max="31" width="3.3984375" style="543" bestFit="1" customWidth="1"/>
    <col min="32" max="32" width="5" style="543" bestFit="1" customWidth="1"/>
    <col min="33" max="33" width="4.86328125" style="543" bestFit="1" customWidth="1"/>
    <col min="34" max="34" width="4.59765625" style="543" bestFit="1" customWidth="1"/>
    <col min="35" max="35" width="4.86328125" style="543" bestFit="1" customWidth="1"/>
    <col min="36" max="36" width="5" style="543" bestFit="1" customWidth="1"/>
    <col min="37" max="37" width="4.59765625" style="543" bestFit="1" customWidth="1"/>
    <col min="38" max="38" width="7.3984375" style="543" bestFit="1" customWidth="1"/>
    <col min="39" max="39" width="7.1328125" style="543" bestFit="1" customWidth="1"/>
    <col min="40" max="40" width="7" style="543" bestFit="1" customWidth="1"/>
    <col min="41" max="41" width="8.1328125" style="543" bestFit="1" customWidth="1"/>
    <col min="42" max="16384" width="5.73046875" style="543"/>
  </cols>
  <sheetData>
    <row r="1" spans="1:41" s="115" customFormat="1" ht="12" thickBot="1" x14ac:dyDescent="0.4">
      <c r="A1" s="1103">
        <v>222</v>
      </c>
      <c r="B1" s="623" t="s">
        <v>668</v>
      </c>
      <c r="C1" s="622" t="str">
        <f>C0!C10</f>
        <v>INC-A</v>
      </c>
      <c r="D1" s="622" t="str">
        <f>C0!C19</f>
        <v>INC-B</v>
      </c>
      <c r="E1" s="622" t="str">
        <f>C0!C30</f>
        <v>INC-C</v>
      </c>
      <c r="F1" s="622" t="str">
        <f>C0!C37</f>
        <v>REL-A</v>
      </c>
      <c r="G1" s="622" t="str">
        <f>C0!C43</f>
        <v>REL-B</v>
      </c>
      <c r="H1" s="622" t="str">
        <f>C0!C53</f>
        <v>REL-C</v>
      </c>
      <c r="I1" s="623" t="str">
        <f>C0!C59</f>
        <v>SLR</v>
      </c>
      <c r="J1" s="991" t="str">
        <f>C0!C65</f>
        <v>CBC</v>
      </c>
      <c r="K1" s="1153" t="str">
        <f>C0!C70</f>
        <v>MAT</v>
      </c>
      <c r="L1" s="623" t="s">
        <v>942</v>
      </c>
      <c r="M1" s="622" t="str">
        <f>'C1'!C3</f>
        <v>AOI-A</v>
      </c>
      <c r="N1" s="622" t="str">
        <f>'C1'!C9</f>
        <v>AOI-B</v>
      </c>
      <c r="O1" s="622" t="str">
        <f>'C1'!C20</f>
        <v>AOI-C</v>
      </c>
      <c r="P1" s="622" t="str">
        <f>'C1'!C27</f>
        <v>ASE-A</v>
      </c>
      <c r="Q1" s="622" t="str">
        <f>'C1'!C31</f>
        <v>ASE-B</v>
      </c>
      <c r="R1" s="622" t="str">
        <f>'C1'!C42</f>
        <v>ASE-C</v>
      </c>
      <c r="S1" s="622" t="str">
        <f>'C1'!C49</f>
        <v>AOR</v>
      </c>
      <c r="T1" s="622" t="str">
        <f>'C1'!C72</f>
        <v>MCA</v>
      </c>
      <c r="U1" s="622" t="str">
        <f>'C1'!C85</f>
        <v>AIL</v>
      </c>
      <c r="V1" s="622" t="s">
        <v>1110</v>
      </c>
      <c r="W1" s="622" t="s">
        <v>1111</v>
      </c>
      <c r="X1" s="622" t="s">
        <v>2184</v>
      </c>
      <c r="Y1" s="622" t="s">
        <v>2185</v>
      </c>
      <c r="Z1" s="622" t="s">
        <v>3925</v>
      </c>
      <c r="AA1" s="622" t="s">
        <v>3927</v>
      </c>
      <c r="AB1" s="622" t="s">
        <v>2385</v>
      </c>
      <c r="AC1" s="622" t="s">
        <v>3564</v>
      </c>
      <c r="AD1" s="1663" t="str">
        <f>'C8C9C10'!C124</f>
        <v>NI2</v>
      </c>
      <c r="AE1" s="1663" t="str">
        <f>'C8C9C10'!C128</f>
        <v>NI1</v>
      </c>
      <c r="AF1" s="622" t="s">
        <v>3566</v>
      </c>
      <c r="AG1" s="622" t="s">
        <v>3567</v>
      </c>
      <c r="AH1" s="622" t="s">
        <v>3568</v>
      </c>
      <c r="AI1" s="622" t="s">
        <v>2951</v>
      </c>
      <c r="AJ1" s="622" t="s">
        <v>3569</v>
      </c>
      <c r="AK1" s="622" t="s">
        <v>579</v>
      </c>
      <c r="AL1" s="622" t="s">
        <v>1956</v>
      </c>
      <c r="AM1" s="622" t="s">
        <v>1957</v>
      </c>
      <c r="AN1" s="622" t="s">
        <v>3402</v>
      </c>
      <c r="AO1" s="620" t="s">
        <v>4916</v>
      </c>
    </row>
    <row r="2" spans="1:41" x14ac:dyDescent="0.35">
      <c r="A2" s="624">
        <v>1</v>
      </c>
      <c r="B2" s="2894">
        <v>3</v>
      </c>
      <c r="C2" s="2895">
        <v>16</v>
      </c>
      <c r="D2" s="147">
        <v>1</v>
      </c>
      <c r="E2" s="147">
        <v>1</v>
      </c>
      <c r="F2" s="2895">
        <v>9</v>
      </c>
      <c r="G2" s="147">
        <v>1</v>
      </c>
      <c r="H2" s="147">
        <v>1</v>
      </c>
      <c r="I2" s="289">
        <v>1</v>
      </c>
      <c r="J2" s="147">
        <v>1</v>
      </c>
      <c r="K2" s="147">
        <v>1</v>
      </c>
      <c r="L2" s="617">
        <v>2</v>
      </c>
      <c r="M2" s="147">
        <v>1</v>
      </c>
      <c r="N2" s="147">
        <v>1</v>
      </c>
      <c r="O2" s="147">
        <v>1</v>
      </c>
      <c r="P2" s="147">
        <v>1</v>
      </c>
      <c r="Q2" s="147">
        <v>1</v>
      </c>
      <c r="R2" s="147">
        <v>1</v>
      </c>
      <c r="S2" s="147">
        <v>1</v>
      </c>
      <c r="T2" s="147">
        <v>1</v>
      </c>
      <c r="U2" s="147">
        <v>1</v>
      </c>
      <c r="V2" s="2895">
        <v>13</v>
      </c>
      <c r="W2" s="147">
        <v>1</v>
      </c>
      <c r="X2" s="147">
        <v>1</v>
      </c>
      <c r="Y2" s="147">
        <v>1</v>
      </c>
      <c r="Z2" s="147">
        <v>1</v>
      </c>
      <c r="AA2" s="147">
        <v>1</v>
      </c>
      <c r="AB2" s="147">
        <v>1</v>
      </c>
      <c r="AC2" s="147">
        <v>1</v>
      </c>
      <c r="AD2" s="1466">
        <v>1</v>
      </c>
      <c r="AE2" s="1466">
        <v>1</v>
      </c>
      <c r="AF2" s="147">
        <v>1</v>
      </c>
      <c r="AG2" s="147">
        <v>1</v>
      </c>
      <c r="AH2" s="147">
        <v>1</v>
      </c>
      <c r="AI2" s="147">
        <v>1</v>
      </c>
      <c r="AJ2" s="147">
        <v>1</v>
      </c>
      <c r="AK2" s="2895">
        <v>1</v>
      </c>
      <c r="AL2" s="147">
        <v>7</v>
      </c>
      <c r="AM2" s="828">
        <v>0</v>
      </c>
      <c r="AN2" s="147" t="b">
        <v>0</v>
      </c>
      <c r="AO2" s="147" t="b">
        <v>0</v>
      </c>
    </row>
    <row r="3" spans="1:41" x14ac:dyDescent="0.35">
      <c r="A3" s="620">
        <v>2</v>
      </c>
      <c r="B3" s="617">
        <v>2</v>
      </c>
      <c r="C3" s="147">
        <v>11</v>
      </c>
      <c r="D3" s="147">
        <v>1</v>
      </c>
      <c r="E3" s="147">
        <v>1</v>
      </c>
      <c r="F3" s="147">
        <v>1</v>
      </c>
      <c r="G3" s="147">
        <v>1</v>
      </c>
      <c r="H3" s="147">
        <v>1</v>
      </c>
      <c r="I3" s="147">
        <v>1</v>
      </c>
      <c r="J3" s="147">
        <v>1</v>
      </c>
      <c r="K3" s="147">
        <v>1</v>
      </c>
      <c r="L3" s="147">
        <v>2</v>
      </c>
      <c r="M3" s="147">
        <v>1</v>
      </c>
      <c r="N3" s="147">
        <v>1</v>
      </c>
      <c r="O3" s="147">
        <v>1</v>
      </c>
      <c r="P3" s="147">
        <v>1</v>
      </c>
      <c r="Q3" s="147">
        <v>1</v>
      </c>
      <c r="R3" s="147">
        <v>1</v>
      </c>
      <c r="S3" s="147">
        <v>1</v>
      </c>
      <c r="T3" s="147">
        <v>1</v>
      </c>
      <c r="U3" s="147">
        <v>1</v>
      </c>
      <c r="V3" s="147">
        <v>8</v>
      </c>
      <c r="W3" s="147">
        <v>1</v>
      </c>
      <c r="X3" s="147">
        <v>1</v>
      </c>
      <c r="Y3" s="147">
        <v>1</v>
      </c>
      <c r="Z3" s="147">
        <v>1</v>
      </c>
      <c r="AA3" s="147">
        <v>1</v>
      </c>
      <c r="AB3" s="147">
        <v>1</v>
      </c>
      <c r="AC3" s="147">
        <v>1</v>
      </c>
      <c r="AD3" s="1466">
        <v>1</v>
      </c>
      <c r="AE3" s="1466">
        <v>1</v>
      </c>
      <c r="AF3" s="147">
        <v>2</v>
      </c>
      <c r="AG3" s="147">
        <v>1</v>
      </c>
      <c r="AH3" s="147">
        <v>1</v>
      </c>
      <c r="AI3" s="147">
        <v>1</v>
      </c>
      <c r="AJ3" s="147">
        <v>1</v>
      </c>
      <c r="AK3" s="147">
        <v>5</v>
      </c>
      <c r="AL3" s="147">
        <v>5</v>
      </c>
      <c r="AM3" s="828">
        <v>0</v>
      </c>
      <c r="AN3" s="147" t="b">
        <v>0</v>
      </c>
      <c r="AO3" s="147" t="b">
        <v>0</v>
      </c>
    </row>
    <row r="4" spans="1:41" x14ac:dyDescent="0.35">
      <c r="A4" s="620">
        <v>3</v>
      </c>
      <c r="B4" s="617">
        <v>2</v>
      </c>
      <c r="C4" s="147">
        <v>2</v>
      </c>
      <c r="D4" s="147">
        <v>1</v>
      </c>
      <c r="E4" s="147">
        <v>1</v>
      </c>
      <c r="F4" s="147">
        <v>2</v>
      </c>
      <c r="G4" s="147">
        <v>1</v>
      </c>
      <c r="H4" s="147">
        <v>1</v>
      </c>
      <c r="I4" s="147">
        <v>1</v>
      </c>
      <c r="J4" s="147">
        <v>1</v>
      </c>
      <c r="K4" s="147">
        <v>5</v>
      </c>
      <c r="L4" s="147">
        <v>2</v>
      </c>
      <c r="M4" s="147">
        <v>1</v>
      </c>
      <c r="N4" s="147">
        <v>1</v>
      </c>
      <c r="O4" s="147">
        <v>1</v>
      </c>
      <c r="P4" s="147">
        <v>1</v>
      </c>
      <c r="Q4" s="147">
        <v>1</v>
      </c>
      <c r="R4" s="147">
        <v>1</v>
      </c>
      <c r="S4" s="147">
        <v>1</v>
      </c>
      <c r="T4" s="147">
        <v>1</v>
      </c>
      <c r="U4" s="147">
        <v>1</v>
      </c>
      <c r="V4" s="147">
        <v>8</v>
      </c>
      <c r="W4" s="147">
        <v>1</v>
      </c>
      <c r="X4" s="147">
        <v>1</v>
      </c>
      <c r="Y4" s="147">
        <v>1</v>
      </c>
      <c r="Z4" s="147">
        <v>6</v>
      </c>
      <c r="AA4" s="147">
        <v>1</v>
      </c>
      <c r="AB4" s="147">
        <v>1</v>
      </c>
      <c r="AC4" s="147">
        <v>1</v>
      </c>
      <c r="AD4" s="1466">
        <v>11</v>
      </c>
      <c r="AE4" s="1466">
        <v>8</v>
      </c>
      <c r="AF4" s="147">
        <v>1</v>
      </c>
      <c r="AG4" s="147">
        <v>1</v>
      </c>
      <c r="AH4" s="147">
        <v>1</v>
      </c>
      <c r="AI4" s="147">
        <v>1</v>
      </c>
      <c r="AJ4" s="147">
        <v>1</v>
      </c>
      <c r="AK4" s="147">
        <v>5</v>
      </c>
      <c r="AL4" s="147">
        <v>5</v>
      </c>
      <c r="AM4" s="828">
        <v>0</v>
      </c>
      <c r="AN4" s="147" t="b">
        <v>0</v>
      </c>
      <c r="AO4" s="147" t="b">
        <v>0</v>
      </c>
    </row>
    <row r="5" spans="1:41" x14ac:dyDescent="0.35">
      <c r="A5" s="620">
        <v>4</v>
      </c>
      <c r="B5" s="617">
        <v>2</v>
      </c>
      <c r="C5" s="2895">
        <v>18</v>
      </c>
      <c r="D5" s="147">
        <v>13</v>
      </c>
      <c r="E5" s="147">
        <v>1</v>
      </c>
      <c r="F5" s="147">
        <v>1</v>
      </c>
      <c r="G5" s="147">
        <v>1</v>
      </c>
      <c r="H5" s="147">
        <v>1</v>
      </c>
      <c r="I5" s="147">
        <v>1</v>
      </c>
      <c r="J5" s="147">
        <v>1</v>
      </c>
      <c r="K5" s="147">
        <v>1</v>
      </c>
      <c r="L5" s="147">
        <v>1</v>
      </c>
      <c r="M5" s="147">
        <v>1</v>
      </c>
      <c r="N5" s="147">
        <v>1</v>
      </c>
      <c r="O5" s="147">
        <v>1</v>
      </c>
      <c r="P5" s="147">
        <v>1</v>
      </c>
      <c r="Q5" s="147">
        <v>1</v>
      </c>
      <c r="R5" s="147">
        <v>1</v>
      </c>
      <c r="S5" s="147">
        <v>1</v>
      </c>
      <c r="T5" s="147">
        <v>1</v>
      </c>
      <c r="U5" s="147">
        <v>1</v>
      </c>
      <c r="V5" s="147">
        <v>1</v>
      </c>
      <c r="W5" s="147">
        <v>1</v>
      </c>
      <c r="X5" s="147">
        <v>1</v>
      </c>
      <c r="Y5" s="147">
        <v>1</v>
      </c>
      <c r="Z5" s="147">
        <v>1</v>
      </c>
      <c r="AA5" s="147">
        <v>1</v>
      </c>
      <c r="AB5" s="147">
        <v>1</v>
      </c>
      <c r="AC5" s="147">
        <v>1</v>
      </c>
      <c r="AD5" s="1466">
        <v>1</v>
      </c>
      <c r="AE5" s="1466">
        <v>1</v>
      </c>
      <c r="AF5" s="147">
        <v>1</v>
      </c>
      <c r="AG5" s="147">
        <v>1</v>
      </c>
      <c r="AH5" s="147">
        <v>1</v>
      </c>
      <c r="AI5" s="147">
        <v>1</v>
      </c>
      <c r="AJ5" s="147">
        <v>1</v>
      </c>
      <c r="AK5" s="147">
        <v>1</v>
      </c>
      <c r="AL5" s="147">
        <v>5</v>
      </c>
      <c r="AM5" s="828">
        <v>0</v>
      </c>
      <c r="AN5" s="147" t="b">
        <v>0</v>
      </c>
      <c r="AO5" s="147" t="b">
        <v>0</v>
      </c>
    </row>
    <row r="6" spans="1:41" x14ac:dyDescent="0.35">
      <c r="A6" s="620">
        <v>5</v>
      </c>
      <c r="B6" s="617">
        <v>3</v>
      </c>
      <c r="C6" s="147">
        <v>11</v>
      </c>
      <c r="D6" s="147">
        <v>1</v>
      </c>
      <c r="E6" s="147">
        <v>1</v>
      </c>
      <c r="F6" s="147">
        <v>2</v>
      </c>
      <c r="G6" s="147">
        <v>1</v>
      </c>
      <c r="H6" s="147">
        <v>1</v>
      </c>
      <c r="I6" s="147">
        <v>1</v>
      </c>
      <c r="J6" s="147">
        <v>1</v>
      </c>
      <c r="K6" s="147">
        <v>5</v>
      </c>
      <c r="L6" s="147">
        <v>2</v>
      </c>
      <c r="M6" s="147">
        <v>1</v>
      </c>
      <c r="N6" s="147">
        <v>1</v>
      </c>
      <c r="O6" s="147">
        <v>1</v>
      </c>
      <c r="P6" s="147">
        <v>1</v>
      </c>
      <c r="Q6" s="147">
        <v>1</v>
      </c>
      <c r="R6" s="147">
        <v>1</v>
      </c>
      <c r="S6" s="147">
        <v>1</v>
      </c>
      <c r="T6" s="147">
        <v>1</v>
      </c>
      <c r="U6" s="147">
        <v>1</v>
      </c>
      <c r="V6" s="147">
        <v>1</v>
      </c>
      <c r="W6" s="147">
        <v>1</v>
      </c>
      <c r="X6" s="147">
        <v>1</v>
      </c>
      <c r="Y6" s="147">
        <v>1</v>
      </c>
      <c r="Z6" s="147">
        <v>6</v>
      </c>
      <c r="AA6" s="147">
        <v>1</v>
      </c>
      <c r="AB6" s="147">
        <v>1</v>
      </c>
      <c r="AC6" s="147">
        <v>1</v>
      </c>
      <c r="AD6" s="1466">
        <v>11</v>
      </c>
      <c r="AE6" s="1466">
        <v>1</v>
      </c>
      <c r="AF6" s="147">
        <v>1</v>
      </c>
      <c r="AG6" s="147">
        <v>1</v>
      </c>
      <c r="AH6" s="147">
        <v>1</v>
      </c>
      <c r="AI6" s="147">
        <v>1</v>
      </c>
      <c r="AJ6" s="147">
        <v>1</v>
      </c>
      <c r="AK6" s="147">
        <v>1</v>
      </c>
      <c r="AL6" s="147">
        <v>5</v>
      </c>
      <c r="AM6" s="828">
        <v>0</v>
      </c>
      <c r="AN6" s="147" t="b">
        <v>0</v>
      </c>
      <c r="AO6" s="147" t="b">
        <v>0</v>
      </c>
    </row>
    <row r="7" spans="1:41" x14ac:dyDescent="0.35">
      <c r="A7" s="620">
        <v>6</v>
      </c>
      <c r="B7" s="617">
        <v>3</v>
      </c>
      <c r="C7" s="147">
        <v>11</v>
      </c>
      <c r="D7" s="147">
        <v>2</v>
      </c>
      <c r="E7" s="147">
        <v>1</v>
      </c>
      <c r="F7" s="147">
        <v>1</v>
      </c>
      <c r="G7" s="147">
        <v>1</v>
      </c>
      <c r="H7" s="147">
        <v>1</v>
      </c>
      <c r="I7" s="147">
        <v>1</v>
      </c>
      <c r="J7" s="147">
        <v>1</v>
      </c>
      <c r="K7" s="147">
        <v>1</v>
      </c>
      <c r="L7" s="147">
        <v>2</v>
      </c>
      <c r="M7" s="147">
        <v>1</v>
      </c>
      <c r="N7" s="147">
        <v>1</v>
      </c>
      <c r="O7" s="147">
        <v>1</v>
      </c>
      <c r="P7" s="147">
        <v>1</v>
      </c>
      <c r="Q7" s="147">
        <v>1</v>
      </c>
      <c r="R7" s="147">
        <v>1</v>
      </c>
      <c r="S7" s="147">
        <v>1</v>
      </c>
      <c r="T7" s="147">
        <v>1</v>
      </c>
      <c r="U7" s="147">
        <v>1</v>
      </c>
      <c r="V7" s="147">
        <v>1</v>
      </c>
      <c r="W7" s="147">
        <v>1</v>
      </c>
      <c r="X7" s="147">
        <v>1</v>
      </c>
      <c r="Y7" s="147">
        <v>1</v>
      </c>
      <c r="Z7" s="2895">
        <v>11</v>
      </c>
      <c r="AA7" s="147">
        <v>1</v>
      </c>
      <c r="AB7" s="147">
        <v>1</v>
      </c>
      <c r="AC7" s="147">
        <v>1</v>
      </c>
      <c r="AD7" s="1466">
        <v>11</v>
      </c>
      <c r="AE7" s="1466">
        <v>1</v>
      </c>
      <c r="AF7" s="147">
        <v>1</v>
      </c>
      <c r="AG7" s="147">
        <v>1</v>
      </c>
      <c r="AH7" s="147">
        <v>1</v>
      </c>
      <c r="AI7" s="147">
        <v>1</v>
      </c>
      <c r="AJ7" s="147">
        <v>1</v>
      </c>
      <c r="AK7" s="147">
        <v>1</v>
      </c>
      <c r="AL7" s="2895">
        <v>4</v>
      </c>
      <c r="AM7" s="828">
        <v>0</v>
      </c>
      <c r="AN7" s="147" t="b">
        <v>1</v>
      </c>
      <c r="AO7" s="147" t="b">
        <v>0</v>
      </c>
    </row>
    <row r="8" spans="1:41" x14ac:dyDescent="0.35">
      <c r="A8" s="620">
        <v>7</v>
      </c>
      <c r="B8" s="617">
        <v>2</v>
      </c>
      <c r="C8" s="147">
        <v>1</v>
      </c>
      <c r="D8" s="147">
        <v>1</v>
      </c>
      <c r="E8" s="147">
        <v>1</v>
      </c>
      <c r="F8" s="147">
        <v>2</v>
      </c>
      <c r="G8" s="147">
        <v>1</v>
      </c>
      <c r="H8" s="147">
        <v>1</v>
      </c>
      <c r="I8" s="147">
        <v>1</v>
      </c>
      <c r="J8" s="147">
        <v>1</v>
      </c>
      <c r="K8" s="147">
        <v>1</v>
      </c>
      <c r="L8" s="147">
        <v>2</v>
      </c>
      <c r="M8" s="147">
        <v>1</v>
      </c>
      <c r="N8" s="147">
        <v>1</v>
      </c>
      <c r="O8" s="147">
        <v>1</v>
      </c>
      <c r="P8" s="147">
        <v>1</v>
      </c>
      <c r="Q8" s="147">
        <v>1</v>
      </c>
      <c r="R8" s="147">
        <v>1</v>
      </c>
      <c r="S8" s="147">
        <v>1</v>
      </c>
      <c r="T8" s="147">
        <v>8</v>
      </c>
      <c r="U8" s="147">
        <v>1</v>
      </c>
      <c r="V8" s="147">
        <v>8</v>
      </c>
      <c r="W8" s="147">
        <v>1</v>
      </c>
      <c r="X8" s="147">
        <v>1</v>
      </c>
      <c r="Y8" s="147">
        <v>1</v>
      </c>
      <c r="Z8" s="147">
        <v>1</v>
      </c>
      <c r="AA8" s="147">
        <v>1</v>
      </c>
      <c r="AB8" s="147">
        <v>1</v>
      </c>
      <c r="AC8" s="147">
        <v>1</v>
      </c>
      <c r="AD8" s="1466">
        <v>1</v>
      </c>
      <c r="AE8" s="1466">
        <v>1</v>
      </c>
      <c r="AF8" s="147">
        <v>1</v>
      </c>
      <c r="AG8" s="147">
        <v>1</v>
      </c>
      <c r="AH8" s="147">
        <v>1</v>
      </c>
      <c r="AI8" s="147">
        <v>1</v>
      </c>
      <c r="AJ8" s="147">
        <v>1</v>
      </c>
      <c r="AK8" s="147">
        <v>5</v>
      </c>
      <c r="AL8" s="147">
        <v>3</v>
      </c>
      <c r="AM8" s="828">
        <v>0</v>
      </c>
      <c r="AN8" s="147" t="b">
        <v>1</v>
      </c>
      <c r="AO8" s="147" t="b">
        <v>0</v>
      </c>
    </row>
    <row r="9" spans="1:41" x14ac:dyDescent="0.35">
      <c r="A9" s="620">
        <v>8</v>
      </c>
      <c r="B9" s="617">
        <v>2</v>
      </c>
      <c r="C9" s="147">
        <v>1</v>
      </c>
      <c r="D9" s="147">
        <v>2</v>
      </c>
      <c r="E9" s="147">
        <v>1</v>
      </c>
      <c r="F9" s="147">
        <v>1</v>
      </c>
      <c r="G9" s="147">
        <v>1</v>
      </c>
      <c r="H9" s="147">
        <v>1</v>
      </c>
      <c r="I9" s="147">
        <v>1</v>
      </c>
      <c r="J9" s="147">
        <v>1</v>
      </c>
      <c r="K9" s="147">
        <v>1</v>
      </c>
      <c r="L9" s="147">
        <v>2</v>
      </c>
      <c r="M9" s="147">
        <v>1</v>
      </c>
      <c r="N9" s="147">
        <v>1</v>
      </c>
      <c r="O9" s="147">
        <v>1</v>
      </c>
      <c r="P9" s="147">
        <v>1</v>
      </c>
      <c r="Q9" s="147">
        <v>1</v>
      </c>
      <c r="R9" s="147">
        <v>1</v>
      </c>
      <c r="S9" s="147">
        <v>1</v>
      </c>
      <c r="T9" s="147">
        <v>3</v>
      </c>
      <c r="U9" s="147">
        <v>1</v>
      </c>
      <c r="V9" s="147">
        <v>1</v>
      </c>
      <c r="W9" s="147">
        <v>1</v>
      </c>
      <c r="X9" s="147">
        <v>1</v>
      </c>
      <c r="Y9" s="147">
        <v>1</v>
      </c>
      <c r="Z9" s="147">
        <v>6</v>
      </c>
      <c r="AA9" s="147">
        <v>1</v>
      </c>
      <c r="AB9" s="147">
        <v>1</v>
      </c>
      <c r="AC9" s="147">
        <v>1</v>
      </c>
      <c r="AD9" s="1466">
        <v>11</v>
      </c>
      <c r="AE9" s="1466">
        <v>1</v>
      </c>
      <c r="AF9" s="147">
        <v>1</v>
      </c>
      <c r="AG9" s="147">
        <v>1</v>
      </c>
      <c r="AH9" s="147">
        <v>1</v>
      </c>
      <c r="AI9" s="147">
        <v>1</v>
      </c>
      <c r="AJ9" s="147">
        <v>1</v>
      </c>
      <c r="AK9" s="147">
        <v>1</v>
      </c>
      <c r="AL9" s="147">
        <v>1</v>
      </c>
      <c r="AM9" s="828">
        <v>0</v>
      </c>
      <c r="AN9" s="147" t="b">
        <v>1</v>
      </c>
      <c r="AO9" s="147" t="b">
        <v>0</v>
      </c>
    </row>
    <row r="10" spans="1:41" x14ac:dyDescent="0.35">
      <c r="A10" s="620">
        <v>9</v>
      </c>
      <c r="B10" s="617">
        <v>2</v>
      </c>
      <c r="C10" s="2895">
        <v>5</v>
      </c>
      <c r="D10" s="147">
        <v>1</v>
      </c>
      <c r="E10" s="147">
        <v>2</v>
      </c>
      <c r="F10" s="147">
        <v>1</v>
      </c>
      <c r="G10" s="147">
        <v>2</v>
      </c>
      <c r="H10" s="147">
        <v>1</v>
      </c>
      <c r="I10" s="147">
        <v>1</v>
      </c>
      <c r="J10" s="147">
        <v>1</v>
      </c>
      <c r="K10" s="147">
        <v>1</v>
      </c>
      <c r="L10" s="147">
        <v>2</v>
      </c>
      <c r="M10" s="147">
        <v>1</v>
      </c>
      <c r="N10" s="147">
        <v>1</v>
      </c>
      <c r="O10" s="147">
        <v>1</v>
      </c>
      <c r="P10" s="147">
        <v>1</v>
      </c>
      <c r="Q10" s="147">
        <v>1</v>
      </c>
      <c r="R10" s="147">
        <v>1</v>
      </c>
      <c r="S10" s="147">
        <v>1</v>
      </c>
      <c r="T10" s="147">
        <v>1</v>
      </c>
      <c r="U10" s="147">
        <v>1</v>
      </c>
      <c r="V10" s="147">
        <v>1</v>
      </c>
      <c r="W10" s="147">
        <v>1</v>
      </c>
      <c r="X10" s="147">
        <v>1</v>
      </c>
      <c r="Y10" s="2895">
        <v>3</v>
      </c>
      <c r="Z10" s="147">
        <v>1</v>
      </c>
      <c r="AA10" s="147">
        <v>1</v>
      </c>
      <c r="AB10" s="147">
        <v>1</v>
      </c>
      <c r="AC10" s="147">
        <v>1</v>
      </c>
      <c r="AD10" s="1466">
        <v>1</v>
      </c>
      <c r="AE10" s="1466">
        <v>1</v>
      </c>
      <c r="AF10" s="147">
        <v>2</v>
      </c>
      <c r="AG10" s="147">
        <v>1</v>
      </c>
      <c r="AH10" s="147">
        <v>1</v>
      </c>
      <c r="AI10" s="147">
        <v>1</v>
      </c>
      <c r="AJ10" s="147">
        <v>1</v>
      </c>
      <c r="AK10" s="147">
        <v>1</v>
      </c>
      <c r="AL10" s="147">
        <v>5</v>
      </c>
      <c r="AM10" s="828">
        <v>0</v>
      </c>
      <c r="AN10" s="147" t="b">
        <v>0</v>
      </c>
      <c r="AO10" s="147" t="b">
        <v>0</v>
      </c>
    </row>
    <row r="11" spans="1:41" x14ac:dyDescent="0.35">
      <c r="A11" s="620">
        <v>10</v>
      </c>
      <c r="B11" s="3618">
        <v>2</v>
      </c>
      <c r="C11" s="3604">
        <v>19</v>
      </c>
      <c r="D11" s="3604">
        <v>14</v>
      </c>
      <c r="E11" s="3619">
        <v>1</v>
      </c>
      <c r="F11" s="3619">
        <v>1</v>
      </c>
      <c r="G11" s="3619">
        <v>2</v>
      </c>
      <c r="H11" s="3619">
        <v>1</v>
      </c>
      <c r="I11" s="3619">
        <v>1</v>
      </c>
      <c r="J11" s="3619">
        <v>1</v>
      </c>
      <c r="K11" s="3619">
        <v>1</v>
      </c>
      <c r="L11" s="3619">
        <v>2</v>
      </c>
      <c r="M11" s="3619">
        <v>1</v>
      </c>
      <c r="N11" s="3619">
        <v>1</v>
      </c>
      <c r="O11" s="3619">
        <v>1</v>
      </c>
      <c r="P11" s="3619">
        <v>1</v>
      </c>
      <c r="Q11" s="3619">
        <v>1</v>
      </c>
      <c r="R11" s="3619">
        <v>1</v>
      </c>
      <c r="S11" s="3619">
        <v>1</v>
      </c>
      <c r="T11" s="3619">
        <v>1</v>
      </c>
      <c r="U11" s="3619">
        <v>1</v>
      </c>
      <c r="V11" s="3604">
        <v>1</v>
      </c>
      <c r="W11" s="3619">
        <v>1</v>
      </c>
      <c r="X11" s="3619">
        <v>1</v>
      </c>
      <c r="Y11" s="3619">
        <v>1</v>
      </c>
      <c r="Z11" s="3619">
        <v>1</v>
      </c>
      <c r="AA11" s="3619">
        <v>1</v>
      </c>
      <c r="AB11" s="3619">
        <v>1</v>
      </c>
      <c r="AC11" s="3619">
        <v>1</v>
      </c>
      <c r="AD11" s="3619">
        <v>1</v>
      </c>
      <c r="AE11" s="3619">
        <v>1</v>
      </c>
      <c r="AF11" s="3604">
        <v>1</v>
      </c>
      <c r="AG11" s="3619">
        <v>1</v>
      </c>
      <c r="AH11" s="3619">
        <v>1</v>
      </c>
      <c r="AI11" s="3619">
        <v>1</v>
      </c>
      <c r="AJ11" s="3619">
        <v>1</v>
      </c>
      <c r="AK11" s="3604">
        <v>1</v>
      </c>
      <c r="AL11" s="147">
        <v>5</v>
      </c>
      <c r="AM11" s="828">
        <v>0</v>
      </c>
      <c r="AN11" s="147" t="b">
        <v>0</v>
      </c>
      <c r="AO11" s="147" t="b">
        <v>0</v>
      </c>
    </row>
    <row r="12" spans="1:41" x14ac:dyDescent="0.35">
      <c r="A12" s="620">
        <v>11</v>
      </c>
      <c r="B12" s="617">
        <v>2</v>
      </c>
      <c r="C12" s="147">
        <v>2</v>
      </c>
      <c r="D12" s="147">
        <v>2</v>
      </c>
      <c r="E12" s="147">
        <v>1</v>
      </c>
      <c r="F12" s="2895">
        <v>10</v>
      </c>
      <c r="G12" s="147">
        <v>2</v>
      </c>
      <c r="H12" s="147">
        <v>1</v>
      </c>
      <c r="I12" s="147">
        <v>1</v>
      </c>
      <c r="J12" s="147">
        <v>1</v>
      </c>
      <c r="K12" s="147">
        <v>1</v>
      </c>
      <c r="L12" s="147">
        <v>2</v>
      </c>
      <c r="M12" s="147">
        <v>1</v>
      </c>
      <c r="N12" s="147">
        <v>1</v>
      </c>
      <c r="O12" s="147">
        <v>1</v>
      </c>
      <c r="P12" s="147">
        <v>1</v>
      </c>
      <c r="Q12" s="147">
        <v>1</v>
      </c>
      <c r="R12" s="147">
        <v>1</v>
      </c>
      <c r="S12" s="147">
        <v>1</v>
      </c>
      <c r="T12" s="147">
        <v>1</v>
      </c>
      <c r="U12" s="147">
        <v>1</v>
      </c>
      <c r="V12" s="147">
        <v>8</v>
      </c>
      <c r="W12" s="147">
        <v>1</v>
      </c>
      <c r="X12" s="147">
        <v>1</v>
      </c>
      <c r="Y12" s="147">
        <v>1</v>
      </c>
      <c r="Z12" s="147">
        <v>1</v>
      </c>
      <c r="AA12" s="147">
        <v>1</v>
      </c>
      <c r="AB12" s="147">
        <v>1</v>
      </c>
      <c r="AC12" s="147">
        <v>1</v>
      </c>
      <c r="AD12" s="1466">
        <v>1</v>
      </c>
      <c r="AE12" s="1466">
        <v>1</v>
      </c>
      <c r="AF12" s="147">
        <v>2</v>
      </c>
      <c r="AG12" s="147">
        <v>1</v>
      </c>
      <c r="AH12" s="147">
        <v>1</v>
      </c>
      <c r="AI12" s="147">
        <v>1</v>
      </c>
      <c r="AJ12" s="147">
        <v>1</v>
      </c>
      <c r="AK12" s="147">
        <v>5</v>
      </c>
      <c r="AL12" s="147">
        <v>1</v>
      </c>
      <c r="AM12" s="828">
        <v>0</v>
      </c>
      <c r="AN12" s="147" t="b">
        <v>1</v>
      </c>
      <c r="AO12" s="147" t="b">
        <v>0</v>
      </c>
    </row>
    <row r="13" spans="1:41" x14ac:dyDescent="0.35">
      <c r="A13" s="620">
        <v>12</v>
      </c>
      <c r="B13" s="3618">
        <v>2</v>
      </c>
      <c r="C13" s="3604">
        <v>20</v>
      </c>
      <c r="D13" s="3604">
        <v>10</v>
      </c>
      <c r="E13" s="3604">
        <v>7</v>
      </c>
      <c r="F13" s="3604">
        <v>1</v>
      </c>
      <c r="G13" s="3619">
        <v>1</v>
      </c>
      <c r="H13" s="3619">
        <v>1</v>
      </c>
      <c r="I13" s="3619">
        <v>1</v>
      </c>
      <c r="J13" s="3619">
        <v>1</v>
      </c>
      <c r="K13" s="3619">
        <v>1</v>
      </c>
      <c r="L13" s="3619">
        <v>2</v>
      </c>
      <c r="M13" s="3619">
        <v>1</v>
      </c>
      <c r="N13" s="3619">
        <v>1</v>
      </c>
      <c r="O13" s="3619">
        <v>1</v>
      </c>
      <c r="P13" s="3619">
        <v>1</v>
      </c>
      <c r="Q13" s="3619">
        <v>1</v>
      </c>
      <c r="R13" s="3619">
        <v>1</v>
      </c>
      <c r="S13" s="3619">
        <v>1</v>
      </c>
      <c r="T13" s="3619">
        <v>1</v>
      </c>
      <c r="U13" s="3619">
        <v>1</v>
      </c>
      <c r="V13" s="3604">
        <v>1</v>
      </c>
      <c r="W13" s="3619">
        <v>1</v>
      </c>
      <c r="X13" s="3619">
        <v>1</v>
      </c>
      <c r="Y13" s="3619">
        <v>1</v>
      </c>
      <c r="Z13" s="3619">
        <v>1</v>
      </c>
      <c r="AA13" s="3619">
        <v>1</v>
      </c>
      <c r="AB13" s="3619">
        <v>1</v>
      </c>
      <c r="AC13" s="3619">
        <v>1</v>
      </c>
      <c r="AD13" s="3619">
        <v>1</v>
      </c>
      <c r="AE13" s="3619">
        <v>1</v>
      </c>
      <c r="AF13" s="3619">
        <v>1</v>
      </c>
      <c r="AG13" s="3619">
        <v>1</v>
      </c>
      <c r="AH13" s="3619">
        <v>1</v>
      </c>
      <c r="AI13" s="3619">
        <v>1</v>
      </c>
      <c r="AJ13" s="3619">
        <v>1</v>
      </c>
      <c r="AK13" s="3604">
        <v>1</v>
      </c>
      <c r="AL13" s="147">
        <v>1</v>
      </c>
      <c r="AM13" s="2897">
        <v>0</v>
      </c>
      <c r="AN13" s="147" t="b">
        <v>0</v>
      </c>
      <c r="AO13" s="147" t="b">
        <v>0</v>
      </c>
    </row>
    <row r="14" spans="1:41" x14ac:dyDescent="0.35">
      <c r="A14" s="620">
        <v>13</v>
      </c>
      <c r="B14" s="617">
        <v>2</v>
      </c>
      <c r="C14" s="147">
        <v>11</v>
      </c>
      <c r="D14" s="147">
        <v>2</v>
      </c>
      <c r="E14" s="147">
        <v>2</v>
      </c>
      <c r="F14" s="147">
        <v>2</v>
      </c>
      <c r="G14" s="147">
        <v>2</v>
      </c>
      <c r="H14" s="147">
        <v>1</v>
      </c>
      <c r="I14" s="147">
        <v>1</v>
      </c>
      <c r="J14" s="147">
        <v>1</v>
      </c>
      <c r="K14" s="147">
        <v>1</v>
      </c>
      <c r="L14" s="147">
        <v>2</v>
      </c>
      <c r="M14" s="147">
        <v>1</v>
      </c>
      <c r="N14" s="147">
        <v>1</v>
      </c>
      <c r="O14" s="147">
        <v>1</v>
      </c>
      <c r="P14" s="147">
        <v>1</v>
      </c>
      <c r="Q14" s="147">
        <v>1</v>
      </c>
      <c r="R14" s="147">
        <v>1</v>
      </c>
      <c r="S14" s="147">
        <v>1</v>
      </c>
      <c r="T14" s="147">
        <v>8</v>
      </c>
      <c r="U14" s="147">
        <v>1</v>
      </c>
      <c r="V14" s="147">
        <v>8</v>
      </c>
      <c r="W14" s="147">
        <v>1</v>
      </c>
      <c r="X14" s="147">
        <v>1</v>
      </c>
      <c r="Y14" s="147">
        <v>1</v>
      </c>
      <c r="Z14" s="147">
        <v>6</v>
      </c>
      <c r="AA14" s="147">
        <v>1</v>
      </c>
      <c r="AB14" s="147">
        <v>1</v>
      </c>
      <c r="AC14" s="147">
        <v>1</v>
      </c>
      <c r="AD14" s="1466">
        <v>11</v>
      </c>
      <c r="AE14" s="1466">
        <v>1</v>
      </c>
      <c r="AF14" s="147">
        <v>2</v>
      </c>
      <c r="AG14" s="147">
        <v>1</v>
      </c>
      <c r="AH14" s="147">
        <v>1</v>
      </c>
      <c r="AI14" s="147">
        <v>1</v>
      </c>
      <c r="AJ14" s="147">
        <v>1</v>
      </c>
      <c r="AK14" s="147">
        <v>5</v>
      </c>
      <c r="AL14" s="147">
        <v>1</v>
      </c>
      <c r="AM14" s="828">
        <v>617</v>
      </c>
      <c r="AN14" s="147" t="b">
        <v>1</v>
      </c>
      <c r="AO14" s="147" t="b">
        <v>0</v>
      </c>
    </row>
    <row r="15" spans="1:41" x14ac:dyDescent="0.35">
      <c r="A15" s="620">
        <v>14</v>
      </c>
      <c r="B15" s="617">
        <v>2</v>
      </c>
      <c r="C15" s="147">
        <v>12</v>
      </c>
      <c r="D15" s="147">
        <v>1</v>
      </c>
      <c r="E15" s="147">
        <v>1</v>
      </c>
      <c r="F15" s="147">
        <v>1</v>
      </c>
      <c r="G15" s="147">
        <v>1</v>
      </c>
      <c r="H15" s="147">
        <v>1</v>
      </c>
      <c r="I15" s="147">
        <v>8</v>
      </c>
      <c r="J15" s="147">
        <v>1</v>
      </c>
      <c r="K15" s="147">
        <v>1</v>
      </c>
      <c r="L15" s="147">
        <v>2</v>
      </c>
      <c r="M15" s="147">
        <v>1</v>
      </c>
      <c r="N15" s="147">
        <v>1</v>
      </c>
      <c r="O15" s="147">
        <v>1</v>
      </c>
      <c r="P15" s="147">
        <v>1</v>
      </c>
      <c r="Q15" s="147">
        <v>1</v>
      </c>
      <c r="R15" s="147">
        <v>1</v>
      </c>
      <c r="S15" s="147">
        <v>1</v>
      </c>
      <c r="T15" s="147">
        <v>1</v>
      </c>
      <c r="U15" s="147">
        <v>1</v>
      </c>
      <c r="V15" s="147">
        <v>8</v>
      </c>
      <c r="W15" s="147">
        <v>1</v>
      </c>
      <c r="X15" s="147">
        <v>1</v>
      </c>
      <c r="Y15" s="147">
        <v>1</v>
      </c>
      <c r="Z15" s="147">
        <v>1</v>
      </c>
      <c r="AA15" s="147">
        <v>1</v>
      </c>
      <c r="AB15" s="147">
        <v>1</v>
      </c>
      <c r="AC15" s="147">
        <v>1</v>
      </c>
      <c r="AD15" s="1466">
        <v>1</v>
      </c>
      <c r="AE15" s="1466">
        <v>1</v>
      </c>
      <c r="AF15" s="147">
        <v>1</v>
      </c>
      <c r="AG15" s="147">
        <v>1</v>
      </c>
      <c r="AH15" s="147">
        <v>1</v>
      </c>
      <c r="AI15" s="147">
        <v>1</v>
      </c>
      <c r="AJ15" s="147">
        <v>1</v>
      </c>
      <c r="AK15" s="147">
        <v>5</v>
      </c>
      <c r="AL15" s="147">
        <v>7</v>
      </c>
      <c r="AM15" s="828">
        <v>0</v>
      </c>
      <c r="AN15" s="147" t="b">
        <v>0</v>
      </c>
      <c r="AO15" s="147" t="b">
        <v>0</v>
      </c>
    </row>
    <row r="16" spans="1:41" x14ac:dyDescent="0.35">
      <c r="A16" s="620">
        <v>15</v>
      </c>
      <c r="B16" s="617">
        <v>2</v>
      </c>
      <c r="C16" s="147">
        <v>2</v>
      </c>
      <c r="D16" s="147"/>
      <c r="E16" s="147">
        <v>1</v>
      </c>
      <c r="F16" s="147">
        <v>2</v>
      </c>
      <c r="G16" s="147">
        <v>1</v>
      </c>
      <c r="H16" s="147">
        <v>1</v>
      </c>
      <c r="I16" s="147">
        <v>13</v>
      </c>
      <c r="J16" s="147">
        <v>1</v>
      </c>
      <c r="K16" s="147">
        <v>1</v>
      </c>
      <c r="L16" s="147">
        <v>2</v>
      </c>
      <c r="M16" s="147">
        <v>1</v>
      </c>
      <c r="N16" s="147">
        <v>1</v>
      </c>
      <c r="O16" s="147">
        <v>1</v>
      </c>
      <c r="P16" s="147">
        <v>1</v>
      </c>
      <c r="Q16" s="147">
        <v>1</v>
      </c>
      <c r="R16" s="147">
        <v>1</v>
      </c>
      <c r="S16" s="147">
        <v>1</v>
      </c>
      <c r="T16" s="147">
        <v>1</v>
      </c>
      <c r="U16" s="147">
        <v>1</v>
      </c>
      <c r="V16" s="147">
        <v>1</v>
      </c>
      <c r="W16" s="147">
        <v>1</v>
      </c>
      <c r="X16" s="147">
        <v>1</v>
      </c>
      <c r="Y16" s="147">
        <v>1</v>
      </c>
      <c r="Z16" s="147">
        <v>6</v>
      </c>
      <c r="AA16" s="147">
        <v>1</v>
      </c>
      <c r="AB16" s="147">
        <v>1</v>
      </c>
      <c r="AC16" s="147">
        <v>1</v>
      </c>
      <c r="AD16" s="1466">
        <v>11</v>
      </c>
      <c r="AE16" s="1466">
        <v>1</v>
      </c>
      <c r="AF16" s="147">
        <v>1</v>
      </c>
      <c r="AG16" s="147">
        <v>1</v>
      </c>
      <c r="AH16" s="147">
        <v>1</v>
      </c>
      <c r="AI16" s="147">
        <v>1</v>
      </c>
      <c r="AJ16" s="147">
        <v>1</v>
      </c>
      <c r="AK16" s="147">
        <v>1</v>
      </c>
      <c r="AL16" s="147">
        <v>7</v>
      </c>
      <c r="AM16" s="828">
        <v>0</v>
      </c>
      <c r="AN16" s="147" t="b">
        <v>0</v>
      </c>
      <c r="AO16" s="147" t="b">
        <v>0</v>
      </c>
    </row>
    <row r="17" spans="1:41" x14ac:dyDescent="0.35">
      <c r="A17" s="620">
        <v>16</v>
      </c>
      <c r="B17" s="3644">
        <v>3</v>
      </c>
      <c r="C17" s="3604">
        <v>2</v>
      </c>
      <c r="D17" s="3619">
        <v>2</v>
      </c>
      <c r="E17" s="3619">
        <v>1</v>
      </c>
      <c r="F17" s="3619">
        <v>1</v>
      </c>
      <c r="G17" s="3619">
        <v>1</v>
      </c>
      <c r="H17" s="3619">
        <v>2</v>
      </c>
      <c r="I17" s="3619">
        <v>1</v>
      </c>
      <c r="J17" s="3619">
        <v>1</v>
      </c>
      <c r="K17" s="3619">
        <v>1</v>
      </c>
      <c r="L17" s="3619">
        <v>2</v>
      </c>
      <c r="M17" s="3619">
        <v>1</v>
      </c>
      <c r="N17" s="3619">
        <v>1</v>
      </c>
      <c r="O17" s="3619">
        <v>1</v>
      </c>
      <c r="P17" s="3619">
        <v>1</v>
      </c>
      <c r="Q17" s="3619">
        <v>1</v>
      </c>
      <c r="R17" s="3619">
        <v>1</v>
      </c>
      <c r="S17" s="3619">
        <v>1</v>
      </c>
      <c r="T17" s="3619">
        <v>1</v>
      </c>
      <c r="U17" s="3619">
        <v>1</v>
      </c>
      <c r="V17" s="3619">
        <v>1</v>
      </c>
      <c r="W17" s="3619">
        <v>1</v>
      </c>
      <c r="X17" s="3619">
        <v>1</v>
      </c>
      <c r="Y17" s="3619">
        <v>1</v>
      </c>
      <c r="Z17" s="3619">
        <v>1</v>
      </c>
      <c r="AA17" s="3619">
        <v>1</v>
      </c>
      <c r="AB17" s="3619">
        <v>1</v>
      </c>
      <c r="AC17" s="3619">
        <v>1</v>
      </c>
      <c r="AD17" s="3619">
        <v>1</v>
      </c>
      <c r="AE17" s="3619">
        <v>1</v>
      </c>
      <c r="AF17" s="3604">
        <v>12</v>
      </c>
      <c r="AG17" s="3619">
        <v>1</v>
      </c>
      <c r="AH17" s="3619">
        <v>1</v>
      </c>
      <c r="AI17" s="3619">
        <v>1</v>
      </c>
      <c r="AJ17" s="3619">
        <v>1</v>
      </c>
      <c r="AK17" s="3619">
        <v>1</v>
      </c>
      <c r="AL17" s="3604">
        <v>5</v>
      </c>
      <c r="AM17" s="2641">
        <v>0</v>
      </c>
      <c r="AN17" s="147" t="b">
        <v>0</v>
      </c>
      <c r="AO17" s="147" t="b">
        <v>0</v>
      </c>
    </row>
    <row r="18" spans="1:41" x14ac:dyDescent="0.35">
      <c r="A18" s="620">
        <v>17</v>
      </c>
      <c r="B18" s="3618">
        <v>2</v>
      </c>
      <c r="C18" s="3619">
        <v>2</v>
      </c>
      <c r="D18" s="3619">
        <v>1</v>
      </c>
      <c r="E18" s="3619">
        <v>1</v>
      </c>
      <c r="F18" s="3619">
        <v>3</v>
      </c>
      <c r="G18" s="3619">
        <v>1</v>
      </c>
      <c r="H18" s="3619">
        <v>1</v>
      </c>
      <c r="I18" s="3619">
        <v>14</v>
      </c>
      <c r="J18" s="3619">
        <v>1</v>
      </c>
      <c r="K18" s="3619">
        <v>1</v>
      </c>
      <c r="L18" s="3619">
        <v>2</v>
      </c>
      <c r="M18" s="3619">
        <v>1</v>
      </c>
      <c r="N18" s="3619">
        <v>1</v>
      </c>
      <c r="O18" s="3619">
        <v>1</v>
      </c>
      <c r="P18" s="3619">
        <v>1</v>
      </c>
      <c r="Q18" s="3619">
        <v>1</v>
      </c>
      <c r="R18" s="3619">
        <v>1</v>
      </c>
      <c r="S18" s="3619">
        <v>1</v>
      </c>
      <c r="T18" s="3619">
        <v>1</v>
      </c>
      <c r="U18" s="3619">
        <v>1</v>
      </c>
      <c r="V18" s="3619">
        <v>8</v>
      </c>
      <c r="W18" s="3619">
        <v>1</v>
      </c>
      <c r="X18" s="3619">
        <v>1</v>
      </c>
      <c r="Y18" s="3619">
        <v>1</v>
      </c>
      <c r="Z18" s="3619">
        <v>1</v>
      </c>
      <c r="AA18" s="3619">
        <v>1</v>
      </c>
      <c r="AB18" s="3619">
        <v>1</v>
      </c>
      <c r="AC18" s="3619">
        <v>1</v>
      </c>
      <c r="AD18" s="3619">
        <v>1</v>
      </c>
      <c r="AE18" s="3619">
        <v>1</v>
      </c>
      <c r="AF18" s="3619">
        <v>2</v>
      </c>
      <c r="AG18" s="3619">
        <v>1</v>
      </c>
      <c r="AH18" s="3619">
        <v>1</v>
      </c>
      <c r="AI18" s="3619">
        <v>1</v>
      </c>
      <c r="AJ18" s="3619">
        <v>1</v>
      </c>
      <c r="AK18" s="3619">
        <v>5</v>
      </c>
      <c r="AL18" s="3619">
        <v>7</v>
      </c>
      <c r="AM18" s="2641">
        <v>0</v>
      </c>
      <c r="AN18" s="147" t="b">
        <v>0</v>
      </c>
      <c r="AO18" s="147" t="b">
        <v>0</v>
      </c>
    </row>
    <row r="19" spans="1:41" x14ac:dyDescent="0.35">
      <c r="A19" s="620">
        <v>18</v>
      </c>
      <c r="B19" s="3618">
        <v>2</v>
      </c>
      <c r="C19" s="3619">
        <v>1</v>
      </c>
      <c r="D19" s="3619">
        <v>1</v>
      </c>
      <c r="E19" s="3619">
        <v>1</v>
      </c>
      <c r="F19" s="3619">
        <v>1</v>
      </c>
      <c r="G19" s="3619">
        <v>1</v>
      </c>
      <c r="H19" s="3619">
        <v>1</v>
      </c>
      <c r="I19" s="3619">
        <v>1</v>
      </c>
      <c r="J19" s="3645">
        <v>1</v>
      </c>
      <c r="K19" s="3619">
        <v>1</v>
      </c>
      <c r="L19" s="3619">
        <v>2</v>
      </c>
      <c r="M19" s="3619">
        <v>1</v>
      </c>
      <c r="N19" s="3619">
        <v>1</v>
      </c>
      <c r="O19" s="3619">
        <v>1</v>
      </c>
      <c r="P19" s="3619">
        <v>1</v>
      </c>
      <c r="Q19" s="3619">
        <v>1</v>
      </c>
      <c r="R19" s="3619">
        <v>1</v>
      </c>
      <c r="S19" s="3619">
        <v>1</v>
      </c>
      <c r="T19" s="3619">
        <v>1</v>
      </c>
      <c r="U19" s="3619">
        <v>1</v>
      </c>
      <c r="V19" s="3619">
        <v>11</v>
      </c>
      <c r="W19" s="3619">
        <v>1</v>
      </c>
      <c r="X19" s="3619">
        <v>1</v>
      </c>
      <c r="Y19" s="3619">
        <v>1</v>
      </c>
      <c r="Z19" s="3619">
        <v>1</v>
      </c>
      <c r="AA19" s="3619">
        <v>1</v>
      </c>
      <c r="AB19" s="3619">
        <v>1</v>
      </c>
      <c r="AC19" s="3619">
        <v>1</v>
      </c>
      <c r="AD19" s="3619">
        <v>1</v>
      </c>
      <c r="AE19" s="3619">
        <v>1</v>
      </c>
      <c r="AF19" s="3619">
        <v>1</v>
      </c>
      <c r="AG19" s="3619">
        <v>1</v>
      </c>
      <c r="AH19" s="3619">
        <v>1</v>
      </c>
      <c r="AI19" s="3619">
        <v>1</v>
      </c>
      <c r="AJ19" s="3619">
        <v>1</v>
      </c>
      <c r="AK19" s="3619">
        <v>7</v>
      </c>
      <c r="AL19" s="3619">
        <v>7</v>
      </c>
      <c r="AM19" s="2641">
        <v>0</v>
      </c>
      <c r="AN19" s="147" t="b">
        <v>0</v>
      </c>
      <c r="AO19" s="147" t="b">
        <v>0</v>
      </c>
    </row>
    <row r="20" spans="1:41" x14ac:dyDescent="0.35">
      <c r="A20" s="620">
        <v>19</v>
      </c>
      <c r="B20" s="3618">
        <v>2</v>
      </c>
      <c r="C20" s="3604">
        <v>24</v>
      </c>
      <c r="D20" s="3604">
        <v>2</v>
      </c>
      <c r="E20" s="3619">
        <v>1</v>
      </c>
      <c r="F20" s="3619">
        <v>1</v>
      </c>
      <c r="G20" s="3619">
        <v>1</v>
      </c>
      <c r="H20" s="3619">
        <v>1</v>
      </c>
      <c r="I20" s="3619">
        <v>1</v>
      </c>
      <c r="J20" s="3645">
        <v>1</v>
      </c>
      <c r="K20" s="3619">
        <v>1</v>
      </c>
      <c r="L20" s="3619">
        <v>2</v>
      </c>
      <c r="M20" s="3619">
        <v>1</v>
      </c>
      <c r="N20" s="3619">
        <v>1</v>
      </c>
      <c r="O20" s="3619">
        <v>1</v>
      </c>
      <c r="P20" s="3619">
        <v>1</v>
      </c>
      <c r="Q20" s="3619">
        <v>1</v>
      </c>
      <c r="R20" s="3619">
        <v>1</v>
      </c>
      <c r="S20" s="3619">
        <v>1</v>
      </c>
      <c r="T20" s="3619">
        <v>1</v>
      </c>
      <c r="U20" s="3619">
        <v>1</v>
      </c>
      <c r="V20" s="3619">
        <v>9</v>
      </c>
      <c r="W20" s="3619">
        <v>1</v>
      </c>
      <c r="X20" s="3619">
        <v>1</v>
      </c>
      <c r="Y20" s="3619">
        <v>1</v>
      </c>
      <c r="Z20" s="3619">
        <v>1</v>
      </c>
      <c r="AA20" s="3619">
        <v>1</v>
      </c>
      <c r="AB20" s="3619">
        <v>1</v>
      </c>
      <c r="AC20" s="3604">
        <v>1</v>
      </c>
      <c r="AD20" s="3619">
        <v>1</v>
      </c>
      <c r="AE20" s="3619">
        <v>1</v>
      </c>
      <c r="AF20" s="3619">
        <v>1</v>
      </c>
      <c r="AG20" s="3619">
        <v>1</v>
      </c>
      <c r="AH20" s="3619">
        <v>1</v>
      </c>
      <c r="AI20" s="3619">
        <v>1</v>
      </c>
      <c r="AJ20" s="3619">
        <v>1</v>
      </c>
      <c r="AK20" s="3604">
        <v>1</v>
      </c>
      <c r="AL20" s="3619">
        <v>5</v>
      </c>
      <c r="AM20" s="2641">
        <v>0</v>
      </c>
      <c r="AN20" s="147" t="b">
        <v>0</v>
      </c>
      <c r="AO20" s="147" t="b">
        <v>0</v>
      </c>
    </row>
    <row r="21" spans="1:41" x14ac:dyDescent="0.35">
      <c r="A21" s="620">
        <v>20</v>
      </c>
      <c r="B21" s="3618">
        <v>2</v>
      </c>
      <c r="C21" s="3604">
        <v>21</v>
      </c>
      <c r="D21" s="3619">
        <v>1</v>
      </c>
      <c r="E21" s="3619">
        <v>1</v>
      </c>
      <c r="F21" s="3619">
        <v>1</v>
      </c>
      <c r="G21" s="3619">
        <v>1</v>
      </c>
      <c r="H21" s="3619">
        <v>1</v>
      </c>
      <c r="I21" s="3619">
        <v>1</v>
      </c>
      <c r="J21" s="3645">
        <v>1</v>
      </c>
      <c r="K21" s="3619">
        <v>1</v>
      </c>
      <c r="L21" s="3619">
        <v>2</v>
      </c>
      <c r="M21" s="3619">
        <v>1</v>
      </c>
      <c r="N21" s="3619">
        <v>1</v>
      </c>
      <c r="O21" s="3619">
        <v>1</v>
      </c>
      <c r="P21" s="3619">
        <v>1</v>
      </c>
      <c r="Q21" s="3619">
        <v>1</v>
      </c>
      <c r="R21" s="3619">
        <v>1</v>
      </c>
      <c r="S21" s="3619">
        <v>1</v>
      </c>
      <c r="T21" s="3619">
        <v>1</v>
      </c>
      <c r="U21" s="3619">
        <v>1</v>
      </c>
      <c r="V21" s="3604">
        <v>14</v>
      </c>
      <c r="W21" s="3619">
        <v>1</v>
      </c>
      <c r="X21" s="3619">
        <v>1</v>
      </c>
      <c r="Y21" s="3619">
        <v>1</v>
      </c>
      <c r="Z21" s="3619">
        <v>1</v>
      </c>
      <c r="AA21" s="3619">
        <v>1</v>
      </c>
      <c r="AB21" s="3619">
        <v>1</v>
      </c>
      <c r="AC21" s="3619">
        <v>1</v>
      </c>
      <c r="AD21" s="3619">
        <v>1</v>
      </c>
      <c r="AE21" s="3619">
        <v>1</v>
      </c>
      <c r="AF21" s="3619">
        <v>1</v>
      </c>
      <c r="AG21" s="3619">
        <v>1</v>
      </c>
      <c r="AH21" s="3619">
        <v>1</v>
      </c>
      <c r="AI21" s="3619">
        <v>1</v>
      </c>
      <c r="AJ21" s="3619">
        <v>1</v>
      </c>
      <c r="AK21" s="3604">
        <v>1</v>
      </c>
      <c r="AL21" s="3619">
        <v>5</v>
      </c>
      <c r="AM21" s="2641">
        <v>0</v>
      </c>
      <c r="AN21" s="147" t="b">
        <v>0</v>
      </c>
      <c r="AO21" s="147" t="b">
        <v>0</v>
      </c>
    </row>
    <row r="22" spans="1:41" x14ac:dyDescent="0.35">
      <c r="A22" s="620">
        <v>21</v>
      </c>
      <c r="B22" s="617">
        <v>2</v>
      </c>
      <c r="C22" s="2895">
        <v>22</v>
      </c>
      <c r="D22" s="147">
        <v>1</v>
      </c>
      <c r="E22" s="147">
        <v>1</v>
      </c>
      <c r="F22" s="147">
        <v>1</v>
      </c>
      <c r="G22" s="147">
        <v>1</v>
      </c>
      <c r="H22" s="147">
        <v>1</v>
      </c>
      <c r="I22" s="147">
        <v>1</v>
      </c>
      <c r="J22" s="122">
        <v>1</v>
      </c>
      <c r="K22" s="147">
        <v>1</v>
      </c>
      <c r="L22" s="147">
        <v>2</v>
      </c>
      <c r="M22" s="147">
        <v>1</v>
      </c>
      <c r="N22" s="147">
        <v>1</v>
      </c>
      <c r="O22" s="147">
        <v>1</v>
      </c>
      <c r="P22" s="147">
        <v>1</v>
      </c>
      <c r="Q22" s="147">
        <v>1</v>
      </c>
      <c r="R22" s="147">
        <v>1</v>
      </c>
      <c r="S22" s="147">
        <v>1</v>
      </c>
      <c r="T22" s="147">
        <v>1</v>
      </c>
      <c r="U22" s="147">
        <v>1</v>
      </c>
      <c r="V22" s="2895">
        <v>15</v>
      </c>
      <c r="W22" s="147">
        <v>1</v>
      </c>
      <c r="X22" s="147">
        <v>1</v>
      </c>
      <c r="Y22" s="147">
        <v>1</v>
      </c>
      <c r="Z22" s="147">
        <v>1</v>
      </c>
      <c r="AA22" s="147">
        <v>1</v>
      </c>
      <c r="AB22" s="147">
        <v>1</v>
      </c>
      <c r="AC22" s="147">
        <v>1</v>
      </c>
      <c r="AD22" s="1466">
        <v>1</v>
      </c>
      <c r="AE22" s="1466">
        <v>1</v>
      </c>
      <c r="AF22" s="147">
        <v>1</v>
      </c>
      <c r="AG22" s="147">
        <v>1</v>
      </c>
      <c r="AH22" s="147">
        <v>1</v>
      </c>
      <c r="AI22" s="147">
        <v>1</v>
      </c>
      <c r="AJ22" s="147">
        <v>1</v>
      </c>
      <c r="AK22" s="3604">
        <v>1</v>
      </c>
      <c r="AL22" s="147">
        <v>5</v>
      </c>
      <c r="AM22" s="2641">
        <v>0</v>
      </c>
      <c r="AN22" s="147" t="b">
        <v>0</v>
      </c>
      <c r="AO22" s="147" t="b">
        <v>0</v>
      </c>
    </row>
    <row r="23" spans="1:41" x14ac:dyDescent="0.35">
      <c r="A23" s="620">
        <v>22</v>
      </c>
      <c r="B23" s="617">
        <v>2</v>
      </c>
      <c r="C23" s="147">
        <v>5</v>
      </c>
      <c r="D23" s="147">
        <v>1</v>
      </c>
      <c r="E23" s="147">
        <v>1</v>
      </c>
      <c r="F23" s="147">
        <v>1</v>
      </c>
      <c r="G23" s="147">
        <v>1</v>
      </c>
      <c r="H23" s="147">
        <v>1</v>
      </c>
      <c r="I23" s="147">
        <v>1</v>
      </c>
      <c r="J23" s="147">
        <v>1</v>
      </c>
      <c r="K23" s="147">
        <v>1</v>
      </c>
      <c r="L23" s="147">
        <v>2</v>
      </c>
      <c r="M23" s="147">
        <v>1</v>
      </c>
      <c r="N23" s="147">
        <v>1</v>
      </c>
      <c r="O23" s="147">
        <v>1</v>
      </c>
      <c r="P23" s="147">
        <v>1</v>
      </c>
      <c r="Q23" s="147">
        <v>1</v>
      </c>
      <c r="R23" s="147">
        <v>1</v>
      </c>
      <c r="S23" s="147">
        <v>1</v>
      </c>
      <c r="T23" s="147">
        <v>1</v>
      </c>
      <c r="U23" s="147">
        <v>1</v>
      </c>
      <c r="V23" s="147">
        <v>1</v>
      </c>
      <c r="W23" s="147">
        <v>1</v>
      </c>
      <c r="X23" s="147">
        <v>1</v>
      </c>
      <c r="Y23" s="147">
        <v>5</v>
      </c>
      <c r="Z23" s="147">
        <v>1</v>
      </c>
      <c r="AA23" s="147">
        <v>1</v>
      </c>
      <c r="AB23" s="147">
        <v>1</v>
      </c>
      <c r="AC23" s="147">
        <v>1</v>
      </c>
      <c r="AD23" s="1466">
        <v>5</v>
      </c>
      <c r="AE23" s="1466">
        <v>1</v>
      </c>
      <c r="AF23" s="147">
        <v>1</v>
      </c>
      <c r="AG23" s="147">
        <v>1</v>
      </c>
      <c r="AH23" s="147">
        <v>1</v>
      </c>
      <c r="AI23" s="147">
        <v>1</v>
      </c>
      <c r="AJ23" s="147">
        <v>1</v>
      </c>
      <c r="AK23" s="147">
        <v>1</v>
      </c>
      <c r="AL23" s="147">
        <v>5</v>
      </c>
      <c r="AM23" s="828">
        <v>0</v>
      </c>
      <c r="AN23" s="147" t="b">
        <v>0</v>
      </c>
      <c r="AO23" s="147" t="b">
        <v>0</v>
      </c>
    </row>
    <row r="24" spans="1:41" x14ac:dyDescent="0.35">
      <c r="A24" s="620">
        <v>23</v>
      </c>
      <c r="B24" s="617">
        <v>2</v>
      </c>
      <c r="C24" s="147">
        <v>2</v>
      </c>
      <c r="D24" s="147">
        <v>1</v>
      </c>
      <c r="E24" s="147">
        <v>1</v>
      </c>
      <c r="F24" s="147">
        <v>1</v>
      </c>
      <c r="G24" s="147">
        <v>1</v>
      </c>
      <c r="H24" s="147">
        <v>1</v>
      </c>
      <c r="I24" s="147">
        <v>1</v>
      </c>
      <c r="J24" s="122">
        <v>1</v>
      </c>
      <c r="K24" s="147">
        <v>4</v>
      </c>
      <c r="L24" s="147">
        <v>2</v>
      </c>
      <c r="M24" s="147">
        <v>1</v>
      </c>
      <c r="N24" s="147">
        <v>1</v>
      </c>
      <c r="O24" s="147">
        <v>1</v>
      </c>
      <c r="P24" s="147">
        <v>1</v>
      </c>
      <c r="Q24" s="147">
        <v>1</v>
      </c>
      <c r="R24" s="147">
        <v>1</v>
      </c>
      <c r="S24" s="147">
        <v>1</v>
      </c>
      <c r="T24" s="147">
        <v>1</v>
      </c>
      <c r="U24" s="147">
        <v>1</v>
      </c>
      <c r="V24" s="147">
        <v>8</v>
      </c>
      <c r="W24" s="147">
        <v>1</v>
      </c>
      <c r="X24" s="147">
        <v>1</v>
      </c>
      <c r="Y24" s="147">
        <v>1</v>
      </c>
      <c r="Z24" s="147">
        <v>1</v>
      </c>
      <c r="AA24" s="147">
        <v>1</v>
      </c>
      <c r="AB24" s="147">
        <v>1</v>
      </c>
      <c r="AC24" s="147">
        <v>1</v>
      </c>
      <c r="AD24" s="1466">
        <v>1</v>
      </c>
      <c r="AE24" s="1466">
        <v>1</v>
      </c>
      <c r="AF24" s="147">
        <v>2</v>
      </c>
      <c r="AG24" s="147">
        <v>1</v>
      </c>
      <c r="AH24" s="147">
        <v>1</v>
      </c>
      <c r="AI24" s="147">
        <v>1</v>
      </c>
      <c r="AJ24" s="147">
        <v>1</v>
      </c>
      <c r="AK24" s="147">
        <v>5</v>
      </c>
      <c r="AL24" s="147">
        <v>7</v>
      </c>
      <c r="AM24" s="2641">
        <v>0</v>
      </c>
      <c r="AN24" s="147" t="b">
        <v>0</v>
      </c>
      <c r="AO24" s="147" t="b">
        <v>0</v>
      </c>
    </row>
    <row r="25" spans="1:41" x14ac:dyDescent="0.35">
      <c r="A25" s="620">
        <v>24</v>
      </c>
      <c r="B25" s="617">
        <v>2</v>
      </c>
      <c r="C25" s="2895">
        <v>23</v>
      </c>
      <c r="D25" s="2895">
        <v>15</v>
      </c>
      <c r="E25" s="147">
        <v>2</v>
      </c>
      <c r="F25" s="147">
        <v>1</v>
      </c>
      <c r="G25" s="147">
        <v>1</v>
      </c>
      <c r="H25" s="147">
        <v>2</v>
      </c>
      <c r="I25" s="147">
        <v>1</v>
      </c>
      <c r="J25" s="122">
        <v>1</v>
      </c>
      <c r="K25" s="147">
        <v>1</v>
      </c>
      <c r="L25" s="147">
        <v>2</v>
      </c>
      <c r="M25" s="147">
        <v>1</v>
      </c>
      <c r="N25" s="147">
        <v>1</v>
      </c>
      <c r="O25" s="147">
        <v>1</v>
      </c>
      <c r="P25" s="147">
        <v>1</v>
      </c>
      <c r="Q25" s="147">
        <v>1</v>
      </c>
      <c r="R25" s="147">
        <v>1</v>
      </c>
      <c r="S25" s="147">
        <v>1</v>
      </c>
      <c r="T25" s="147">
        <v>1</v>
      </c>
      <c r="U25" s="147">
        <v>1</v>
      </c>
      <c r="V25" s="147">
        <v>1</v>
      </c>
      <c r="W25" s="147">
        <v>1</v>
      </c>
      <c r="X25" s="147">
        <v>1</v>
      </c>
      <c r="Y25" s="147">
        <v>1</v>
      </c>
      <c r="Z25" s="147">
        <v>1</v>
      </c>
      <c r="AA25" s="147">
        <v>1</v>
      </c>
      <c r="AB25" s="147">
        <v>1</v>
      </c>
      <c r="AC25" s="147">
        <v>1</v>
      </c>
      <c r="AD25" s="1466">
        <v>1</v>
      </c>
      <c r="AE25" s="1466">
        <v>1</v>
      </c>
      <c r="AF25" s="147">
        <v>1</v>
      </c>
      <c r="AG25" s="147">
        <v>1</v>
      </c>
      <c r="AH25" s="147">
        <v>1</v>
      </c>
      <c r="AI25" s="147">
        <v>1</v>
      </c>
      <c r="AJ25" s="147">
        <v>1</v>
      </c>
      <c r="AK25" s="147">
        <v>1</v>
      </c>
      <c r="AL25" s="147">
        <v>7</v>
      </c>
      <c r="AM25" s="2641">
        <v>0</v>
      </c>
      <c r="AN25" s="147" t="b">
        <v>0</v>
      </c>
      <c r="AO25" s="147" t="b">
        <v>0</v>
      </c>
    </row>
    <row r="26" spans="1:41" x14ac:dyDescent="0.35">
      <c r="A26" s="620">
        <v>25</v>
      </c>
      <c r="B26" s="617">
        <v>2</v>
      </c>
      <c r="C26" s="147">
        <v>2</v>
      </c>
      <c r="D26" s="147">
        <v>2</v>
      </c>
      <c r="E26" s="147">
        <v>2</v>
      </c>
      <c r="F26" s="147">
        <v>1</v>
      </c>
      <c r="G26" s="147">
        <v>1</v>
      </c>
      <c r="H26" s="147">
        <v>1</v>
      </c>
      <c r="I26" s="147">
        <v>1</v>
      </c>
      <c r="J26" s="122">
        <v>1</v>
      </c>
      <c r="K26" s="147">
        <v>1</v>
      </c>
      <c r="L26" s="147">
        <v>2</v>
      </c>
      <c r="M26" s="147">
        <v>1</v>
      </c>
      <c r="N26" s="147">
        <v>1</v>
      </c>
      <c r="O26" s="147">
        <v>1</v>
      </c>
      <c r="P26" s="147">
        <v>1</v>
      </c>
      <c r="Q26" s="147">
        <v>1</v>
      </c>
      <c r="R26" s="147">
        <v>1</v>
      </c>
      <c r="S26" s="147">
        <v>1</v>
      </c>
      <c r="T26" s="147">
        <v>1</v>
      </c>
      <c r="U26" s="147">
        <v>1</v>
      </c>
      <c r="V26" s="147">
        <v>9</v>
      </c>
      <c r="W26" s="147">
        <v>1</v>
      </c>
      <c r="X26" s="147">
        <v>1</v>
      </c>
      <c r="Y26" s="147">
        <v>6</v>
      </c>
      <c r="Z26" s="147">
        <v>6</v>
      </c>
      <c r="AA26" s="147">
        <v>1</v>
      </c>
      <c r="AB26" s="147">
        <v>1</v>
      </c>
      <c r="AC26" s="147">
        <v>1</v>
      </c>
      <c r="AD26" s="1466">
        <v>11</v>
      </c>
      <c r="AE26" s="1466">
        <v>9</v>
      </c>
      <c r="AF26" s="147">
        <v>2</v>
      </c>
      <c r="AG26" s="147">
        <v>1</v>
      </c>
      <c r="AH26" s="147">
        <v>1</v>
      </c>
      <c r="AI26" s="147">
        <v>1</v>
      </c>
      <c r="AJ26" s="147">
        <v>1</v>
      </c>
      <c r="AK26" s="147">
        <v>1</v>
      </c>
      <c r="AL26" s="147">
        <v>7</v>
      </c>
      <c r="AM26" s="2641">
        <v>0</v>
      </c>
      <c r="AN26" s="147" t="b">
        <v>0</v>
      </c>
      <c r="AO26" s="147" t="b">
        <v>0</v>
      </c>
    </row>
    <row r="27" spans="1:41" x14ac:dyDescent="0.35">
      <c r="A27" s="620">
        <v>26</v>
      </c>
      <c r="B27" s="617">
        <v>2</v>
      </c>
      <c r="C27" s="147">
        <v>1</v>
      </c>
      <c r="D27" s="147">
        <v>6</v>
      </c>
      <c r="E27" s="147">
        <v>1</v>
      </c>
      <c r="F27" s="147">
        <v>1</v>
      </c>
      <c r="G27" s="147">
        <v>1</v>
      </c>
      <c r="H27" s="147">
        <v>1</v>
      </c>
      <c r="I27" s="147">
        <v>1</v>
      </c>
      <c r="J27" s="147">
        <v>1</v>
      </c>
      <c r="K27" s="147">
        <v>1</v>
      </c>
      <c r="L27" s="147">
        <v>2</v>
      </c>
      <c r="M27" s="147">
        <v>1</v>
      </c>
      <c r="N27" s="147">
        <v>1</v>
      </c>
      <c r="O27" s="147">
        <v>1</v>
      </c>
      <c r="P27" s="147">
        <v>1</v>
      </c>
      <c r="Q27" s="147">
        <v>1</v>
      </c>
      <c r="R27" s="147">
        <v>1</v>
      </c>
      <c r="S27" s="147">
        <v>1</v>
      </c>
      <c r="T27" s="147">
        <v>1</v>
      </c>
      <c r="U27" s="147">
        <v>1</v>
      </c>
      <c r="V27" s="147">
        <v>1</v>
      </c>
      <c r="W27" s="147">
        <v>1</v>
      </c>
      <c r="X27" s="147">
        <v>4</v>
      </c>
      <c r="Y27" s="147">
        <v>1</v>
      </c>
      <c r="Z27" s="147">
        <v>1</v>
      </c>
      <c r="AA27" s="147">
        <v>1</v>
      </c>
      <c r="AB27" s="147">
        <v>1</v>
      </c>
      <c r="AC27" s="147">
        <v>1</v>
      </c>
      <c r="AD27" s="1466">
        <v>1</v>
      </c>
      <c r="AE27" s="1466">
        <v>1</v>
      </c>
      <c r="AF27" s="147">
        <v>1</v>
      </c>
      <c r="AG27" s="147">
        <v>1</v>
      </c>
      <c r="AH27" s="147">
        <v>1</v>
      </c>
      <c r="AI27" s="147">
        <v>5</v>
      </c>
      <c r="AJ27" s="147">
        <v>1</v>
      </c>
      <c r="AK27" s="147">
        <v>1</v>
      </c>
      <c r="AL27" s="147">
        <v>7</v>
      </c>
      <c r="AM27" s="828">
        <v>0</v>
      </c>
      <c r="AN27" s="147" t="b">
        <v>0</v>
      </c>
      <c r="AO27" s="147" t="b">
        <v>0</v>
      </c>
    </row>
    <row r="28" spans="1:41" x14ac:dyDescent="0.35">
      <c r="A28" s="620">
        <v>27</v>
      </c>
      <c r="B28" s="617">
        <v>2</v>
      </c>
      <c r="C28" s="147">
        <v>1</v>
      </c>
      <c r="D28" s="147">
        <v>9</v>
      </c>
      <c r="E28" s="147">
        <v>1</v>
      </c>
      <c r="F28" s="147">
        <v>1</v>
      </c>
      <c r="G28" s="147">
        <v>1</v>
      </c>
      <c r="H28" s="147">
        <v>1</v>
      </c>
      <c r="I28" s="147">
        <v>1</v>
      </c>
      <c r="J28" s="147">
        <v>1</v>
      </c>
      <c r="K28" s="147">
        <v>1</v>
      </c>
      <c r="L28" s="147">
        <v>2</v>
      </c>
      <c r="M28" s="147">
        <v>1</v>
      </c>
      <c r="N28" s="147">
        <v>1</v>
      </c>
      <c r="O28" s="147">
        <v>1</v>
      </c>
      <c r="P28" s="147">
        <v>1</v>
      </c>
      <c r="Q28" s="147">
        <v>1</v>
      </c>
      <c r="R28" s="147">
        <v>1</v>
      </c>
      <c r="S28" s="147">
        <v>3</v>
      </c>
      <c r="T28" s="147">
        <v>1</v>
      </c>
      <c r="U28" s="147">
        <v>1</v>
      </c>
      <c r="V28" s="147">
        <v>1</v>
      </c>
      <c r="W28" s="147">
        <v>1</v>
      </c>
      <c r="X28" s="147">
        <v>1</v>
      </c>
      <c r="Y28" s="147">
        <v>1</v>
      </c>
      <c r="Z28" s="147">
        <v>2</v>
      </c>
      <c r="AA28" s="147">
        <v>2</v>
      </c>
      <c r="AB28" s="147">
        <v>1</v>
      </c>
      <c r="AC28" s="147">
        <v>1</v>
      </c>
      <c r="AD28" s="1466">
        <v>2</v>
      </c>
      <c r="AE28" s="1466">
        <v>1</v>
      </c>
      <c r="AF28" s="147">
        <v>1</v>
      </c>
      <c r="AG28" s="147">
        <v>1</v>
      </c>
      <c r="AH28" s="147">
        <v>1</v>
      </c>
      <c r="AI28" s="147">
        <v>1</v>
      </c>
      <c r="AJ28" s="147">
        <v>1</v>
      </c>
      <c r="AK28" s="147">
        <v>1</v>
      </c>
      <c r="AL28" s="147">
        <v>3</v>
      </c>
      <c r="AM28" s="828">
        <v>0</v>
      </c>
      <c r="AN28" s="147" t="b">
        <v>1</v>
      </c>
      <c r="AO28" s="147" t="b">
        <v>0</v>
      </c>
    </row>
    <row r="29" spans="1:41" x14ac:dyDescent="0.35">
      <c r="A29" s="620">
        <v>28</v>
      </c>
      <c r="B29" s="2894">
        <v>3</v>
      </c>
      <c r="C29" s="147">
        <v>9</v>
      </c>
      <c r="D29" s="147">
        <v>1</v>
      </c>
      <c r="E29" s="147">
        <v>1</v>
      </c>
      <c r="F29" s="147">
        <v>1</v>
      </c>
      <c r="G29" s="147">
        <v>1</v>
      </c>
      <c r="H29" s="147">
        <v>1</v>
      </c>
      <c r="I29" s="147">
        <v>1</v>
      </c>
      <c r="J29" s="147">
        <v>1</v>
      </c>
      <c r="K29" s="147">
        <v>1</v>
      </c>
      <c r="L29" s="147">
        <v>2</v>
      </c>
      <c r="M29" s="147">
        <v>1</v>
      </c>
      <c r="N29" s="147">
        <v>1</v>
      </c>
      <c r="O29" s="147">
        <v>1</v>
      </c>
      <c r="P29" s="147">
        <v>2</v>
      </c>
      <c r="Q29" s="147">
        <v>1</v>
      </c>
      <c r="R29" s="147">
        <v>1</v>
      </c>
      <c r="S29" s="147">
        <v>1</v>
      </c>
      <c r="T29" s="147">
        <v>1</v>
      </c>
      <c r="U29" s="147">
        <v>1</v>
      </c>
      <c r="V29" s="147">
        <v>2</v>
      </c>
      <c r="W29" s="147">
        <v>1</v>
      </c>
      <c r="X29" s="147">
        <v>1</v>
      </c>
      <c r="Y29" s="147">
        <v>1</v>
      </c>
      <c r="Z29" s="147">
        <v>1</v>
      </c>
      <c r="AA29" s="147">
        <v>1</v>
      </c>
      <c r="AB29" s="147">
        <v>1</v>
      </c>
      <c r="AC29" s="147">
        <v>1</v>
      </c>
      <c r="AD29" s="1466">
        <v>1</v>
      </c>
      <c r="AE29" s="1466">
        <v>1</v>
      </c>
      <c r="AF29" s="147">
        <v>1</v>
      </c>
      <c r="AG29" s="147">
        <v>1</v>
      </c>
      <c r="AH29" s="147">
        <v>1</v>
      </c>
      <c r="AI29" s="147">
        <v>5</v>
      </c>
      <c r="AJ29" s="147">
        <v>1</v>
      </c>
      <c r="AK29" s="147">
        <v>1</v>
      </c>
      <c r="AL29" s="147">
        <v>5</v>
      </c>
      <c r="AM29" s="828">
        <v>0</v>
      </c>
      <c r="AN29" s="147" t="b">
        <v>0</v>
      </c>
      <c r="AO29" s="147" t="b">
        <v>0</v>
      </c>
    </row>
    <row r="30" spans="1:41" x14ac:dyDescent="0.35">
      <c r="A30" s="620">
        <v>29</v>
      </c>
      <c r="B30" s="617">
        <v>2</v>
      </c>
      <c r="C30" s="147">
        <v>9</v>
      </c>
      <c r="D30" s="147">
        <v>1</v>
      </c>
      <c r="E30" s="147">
        <v>1</v>
      </c>
      <c r="F30" s="147">
        <v>8</v>
      </c>
      <c r="G30" s="147">
        <v>1</v>
      </c>
      <c r="H30" s="147">
        <v>1</v>
      </c>
      <c r="I30" s="147">
        <v>1</v>
      </c>
      <c r="J30" s="147">
        <v>1</v>
      </c>
      <c r="K30" s="147">
        <v>1</v>
      </c>
      <c r="L30" s="147">
        <v>2</v>
      </c>
      <c r="M30" s="147">
        <v>1</v>
      </c>
      <c r="N30" s="147">
        <v>7</v>
      </c>
      <c r="O30" s="147">
        <v>1</v>
      </c>
      <c r="P30" s="147">
        <v>1</v>
      </c>
      <c r="Q30" s="147">
        <v>1</v>
      </c>
      <c r="R30" s="147">
        <v>1</v>
      </c>
      <c r="S30" s="147">
        <v>1</v>
      </c>
      <c r="T30" s="147">
        <v>1</v>
      </c>
      <c r="U30" s="147">
        <v>1</v>
      </c>
      <c r="V30" s="147">
        <v>1</v>
      </c>
      <c r="W30" s="147">
        <v>1</v>
      </c>
      <c r="X30" s="147">
        <v>1</v>
      </c>
      <c r="Y30" s="147">
        <v>1</v>
      </c>
      <c r="Z30" s="147">
        <v>3</v>
      </c>
      <c r="AA30" s="147">
        <v>1</v>
      </c>
      <c r="AB30" s="147">
        <v>1</v>
      </c>
      <c r="AC30" s="147">
        <v>1</v>
      </c>
      <c r="AD30" s="1466">
        <v>5</v>
      </c>
      <c r="AE30" s="1466">
        <v>1</v>
      </c>
      <c r="AF30" s="147">
        <v>1</v>
      </c>
      <c r="AG30" s="147">
        <v>1</v>
      </c>
      <c r="AH30" s="147">
        <v>1</v>
      </c>
      <c r="AI30" s="147">
        <v>1</v>
      </c>
      <c r="AJ30" s="147">
        <v>1</v>
      </c>
      <c r="AK30" s="147">
        <v>1</v>
      </c>
      <c r="AL30" s="147">
        <v>5</v>
      </c>
      <c r="AM30" s="828">
        <v>0</v>
      </c>
      <c r="AN30" s="147" t="b">
        <v>0</v>
      </c>
      <c r="AO30" s="147" t="b">
        <v>0</v>
      </c>
    </row>
    <row r="31" spans="1:41" x14ac:dyDescent="0.35">
      <c r="A31" s="620">
        <v>30</v>
      </c>
      <c r="B31" s="617">
        <v>2</v>
      </c>
      <c r="C31" s="147">
        <v>2</v>
      </c>
      <c r="D31" s="147">
        <v>5</v>
      </c>
      <c r="E31" s="147">
        <v>1</v>
      </c>
      <c r="F31" s="147">
        <v>1</v>
      </c>
      <c r="G31" s="147">
        <v>1</v>
      </c>
      <c r="H31" s="147">
        <v>1</v>
      </c>
      <c r="I31" s="147">
        <v>1</v>
      </c>
      <c r="J31" s="147">
        <v>1</v>
      </c>
      <c r="K31" s="147">
        <v>1</v>
      </c>
      <c r="L31" s="147">
        <v>2</v>
      </c>
      <c r="M31" s="147">
        <v>1</v>
      </c>
      <c r="N31" s="147">
        <v>7</v>
      </c>
      <c r="O31" s="147">
        <v>1</v>
      </c>
      <c r="P31" s="147">
        <v>1</v>
      </c>
      <c r="Q31" s="147">
        <v>1</v>
      </c>
      <c r="R31" s="147">
        <v>1</v>
      </c>
      <c r="S31" s="147">
        <v>1</v>
      </c>
      <c r="T31" s="147">
        <v>1</v>
      </c>
      <c r="U31" s="147">
        <v>1</v>
      </c>
      <c r="V31" s="147">
        <v>1</v>
      </c>
      <c r="W31" s="147">
        <v>1</v>
      </c>
      <c r="X31" s="147">
        <v>1</v>
      </c>
      <c r="Y31" s="147">
        <v>1</v>
      </c>
      <c r="Z31" s="147">
        <v>1</v>
      </c>
      <c r="AA31" s="147">
        <v>1</v>
      </c>
      <c r="AB31" s="147">
        <v>1</v>
      </c>
      <c r="AC31" s="147">
        <v>2</v>
      </c>
      <c r="AD31" s="1466">
        <v>1</v>
      </c>
      <c r="AE31" s="1466">
        <v>1</v>
      </c>
      <c r="AF31" s="147">
        <v>1</v>
      </c>
      <c r="AG31" s="147">
        <v>1</v>
      </c>
      <c r="AH31" s="147">
        <v>1</v>
      </c>
      <c r="AI31" s="147">
        <v>1</v>
      </c>
      <c r="AJ31" s="147">
        <v>1</v>
      </c>
      <c r="AK31" s="147">
        <v>1</v>
      </c>
      <c r="AL31" s="147">
        <v>4</v>
      </c>
      <c r="AM31" s="828">
        <v>0</v>
      </c>
      <c r="AN31" s="147" t="b">
        <v>0</v>
      </c>
      <c r="AO31" s="147" t="b">
        <v>0</v>
      </c>
    </row>
    <row r="32" spans="1:41" x14ac:dyDescent="0.35">
      <c r="A32" s="620">
        <v>31</v>
      </c>
      <c r="B32" s="617">
        <v>2</v>
      </c>
      <c r="C32" s="147">
        <v>9</v>
      </c>
      <c r="D32" s="147">
        <v>5</v>
      </c>
      <c r="E32" s="147">
        <v>1</v>
      </c>
      <c r="F32" s="147">
        <v>1</v>
      </c>
      <c r="G32" s="147">
        <v>1</v>
      </c>
      <c r="H32" s="147">
        <v>1</v>
      </c>
      <c r="I32" s="147">
        <v>1</v>
      </c>
      <c r="J32" s="147">
        <v>1</v>
      </c>
      <c r="K32" s="147">
        <v>1</v>
      </c>
      <c r="L32" s="147">
        <v>2</v>
      </c>
      <c r="M32" s="147">
        <v>1</v>
      </c>
      <c r="N32" s="147">
        <v>7</v>
      </c>
      <c r="O32" s="147">
        <v>1</v>
      </c>
      <c r="P32" s="147">
        <v>1</v>
      </c>
      <c r="Q32" s="147">
        <v>1</v>
      </c>
      <c r="R32" s="147">
        <v>1</v>
      </c>
      <c r="S32" s="147">
        <v>1</v>
      </c>
      <c r="T32" s="147">
        <v>1</v>
      </c>
      <c r="U32" s="147">
        <v>1</v>
      </c>
      <c r="V32" s="147">
        <v>1</v>
      </c>
      <c r="W32" s="147">
        <v>1</v>
      </c>
      <c r="X32" s="147">
        <v>1</v>
      </c>
      <c r="Y32" s="147">
        <v>1</v>
      </c>
      <c r="Z32" s="147">
        <v>1</v>
      </c>
      <c r="AA32" s="147">
        <v>1</v>
      </c>
      <c r="AB32" s="147">
        <v>1</v>
      </c>
      <c r="AC32" s="147">
        <v>1</v>
      </c>
      <c r="AD32" s="1466">
        <v>1</v>
      </c>
      <c r="AE32" s="1466">
        <v>1</v>
      </c>
      <c r="AF32" s="147">
        <v>1</v>
      </c>
      <c r="AG32" s="147">
        <v>1</v>
      </c>
      <c r="AH32" s="147">
        <v>1</v>
      </c>
      <c r="AI32" s="147">
        <v>1</v>
      </c>
      <c r="AJ32" s="147">
        <v>1</v>
      </c>
      <c r="AK32" s="147">
        <v>1</v>
      </c>
      <c r="AL32" s="147">
        <v>4</v>
      </c>
      <c r="AM32" s="828">
        <v>0</v>
      </c>
      <c r="AN32" s="147" t="b">
        <v>0</v>
      </c>
      <c r="AO32" s="147" t="b">
        <v>0</v>
      </c>
    </row>
    <row r="33" spans="1:41" x14ac:dyDescent="0.35">
      <c r="A33" s="620">
        <v>32</v>
      </c>
      <c r="B33" s="2894">
        <v>3</v>
      </c>
      <c r="C33" s="147">
        <v>6</v>
      </c>
      <c r="D33" s="2895">
        <v>3</v>
      </c>
      <c r="E33" s="147">
        <v>1</v>
      </c>
      <c r="F33" s="147">
        <v>1</v>
      </c>
      <c r="G33" s="147">
        <v>3</v>
      </c>
      <c r="H33" s="147">
        <v>1</v>
      </c>
      <c r="I33" s="147">
        <v>1</v>
      </c>
      <c r="J33" s="147">
        <v>1</v>
      </c>
      <c r="K33" s="147">
        <v>5</v>
      </c>
      <c r="L33" s="147">
        <v>2</v>
      </c>
      <c r="M33" s="147">
        <v>1</v>
      </c>
      <c r="N33" s="147">
        <v>1</v>
      </c>
      <c r="O33" s="147">
        <v>4</v>
      </c>
      <c r="P33" s="147">
        <v>1</v>
      </c>
      <c r="Q33" s="147">
        <v>1</v>
      </c>
      <c r="R33" s="147">
        <v>1</v>
      </c>
      <c r="S33" s="147">
        <v>1</v>
      </c>
      <c r="T33" s="147">
        <v>1</v>
      </c>
      <c r="U33" s="147">
        <v>1</v>
      </c>
      <c r="V33" s="147">
        <v>1</v>
      </c>
      <c r="W33" s="147">
        <v>1</v>
      </c>
      <c r="X33" s="147">
        <v>1</v>
      </c>
      <c r="Y33" s="147">
        <v>3</v>
      </c>
      <c r="Z33" s="147">
        <v>1</v>
      </c>
      <c r="AA33" s="147">
        <v>1</v>
      </c>
      <c r="AB33" s="147">
        <v>1</v>
      </c>
      <c r="AC33" s="147">
        <v>1</v>
      </c>
      <c r="AD33" s="1466">
        <v>1</v>
      </c>
      <c r="AE33" s="1466">
        <v>1</v>
      </c>
      <c r="AF33" s="147">
        <v>1</v>
      </c>
      <c r="AG33" s="147">
        <v>1</v>
      </c>
      <c r="AH33" s="147">
        <v>1</v>
      </c>
      <c r="AI33" s="2895">
        <v>14</v>
      </c>
      <c r="AJ33" s="147">
        <v>1</v>
      </c>
      <c r="AK33" s="147">
        <v>1</v>
      </c>
      <c r="AL33" s="147">
        <v>5</v>
      </c>
      <c r="AM33" s="828">
        <v>0</v>
      </c>
      <c r="AN33" s="147" t="b">
        <v>0</v>
      </c>
      <c r="AO33" s="147" t="b">
        <v>0</v>
      </c>
    </row>
    <row r="34" spans="1:41" x14ac:dyDescent="0.35">
      <c r="A34" s="620">
        <v>33</v>
      </c>
      <c r="B34" s="617">
        <v>2</v>
      </c>
      <c r="C34" s="147">
        <v>1</v>
      </c>
      <c r="D34" s="147">
        <v>1</v>
      </c>
      <c r="E34" s="147">
        <v>1</v>
      </c>
      <c r="F34" s="147">
        <v>1</v>
      </c>
      <c r="G34" s="147">
        <v>1</v>
      </c>
      <c r="H34" s="147">
        <v>1</v>
      </c>
      <c r="I34" s="147">
        <v>2</v>
      </c>
      <c r="J34" s="147">
        <v>1</v>
      </c>
      <c r="K34" s="147">
        <v>1</v>
      </c>
      <c r="L34" s="147">
        <v>2</v>
      </c>
      <c r="M34" s="147">
        <v>1</v>
      </c>
      <c r="N34" s="147">
        <v>1</v>
      </c>
      <c r="O34" s="147">
        <v>1</v>
      </c>
      <c r="P34" s="147">
        <v>1</v>
      </c>
      <c r="Q34" s="147">
        <v>2</v>
      </c>
      <c r="R34" s="147">
        <v>1</v>
      </c>
      <c r="S34" s="147">
        <v>1</v>
      </c>
      <c r="T34" s="147">
        <v>1</v>
      </c>
      <c r="U34" s="147">
        <v>1</v>
      </c>
      <c r="V34" s="147">
        <v>2</v>
      </c>
      <c r="W34" s="147">
        <v>1</v>
      </c>
      <c r="X34" s="147">
        <v>1</v>
      </c>
      <c r="Y34" s="147">
        <v>1</v>
      </c>
      <c r="Z34" s="147">
        <v>1</v>
      </c>
      <c r="AA34" s="147">
        <v>1</v>
      </c>
      <c r="AB34" s="147">
        <v>1</v>
      </c>
      <c r="AC34" s="147">
        <v>1</v>
      </c>
      <c r="AD34" s="1466">
        <v>1</v>
      </c>
      <c r="AE34" s="1466">
        <v>1</v>
      </c>
      <c r="AF34" s="147">
        <v>1</v>
      </c>
      <c r="AG34" s="147">
        <v>2</v>
      </c>
      <c r="AH34" s="147">
        <v>1</v>
      </c>
      <c r="AI34" s="147">
        <v>1</v>
      </c>
      <c r="AJ34" s="147">
        <v>1</v>
      </c>
      <c r="AK34" s="147">
        <v>1</v>
      </c>
      <c r="AL34" s="147">
        <v>5</v>
      </c>
      <c r="AM34" s="828">
        <v>0</v>
      </c>
      <c r="AN34" s="147" t="b">
        <v>0</v>
      </c>
      <c r="AO34" s="147" t="b">
        <v>0</v>
      </c>
    </row>
    <row r="35" spans="1:41" x14ac:dyDescent="0.35">
      <c r="A35" s="620">
        <v>34</v>
      </c>
      <c r="B35" s="617">
        <v>2</v>
      </c>
      <c r="C35" s="147">
        <v>6</v>
      </c>
      <c r="D35" s="147">
        <v>1</v>
      </c>
      <c r="E35" s="147">
        <v>1</v>
      </c>
      <c r="F35" s="147">
        <v>1</v>
      </c>
      <c r="G35" s="147">
        <v>1</v>
      </c>
      <c r="H35" s="147">
        <v>1</v>
      </c>
      <c r="I35" s="147">
        <v>1</v>
      </c>
      <c r="J35" s="147">
        <v>1</v>
      </c>
      <c r="K35" s="147">
        <v>1</v>
      </c>
      <c r="L35" s="147">
        <v>2</v>
      </c>
      <c r="M35" s="147">
        <v>1</v>
      </c>
      <c r="N35" s="147">
        <v>1</v>
      </c>
      <c r="O35" s="147">
        <v>1</v>
      </c>
      <c r="P35" s="147">
        <v>1</v>
      </c>
      <c r="Q35" s="147">
        <v>1</v>
      </c>
      <c r="R35" s="147">
        <v>1</v>
      </c>
      <c r="S35" s="147">
        <v>2</v>
      </c>
      <c r="T35" s="147">
        <v>1</v>
      </c>
      <c r="U35" s="147">
        <v>1</v>
      </c>
      <c r="V35" s="147">
        <v>2</v>
      </c>
      <c r="W35" s="147">
        <v>1</v>
      </c>
      <c r="X35" s="147">
        <v>1</v>
      </c>
      <c r="Y35" s="147">
        <v>1</v>
      </c>
      <c r="Z35" s="147">
        <v>1</v>
      </c>
      <c r="AA35" s="147">
        <v>1</v>
      </c>
      <c r="AB35" s="147">
        <v>1</v>
      </c>
      <c r="AC35" s="147">
        <v>1</v>
      </c>
      <c r="AD35" s="1466">
        <v>1</v>
      </c>
      <c r="AE35" s="1466">
        <v>1</v>
      </c>
      <c r="AF35" s="147">
        <v>1</v>
      </c>
      <c r="AG35" s="147">
        <v>3</v>
      </c>
      <c r="AH35" s="147">
        <v>4</v>
      </c>
      <c r="AI35" s="147">
        <v>1</v>
      </c>
      <c r="AJ35" s="147">
        <v>1</v>
      </c>
      <c r="AK35" s="147">
        <v>1</v>
      </c>
      <c r="AL35" s="147">
        <v>4</v>
      </c>
      <c r="AM35" s="828">
        <v>0</v>
      </c>
      <c r="AN35" s="147" t="b">
        <v>0</v>
      </c>
      <c r="AO35" s="147" t="b">
        <v>0</v>
      </c>
    </row>
    <row r="36" spans="1:41" x14ac:dyDescent="0.35">
      <c r="A36" s="620">
        <v>35</v>
      </c>
      <c r="B36" s="617">
        <v>2</v>
      </c>
      <c r="C36" s="147">
        <v>6</v>
      </c>
      <c r="D36" s="147">
        <v>5</v>
      </c>
      <c r="E36" s="147">
        <v>1</v>
      </c>
      <c r="F36" s="147">
        <v>1</v>
      </c>
      <c r="G36" s="147">
        <v>1</v>
      </c>
      <c r="H36" s="147">
        <v>1</v>
      </c>
      <c r="I36" s="147">
        <v>1</v>
      </c>
      <c r="J36" s="147">
        <v>1</v>
      </c>
      <c r="K36" s="147">
        <v>1</v>
      </c>
      <c r="L36" s="147">
        <v>2</v>
      </c>
      <c r="M36" s="147">
        <v>1</v>
      </c>
      <c r="N36" s="147">
        <v>4</v>
      </c>
      <c r="O36" s="147">
        <v>1</v>
      </c>
      <c r="P36" s="147">
        <v>1</v>
      </c>
      <c r="Q36" s="147">
        <v>1</v>
      </c>
      <c r="R36" s="147">
        <v>1</v>
      </c>
      <c r="S36" s="147">
        <v>1</v>
      </c>
      <c r="T36" s="147">
        <v>1</v>
      </c>
      <c r="U36" s="147">
        <v>1</v>
      </c>
      <c r="V36" s="147">
        <v>1</v>
      </c>
      <c r="W36" s="147">
        <v>1</v>
      </c>
      <c r="X36" s="147">
        <v>1</v>
      </c>
      <c r="Y36" s="147">
        <v>1</v>
      </c>
      <c r="Z36" s="147">
        <v>1</v>
      </c>
      <c r="AA36" s="147">
        <v>1</v>
      </c>
      <c r="AB36" s="147">
        <v>1</v>
      </c>
      <c r="AC36" s="147">
        <v>1</v>
      </c>
      <c r="AD36" s="1466">
        <v>1</v>
      </c>
      <c r="AE36" s="1466">
        <v>1</v>
      </c>
      <c r="AF36" s="147">
        <v>5</v>
      </c>
      <c r="AG36" s="147">
        <v>1</v>
      </c>
      <c r="AH36" s="147">
        <v>1</v>
      </c>
      <c r="AI36" s="147">
        <v>1</v>
      </c>
      <c r="AJ36" s="147">
        <v>1</v>
      </c>
      <c r="AK36" s="147">
        <v>1</v>
      </c>
      <c r="AL36" s="147">
        <v>7</v>
      </c>
      <c r="AM36" s="828">
        <v>0</v>
      </c>
      <c r="AN36" s="147" t="b">
        <v>0</v>
      </c>
      <c r="AO36" s="147" t="b">
        <v>0</v>
      </c>
    </row>
    <row r="37" spans="1:41" x14ac:dyDescent="0.35">
      <c r="A37" s="620">
        <v>36</v>
      </c>
      <c r="B37" s="617">
        <v>2</v>
      </c>
      <c r="C37" s="147">
        <v>4</v>
      </c>
      <c r="D37" s="147">
        <v>1</v>
      </c>
      <c r="E37" s="147">
        <v>3</v>
      </c>
      <c r="F37" s="147">
        <v>5</v>
      </c>
      <c r="G37" s="147">
        <v>1</v>
      </c>
      <c r="H37" s="147">
        <v>1</v>
      </c>
      <c r="I37" s="147">
        <v>5</v>
      </c>
      <c r="J37" s="147">
        <v>1</v>
      </c>
      <c r="K37" s="147">
        <v>1</v>
      </c>
      <c r="L37" s="147">
        <v>2</v>
      </c>
      <c r="M37" s="147">
        <v>1</v>
      </c>
      <c r="N37" s="147">
        <v>9</v>
      </c>
      <c r="O37" s="147">
        <v>1</v>
      </c>
      <c r="P37" s="147">
        <v>1</v>
      </c>
      <c r="Q37" s="147">
        <v>1</v>
      </c>
      <c r="R37" s="147">
        <v>1</v>
      </c>
      <c r="S37" s="147">
        <v>1</v>
      </c>
      <c r="T37" s="147">
        <v>1</v>
      </c>
      <c r="U37" s="147">
        <v>1</v>
      </c>
      <c r="V37" s="147">
        <v>6</v>
      </c>
      <c r="W37" s="147">
        <v>5</v>
      </c>
      <c r="X37" s="147">
        <v>1</v>
      </c>
      <c r="Y37" s="147">
        <v>1</v>
      </c>
      <c r="Z37" s="147">
        <v>1</v>
      </c>
      <c r="AA37" s="147">
        <v>1</v>
      </c>
      <c r="AB37" s="147">
        <v>1</v>
      </c>
      <c r="AC37" s="147">
        <v>1</v>
      </c>
      <c r="AD37" s="1466">
        <v>1</v>
      </c>
      <c r="AE37" s="1466">
        <v>1</v>
      </c>
      <c r="AF37" s="147">
        <v>1</v>
      </c>
      <c r="AG37" s="147">
        <v>1</v>
      </c>
      <c r="AH37" s="147">
        <v>1</v>
      </c>
      <c r="AI37" s="147">
        <v>1</v>
      </c>
      <c r="AJ37" s="147">
        <v>1</v>
      </c>
      <c r="AK37" s="147">
        <v>1</v>
      </c>
      <c r="AL37" s="147">
        <v>7</v>
      </c>
      <c r="AM37" s="828">
        <v>0</v>
      </c>
      <c r="AN37" s="147" t="b">
        <v>0</v>
      </c>
      <c r="AO37" s="147" t="b">
        <v>0</v>
      </c>
    </row>
    <row r="38" spans="1:41" x14ac:dyDescent="0.35">
      <c r="A38" s="620">
        <v>37</v>
      </c>
      <c r="B38" s="617">
        <v>2</v>
      </c>
      <c r="C38" s="147">
        <v>2</v>
      </c>
      <c r="D38" s="147">
        <v>1</v>
      </c>
      <c r="E38" s="147">
        <v>1</v>
      </c>
      <c r="F38" s="147">
        <v>1</v>
      </c>
      <c r="G38" s="147">
        <v>1</v>
      </c>
      <c r="H38" s="147">
        <v>1</v>
      </c>
      <c r="I38" s="147">
        <v>1</v>
      </c>
      <c r="J38" s="147">
        <v>1</v>
      </c>
      <c r="K38" s="147">
        <v>2</v>
      </c>
      <c r="L38" s="147">
        <v>2</v>
      </c>
      <c r="M38" s="147">
        <v>1</v>
      </c>
      <c r="N38" s="147">
        <v>1</v>
      </c>
      <c r="O38" s="147">
        <v>1</v>
      </c>
      <c r="P38" s="147">
        <v>1</v>
      </c>
      <c r="Q38" s="147">
        <v>1</v>
      </c>
      <c r="R38" s="147">
        <v>1</v>
      </c>
      <c r="S38" s="147">
        <v>1</v>
      </c>
      <c r="T38" s="147">
        <v>1</v>
      </c>
      <c r="U38" s="147">
        <v>1</v>
      </c>
      <c r="V38" s="2895">
        <v>14</v>
      </c>
      <c r="W38" s="147">
        <v>1</v>
      </c>
      <c r="X38" s="147">
        <v>1</v>
      </c>
      <c r="Y38" s="147">
        <v>4</v>
      </c>
      <c r="Z38" s="147">
        <v>1</v>
      </c>
      <c r="AA38" s="147">
        <v>1</v>
      </c>
      <c r="AB38" s="147">
        <v>1</v>
      </c>
      <c r="AC38" s="147">
        <v>1</v>
      </c>
      <c r="AD38" s="1466">
        <v>7</v>
      </c>
      <c r="AE38" s="1466">
        <v>1</v>
      </c>
      <c r="AF38" s="147">
        <v>1</v>
      </c>
      <c r="AG38" s="147">
        <v>1</v>
      </c>
      <c r="AH38" s="147">
        <v>1</v>
      </c>
      <c r="AI38" s="147">
        <v>1</v>
      </c>
      <c r="AJ38" s="147">
        <v>1</v>
      </c>
      <c r="AK38" s="147">
        <v>1</v>
      </c>
      <c r="AL38" s="147">
        <v>7</v>
      </c>
      <c r="AM38" s="828">
        <v>0</v>
      </c>
      <c r="AN38" s="147" t="b">
        <v>0</v>
      </c>
      <c r="AO38" s="147" t="b">
        <v>1</v>
      </c>
    </row>
    <row r="39" spans="1:41" x14ac:dyDescent="0.35">
      <c r="A39" s="620">
        <v>38</v>
      </c>
      <c r="B39" s="617">
        <v>2</v>
      </c>
      <c r="C39" s="147">
        <v>2</v>
      </c>
      <c r="D39" s="147">
        <v>1</v>
      </c>
      <c r="E39" s="147">
        <v>1</v>
      </c>
      <c r="F39" s="147">
        <v>1</v>
      </c>
      <c r="G39" s="147">
        <v>1</v>
      </c>
      <c r="H39" s="147">
        <v>2</v>
      </c>
      <c r="I39" s="147">
        <v>1</v>
      </c>
      <c r="J39" s="147">
        <v>1</v>
      </c>
      <c r="K39" s="147">
        <v>1</v>
      </c>
      <c r="L39" s="147">
        <v>2</v>
      </c>
      <c r="M39" s="147">
        <v>1</v>
      </c>
      <c r="N39" s="147">
        <v>1</v>
      </c>
      <c r="O39" s="147">
        <v>1</v>
      </c>
      <c r="P39" s="147">
        <v>1</v>
      </c>
      <c r="Q39" s="147">
        <v>1</v>
      </c>
      <c r="R39" s="147">
        <v>1</v>
      </c>
      <c r="S39" s="147">
        <v>1</v>
      </c>
      <c r="T39" s="147">
        <v>1</v>
      </c>
      <c r="U39" s="147">
        <v>1</v>
      </c>
      <c r="V39" s="147">
        <v>7</v>
      </c>
      <c r="W39" s="147">
        <v>1</v>
      </c>
      <c r="X39" s="147">
        <v>1</v>
      </c>
      <c r="Y39" s="147">
        <v>1</v>
      </c>
      <c r="Z39" s="147">
        <v>1</v>
      </c>
      <c r="AA39" s="147">
        <v>1</v>
      </c>
      <c r="AB39" s="147">
        <v>1</v>
      </c>
      <c r="AC39" s="147">
        <v>1</v>
      </c>
      <c r="AD39" s="1466">
        <v>1</v>
      </c>
      <c r="AE39" s="1466">
        <v>1</v>
      </c>
      <c r="AF39" s="147">
        <v>1</v>
      </c>
      <c r="AG39" s="147">
        <v>1</v>
      </c>
      <c r="AH39" s="147">
        <v>1</v>
      </c>
      <c r="AI39" s="147">
        <v>3</v>
      </c>
      <c r="AJ39" s="147">
        <v>1</v>
      </c>
      <c r="AK39" s="147">
        <v>1</v>
      </c>
      <c r="AL39" s="147">
        <v>4</v>
      </c>
      <c r="AM39" s="828">
        <v>0</v>
      </c>
      <c r="AN39" s="147" t="b">
        <v>0</v>
      </c>
      <c r="AO39" s="147" t="b">
        <v>0</v>
      </c>
    </row>
    <row r="40" spans="1:41" x14ac:dyDescent="0.35">
      <c r="A40" s="620">
        <v>39</v>
      </c>
      <c r="B40" s="617">
        <v>2</v>
      </c>
      <c r="C40" s="147">
        <v>1</v>
      </c>
      <c r="D40" s="147">
        <v>1</v>
      </c>
      <c r="E40" s="147">
        <v>1</v>
      </c>
      <c r="F40" s="147">
        <v>1</v>
      </c>
      <c r="G40" s="147">
        <v>1</v>
      </c>
      <c r="H40" s="147">
        <v>1</v>
      </c>
      <c r="I40" s="147">
        <v>13</v>
      </c>
      <c r="J40" s="147">
        <v>1</v>
      </c>
      <c r="K40" s="147">
        <v>1</v>
      </c>
      <c r="L40" s="147">
        <v>2</v>
      </c>
      <c r="M40" s="147">
        <v>1</v>
      </c>
      <c r="N40" s="147">
        <v>1</v>
      </c>
      <c r="O40" s="147">
        <v>1</v>
      </c>
      <c r="P40" s="147">
        <v>1</v>
      </c>
      <c r="Q40" s="147">
        <v>1</v>
      </c>
      <c r="R40" s="147">
        <v>1</v>
      </c>
      <c r="S40" s="147">
        <v>1</v>
      </c>
      <c r="T40" s="147">
        <v>1</v>
      </c>
      <c r="U40" s="147">
        <v>1</v>
      </c>
      <c r="V40" s="147">
        <v>1</v>
      </c>
      <c r="W40" s="147">
        <v>1</v>
      </c>
      <c r="X40" s="147">
        <v>1</v>
      </c>
      <c r="Y40" s="147">
        <v>2</v>
      </c>
      <c r="Z40" s="147">
        <v>5</v>
      </c>
      <c r="AA40" s="147">
        <v>1</v>
      </c>
      <c r="AB40" s="147">
        <v>1</v>
      </c>
      <c r="AC40" s="147">
        <v>1</v>
      </c>
      <c r="AD40" s="1466">
        <v>5</v>
      </c>
      <c r="AE40" s="1466">
        <v>1</v>
      </c>
      <c r="AF40" s="147">
        <v>1</v>
      </c>
      <c r="AG40" s="147">
        <v>1</v>
      </c>
      <c r="AH40" s="147">
        <v>3</v>
      </c>
      <c r="AI40" s="147">
        <v>1</v>
      </c>
      <c r="AJ40" s="147">
        <v>1</v>
      </c>
      <c r="AK40" s="147">
        <v>1</v>
      </c>
      <c r="AL40" s="147">
        <v>7</v>
      </c>
      <c r="AM40" s="828">
        <v>0</v>
      </c>
      <c r="AN40" s="147" t="b">
        <v>0</v>
      </c>
      <c r="AO40" s="147" t="b">
        <v>0</v>
      </c>
    </row>
    <row r="41" spans="1:41" x14ac:dyDescent="0.35">
      <c r="A41" s="620">
        <v>40</v>
      </c>
      <c r="B41" s="617">
        <v>2</v>
      </c>
      <c r="C41" s="147">
        <v>1</v>
      </c>
      <c r="D41" s="147">
        <v>1</v>
      </c>
      <c r="E41" s="147">
        <v>1</v>
      </c>
      <c r="F41" s="147">
        <v>1</v>
      </c>
      <c r="G41" s="147">
        <v>1</v>
      </c>
      <c r="H41" s="147">
        <v>1</v>
      </c>
      <c r="I41" s="147">
        <v>1</v>
      </c>
      <c r="J41" s="147">
        <v>1</v>
      </c>
      <c r="K41" s="147">
        <v>1</v>
      </c>
      <c r="L41" s="147">
        <v>2</v>
      </c>
      <c r="M41" s="147">
        <v>1</v>
      </c>
      <c r="N41" s="147">
        <v>6</v>
      </c>
      <c r="O41" s="147">
        <v>1</v>
      </c>
      <c r="P41" s="147">
        <v>1</v>
      </c>
      <c r="Q41" s="147">
        <v>1</v>
      </c>
      <c r="R41" s="147">
        <v>1</v>
      </c>
      <c r="S41" s="147">
        <v>1</v>
      </c>
      <c r="T41" s="147">
        <v>7</v>
      </c>
      <c r="U41" s="147">
        <v>1</v>
      </c>
      <c r="V41" s="147">
        <v>1</v>
      </c>
      <c r="W41" s="147">
        <v>1</v>
      </c>
      <c r="X41" s="147">
        <v>1</v>
      </c>
      <c r="Y41" s="147">
        <v>1</v>
      </c>
      <c r="Z41" s="147">
        <v>1</v>
      </c>
      <c r="AA41" s="147">
        <v>1</v>
      </c>
      <c r="AB41" s="147">
        <v>1</v>
      </c>
      <c r="AC41" s="147">
        <v>1</v>
      </c>
      <c r="AD41" s="1466">
        <v>1</v>
      </c>
      <c r="AE41" s="1466">
        <v>1</v>
      </c>
      <c r="AF41" s="147">
        <v>4</v>
      </c>
      <c r="AG41" s="147">
        <v>4</v>
      </c>
      <c r="AH41" s="147">
        <v>1</v>
      </c>
      <c r="AI41" s="147">
        <v>1</v>
      </c>
      <c r="AJ41" s="147">
        <v>1</v>
      </c>
      <c r="AK41" s="147">
        <v>1</v>
      </c>
      <c r="AL41" s="147">
        <v>1</v>
      </c>
      <c r="AM41" s="828">
        <v>0</v>
      </c>
      <c r="AN41" s="147" t="b">
        <v>1</v>
      </c>
      <c r="AO41" s="147" t="b">
        <v>0</v>
      </c>
    </row>
    <row r="42" spans="1:41" x14ac:dyDescent="0.35">
      <c r="A42" s="620">
        <v>41</v>
      </c>
      <c r="B42" s="617">
        <v>2</v>
      </c>
      <c r="C42" s="147">
        <v>5</v>
      </c>
      <c r="D42" s="147">
        <v>2</v>
      </c>
      <c r="E42" s="147">
        <v>1</v>
      </c>
      <c r="F42" s="147">
        <v>1</v>
      </c>
      <c r="G42" s="147">
        <v>1</v>
      </c>
      <c r="H42" s="147">
        <v>1</v>
      </c>
      <c r="I42" s="147">
        <v>1</v>
      </c>
      <c r="J42" s="147">
        <v>1</v>
      </c>
      <c r="K42" s="147">
        <v>1</v>
      </c>
      <c r="L42" s="147">
        <v>2</v>
      </c>
      <c r="M42" s="147">
        <v>1</v>
      </c>
      <c r="N42" s="147">
        <v>1</v>
      </c>
      <c r="O42" s="147">
        <v>1</v>
      </c>
      <c r="P42" s="147">
        <v>1</v>
      </c>
      <c r="Q42" s="147">
        <v>1</v>
      </c>
      <c r="R42" s="147">
        <v>1</v>
      </c>
      <c r="S42" s="147">
        <v>1</v>
      </c>
      <c r="T42" s="147">
        <v>1</v>
      </c>
      <c r="U42" s="147">
        <v>1</v>
      </c>
      <c r="V42" s="147">
        <v>1</v>
      </c>
      <c r="W42" s="147">
        <v>1</v>
      </c>
      <c r="X42" s="147">
        <v>1</v>
      </c>
      <c r="Y42" s="147">
        <v>1</v>
      </c>
      <c r="Z42" s="147">
        <v>1</v>
      </c>
      <c r="AA42" s="147">
        <v>1</v>
      </c>
      <c r="AB42" s="147">
        <v>1</v>
      </c>
      <c r="AC42" s="147">
        <v>1</v>
      </c>
      <c r="AD42" s="1466">
        <v>1</v>
      </c>
      <c r="AE42" s="1466">
        <v>1</v>
      </c>
      <c r="AF42" s="147">
        <v>1</v>
      </c>
      <c r="AG42" s="147">
        <v>1</v>
      </c>
      <c r="AH42" s="147">
        <v>1</v>
      </c>
      <c r="AI42" s="147">
        <v>1</v>
      </c>
      <c r="AJ42" s="147">
        <v>2</v>
      </c>
      <c r="AK42" s="147">
        <v>1</v>
      </c>
      <c r="AL42" s="147">
        <v>3</v>
      </c>
      <c r="AM42" s="828">
        <v>0</v>
      </c>
      <c r="AN42" s="147" t="b">
        <v>1</v>
      </c>
      <c r="AO42" s="147" t="b">
        <v>0</v>
      </c>
    </row>
    <row r="43" spans="1:41" x14ac:dyDescent="0.35">
      <c r="A43" s="620">
        <v>42</v>
      </c>
      <c r="B43" s="617">
        <v>2</v>
      </c>
      <c r="C43" s="147">
        <v>14</v>
      </c>
      <c r="D43" s="147">
        <v>2</v>
      </c>
      <c r="E43" s="147">
        <v>1</v>
      </c>
      <c r="F43" s="147">
        <v>1</v>
      </c>
      <c r="G43" s="147">
        <v>1</v>
      </c>
      <c r="H43" s="147">
        <v>1</v>
      </c>
      <c r="I43" s="147">
        <v>1</v>
      </c>
      <c r="J43" s="147">
        <v>1</v>
      </c>
      <c r="K43" s="147">
        <v>1</v>
      </c>
      <c r="L43" s="147">
        <v>2</v>
      </c>
      <c r="M43" s="147">
        <v>1</v>
      </c>
      <c r="N43" s="147">
        <v>1</v>
      </c>
      <c r="O43" s="147">
        <v>1</v>
      </c>
      <c r="P43" s="147">
        <v>1</v>
      </c>
      <c r="Q43" s="147">
        <v>1</v>
      </c>
      <c r="R43" s="147">
        <v>1</v>
      </c>
      <c r="S43" s="147">
        <v>1</v>
      </c>
      <c r="T43" s="147">
        <v>1</v>
      </c>
      <c r="U43" s="147">
        <v>1</v>
      </c>
      <c r="V43" s="147">
        <v>1</v>
      </c>
      <c r="W43" s="147">
        <v>1</v>
      </c>
      <c r="X43" s="147">
        <v>1</v>
      </c>
      <c r="Y43" s="147">
        <v>1</v>
      </c>
      <c r="Z43" s="147">
        <v>1</v>
      </c>
      <c r="AA43" s="147">
        <v>1</v>
      </c>
      <c r="AB43" s="147">
        <v>1</v>
      </c>
      <c r="AC43" s="147">
        <v>1</v>
      </c>
      <c r="AD43" s="1466">
        <v>1</v>
      </c>
      <c r="AE43" s="1466">
        <v>1</v>
      </c>
      <c r="AF43" s="147">
        <v>4</v>
      </c>
      <c r="AG43" s="147">
        <v>1</v>
      </c>
      <c r="AH43" s="147">
        <v>1</v>
      </c>
      <c r="AI43" s="147">
        <v>1</v>
      </c>
      <c r="AJ43" s="147">
        <v>2</v>
      </c>
      <c r="AK43" s="147">
        <v>1</v>
      </c>
      <c r="AL43" s="147">
        <v>5</v>
      </c>
      <c r="AM43" s="828">
        <v>0</v>
      </c>
      <c r="AN43" s="147" t="b">
        <v>1</v>
      </c>
      <c r="AO43" s="147" t="b">
        <v>0</v>
      </c>
    </row>
    <row r="44" spans="1:41" x14ac:dyDescent="0.35">
      <c r="A44" s="620">
        <v>43</v>
      </c>
      <c r="B44" s="617">
        <v>2</v>
      </c>
      <c r="C44" s="147">
        <v>14</v>
      </c>
      <c r="D44" s="147">
        <v>2</v>
      </c>
      <c r="E44" s="147">
        <v>1</v>
      </c>
      <c r="F44" s="147">
        <v>1</v>
      </c>
      <c r="G44" s="147">
        <v>1</v>
      </c>
      <c r="H44" s="147">
        <v>1</v>
      </c>
      <c r="I44" s="147">
        <v>1</v>
      </c>
      <c r="J44" s="147">
        <v>1</v>
      </c>
      <c r="K44" s="147">
        <v>5</v>
      </c>
      <c r="L44" s="147">
        <v>2</v>
      </c>
      <c r="M44" s="147">
        <v>1</v>
      </c>
      <c r="N44" s="147">
        <v>1</v>
      </c>
      <c r="O44" s="147">
        <v>1</v>
      </c>
      <c r="P44" s="147">
        <v>1</v>
      </c>
      <c r="Q44" s="147">
        <v>1</v>
      </c>
      <c r="R44" s="147">
        <v>1</v>
      </c>
      <c r="S44" s="147">
        <v>1</v>
      </c>
      <c r="T44" s="147">
        <v>1</v>
      </c>
      <c r="U44" s="147">
        <v>1</v>
      </c>
      <c r="V44" s="147">
        <v>1</v>
      </c>
      <c r="W44" s="147">
        <v>1</v>
      </c>
      <c r="X44" s="147">
        <v>1</v>
      </c>
      <c r="Y44" s="147">
        <v>1</v>
      </c>
      <c r="Z44" s="147">
        <v>1</v>
      </c>
      <c r="AA44" s="147">
        <v>1</v>
      </c>
      <c r="AB44" s="147">
        <v>1</v>
      </c>
      <c r="AC44" s="147">
        <v>1</v>
      </c>
      <c r="AD44" s="1466">
        <v>1</v>
      </c>
      <c r="AE44" s="1466">
        <v>1</v>
      </c>
      <c r="AF44" s="147">
        <v>4</v>
      </c>
      <c r="AG44" s="147">
        <v>1</v>
      </c>
      <c r="AH44" s="147">
        <v>1</v>
      </c>
      <c r="AI44" s="147">
        <v>1</v>
      </c>
      <c r="AJ44" s="147">
        <v>2</v>
      </c>
      <c r="AK44" s="147">
        <v>1</v>
      </c>
      <c r="AL44" s="147">
        <v>5</v>
      </c>
      <c r="AM44" s="828">
        <v>0</v>
      </c>
      <c r="AN44" s="147" t="b">
        <v>1</v>
      </c>
      <c r="AO44" s="147" t="b">
        <v>0</v>
      </c>
    </row>
    <row r="45" spans="1:41" x14ac:dyDescent="0.35">
      <c r="A45" s="620">
        <v>44</v>
      </c>
      <c r="B45" s="617">
        <v>2</v>
      </c>
      <c r="C45" s="147">
        <v>1</v>
      </c>
      <c r="D45" s="147">
        <v>1</v>
      </c>
      <c r="E45" s="147">
        <v>1</v>
      </c>
      <c r="F45" s="147">
        <v>1</v>
      </c>
      <c r="G45" s="147">
        <v>1</v>
      </c>
      <c r="H45" s="147">
        <v>1</v>
      </c>
      <c r="I45" s="147">
        <v>1</v>
      </c>
      <c r="J45" s="147">
        <v>1</v>
      </c>
      <c r="K45" s="147">
        <v>1</v>
      </c>
      <c r="L45" s="147">
        <v>2</v>
      </c>
      <c r="M45" s="147">
        <v>1</v>
      </c>
      <c r="N45" s="147">
        <v>1</v>
      </c>
      <c r="O45" s="147">
        <v>1</v>
      </c>
      <c r="P45" s="147">
        <v>4</v>
      </c>
      <c r="Q45" s="147">
        <v>1</v>
      </c>
      <c r="R45" s="147">
        <v>1</v>
      </c>
      <c r="S45" s="147">
        <v>3</v>
      </c>
      <c r="T45" s="147">
        <v>1</v>
      </c>
      <c r="U45" s="147">
        <v>1</v>
      </c>
      <c r="V45" s="147">
        <v>3</v>
      </c>
      <c r="W45" s="147">
        <v>7</v>
      </c>
      <c r="X45" s="147">
        <v>1</v>
      </c>
      <c r="Y45" s="147">
        <v>1</v>
      </c>
      <c r="Z45" s="147">
        <v>1</v>
      </c>
      <c r="AA45" s="147">
        <v>1</v>
      </c>
      <c r="AB45" s="147">
        <v>1</v>
      </c>
      <c r="AC45" s="147">
        <v>1</v>
      </c>
      <c r="AD45" s="1466">
        <v>1</v>
      </c>
      <c r="AE45" s="1466">
        <v>1</v>
      </c>
      <c r="AF45" s="147">
        <v>1</v>
      </c>
      <c r="AG45" s="147">
        <v>1</v>
      </c>
      <c r="AH45" s="147">
        <v>1</v>
      </c>
      <c r="AI45" s="147">
        <v>1</v>
      </c>
      <c r="AJ45" s="147">
        <v>1</v>
      </c>
      <c r="AK45" s="147">
        <v>3</v>
      </c>
      <c r="AL45" s="147">
        <v>7</v>
      </c>
      <c r="AM45" s="828">
        <v>671</v>
      </c>
      <c r="AN45" s="147" t="b">
        <v>0</v>
      </c>
      <c r="AO45" s="147" t="b">
        <v>0</v>
      </c>
    </row>
    <row r="46" spans="1:41" x14ac:dyDescent="0.35">
      <c r="A46" s="620">
        <v>45</v>
      </c>
      <c r="B46" s="617">
        <v>2</v>
      </c>
      <c r="C46" s="147">
        <v>1</v>
      </c>
      <c r="D46" s="147">
        <v>1</v>
      </c>
      <c r="E46" s="147">
        <v>1</v>
      </c>
      <c r="F46" s="147">
        <v>1</v>
      </c>
      <c r="G46" s="147">
        <v>1</v>
      </c>
      <c r="H46" s="147">
        <v>1</v>
      </c>
      <c r="I46" s="147">
        <v>1</v>
      </c>
      <c r="J46" s="147">
        <v>1</v>
      </c>
      <c r="K46" s="147">
        <v>1</v>
      </c>
      <c r="L46" s="147">
        <v>2</v>
      </c>
      <c r="M46" s="147">
        <v>1</v>
      </c>
      <c r="N46" s="147">
        <v>1</v>
      </c>
      <c r="O46" s="147">
        <v>1</v>
      </c>
      <c r="P46" s="147">
        <v>1</v>
      </c>
      <c r="Q46" s="147">
        <v>1</v>
      </c>
      <c r="R46" s="147">
        <v>1</v>
      </c>
      <c r="S46" s="147">
        <v>1</v>
      </c>
      <c r="T46" s="147">
        <v>1</v>
      </c>
      <c r="U46" s="147">
        <v>1</v>
      </c>
      <c r="V46" s="147">
        <v>4</v>
      </c>
      <c r="W46" s="147">
        <v>9</v>
      </c>
      <c r="X46" s="147">
        <v>1</v>
      </c>
      <c r="Y46" s="147">
        <v>1</v>
      </c>
      <c r="Z46" s="147">
        <v>1</v>
      </c>
      <c r="AA46" s="147">
        <v>1</v>
      </c>
      <c r="AB46" s="147">
        <v>1</v>
      </c>
      <c r="AC46" s="147">
        <v>3</v>
      </c>
      <c r="AD46" s="1466">
        <v>5</v>
      </c>
      <c r="AE46" s="1466">
        <v>1</v>
      </c>
      <c r="AF46" s="147">
        <v>1</v>
      </c>
      <c r="AG46" s="147">
        <v>3</v>
      </c>
      <c r="AH46" s="147">
        <v>1</v>
      </c>
      <c r="AI46" s="147">
        <v>3</v>
      </c>
      <c r="AJ46" s="147">
        <v>1</v>
      </c>
      <c r="AK46" s="147">
        <v>1</v>
      </c>
      <c r="AL46" s="147">
        <v>7</v>
      </c>
      <c r="AM46" s="828">
        <v>0</v>
      </c>
      <c r="AN46" s="147" t="b">
        <v>0</v>
      </c>
      <c r="AO46" s="147" t="b">
        <v>1</v>
      </c>
    </row>
    <row r="47" spans="1:41" x14ac:dyDescent="0.35">
      <c r="A47" s="620">
        <v>46</v>
      </c>
      <c r="B47" s="617">
        <v>2</v>
      </c>
      <c r="C47" s="147">
        <v>1</v>
      </c>
      <c r="D47" s="147">
        <v>1</v>
      </c>
      <c r="E47" s="147">
        <v>1</v>
      </c>
      <c r="F47" s="147">
        <v>8</v>
      </c>
      <c r="G47" s="147">
        <v>1</v>
      </c>
      <c r="H47" s="147">
        <v>1</v>
      </c>
      <c r="I47" s="147">
        <v>1</v>
      </c>
      <c r="J47" s="147">
        <v>1</v>
      </c>
      <c r="K47" s="147">
        <v>1</v>
      </c>
      <c r="L47" s="147">
        <v>2</v>
      </c>
      <c r="M47" s="147">
        <v>1</v>
      </c>
      <c r="N47" s="147">
        <v>1</v>
      </c>
      <c r="O47" s="147">
        <v>1</v>
      </c>
      <c r="P47" s="147">
        <v>1</v>
      </c>
      <c r="Q47" s="147">
        <v>1</v>
      </c>
      <c r="R47" s="147">
        <v>1</v>
      </c>
      <c r="S47" s="147">
        <v>6</v>
      </c>
      <c r="T47" s="147">
        <v>1</v>
      </c>
      <c r="U47" s="147">
        <v>1</v>
      </c>
      <c r="V47" s="147">
        <v>1</v>
      </c>
      <c r="W47" s="147">
        <v>1</v>
      </c>
      <c r="X47" s="147">
        <v>1</v>
      </c>
      <c r="Y47" s="147">
        <v>1</v>
      </c>
      <c r="Z47" s="147">
        <v>1</v>
      </c>
      <c r="AA47" s="147">
        <v>1</v>
      </c>
      <c r="AB47" s="147">
        <v>3</v>
      </c>
      <c r="AC47" s="147">
        <v>2</v>
      </c>
      <c r="AD47" s="1466">
        <v>9</v>
      </c>
      <c r="AE47" s="1466">
        <v>1</v>
      </c>
      <c r="AF47" s="147">
        <v>1</v>
      </c>
      <c r="AG47" s="147">
        <v>2</v>
      </c>
      <c r="AH47" s="147">
        <v>7</v>
      </c>
      <c r="AI47" s="147">
        <v>1</v>
      </c>
      <c r="AJ47" s="147">
        <v>1</v>
      </c>
      <c r="AK47" s="147">
        <v>1</v>
      </c>
      <c r="AL47" s="147">
        <v>7</v>
      </c>
      <c r="AM47" s="828">
        <v>0</v>
      </c>
      <c r="AN47" s="147" t="b">
        <v>0</v>
      </c>
      <c r="AO47" s="147" t="b">
        <v>0</v>
      </c>
    </row>
    <row r="48" spans="1:41" x14ac:dyDescent="0.35">
      <c r="A48" s="620">
        <v>47</v>
      </c>
      <c r="B48" s="617">
        <v>2</v>
      </c>
      <c r="C48" s="147">
        <v>5</v>
      </c>
      <c r="D48" s="147">
        <v>3</v>
      </c>
      <c r="E48" s="147">
        <v>4</v>
      </c>
      <c r="F48" s="147">
        <v>5</v>
      </c>
      <c r="G48" s="147">
        <v>3</v>
      </c>
      <c r="H48" s="147">
        <v>1</v>
      </c>
      <c r="I48" s="147">
        <v>1</v>
      </c>
      <c r="J48" s="147">
        <v>1</v>
      </c>
      <c r="K48" s="147">
        <v>1</v>
      </c>
      <c r="L48" s="147">
        <v>2</v>
      </c>
      <c r="M48" s="147">
        <v>3</v>
      </c>
      <c r="N48" s="147">
        <v>3</v>
      </c>
      <c r="O48" s="147">
        <v>5</v>
      </c>
      <c r="P48" s="147">
        <v>2</v>
      </c>
      <c r="Q48" s="147">
        <v>4</v>
      </c>
      <c r="R48" s="147">
        <v>3</v>
      </c>
      <c r="S48" s="147">
        <v>7</v>
      </c>
      <c r="T48" s="147">
        <v>3</v>
      </c>
      <c r="U48" s="147">
        <v>1</v>
      </c>
      <c r="V48" s="147">
        <v>6</v>
      </c>
      <c r="W48" s="147">
        <v>10</v>
      </c>
      <c r="X48" s="147">
        <v>1</v>
      </c>
      <c r="Y48" s="147">
        <v>4</v>
      </c>
      <c r="Z48" s="147">
        <v>1</v>
      </c>
      <c r="AA48" s="147">
        <v>1</v>
      </c>
      <c r="AB48" s="147">
        <v>3</v>
      </c>
      <c r="AC48" s="147">
        <v>1</v>
      </c>
      <c r="AD48" s="1466">
        <v>9</v>
      </c>
      <c r="AE48" s="1466">
        <v>1</v>
      </c>
      <c r="AF48" s="147">
        <v>2</v>
      </c>
      <c r="AG48" s="147">
        <v>2</v>
      </c>
      <c r="AH48" s="147">
        <v>8</v>
      </c>
      <c r="AI48" s="147">
        <v>4</v>
      </c>
      <c r="AJ48" s="147">
        <v>1</v>
      </c>
      <c r="AK48" s="147">
        <v>1</v>
      </c>
      <c r="AL48" s="147">
        <v>4</v>
      </c>
      <c r="AM48" s="828">
        <v>671</v>
      </c>
      <c r="AN48" s="147" t="b">
        <v>0</v>
      </c>
      <c r="AO48" s="147" t="b">
        <v>0</v>
      </c>
    </row>
    <row r="49" spans="1:41" x14ac:dyDescent="0.35">
      <c r="A49" s="620">
        <v>48</v>
      </c>
      <c r="B49" s="617">
        <v>2</v>
      </c>
      <c r="C49" s="147">
        <v>4</v>
      </c>
      <c r="D49" s="147">
        <v>1</v>
      </c>
      <c r="E49" s="147">
        <v>1</v>
      </c>
      <c r="F49" s="147">
        <v>1</v>
      </c>
      <c r="G49" s="147">
        <v>1</v>
      </c>
      <c r="H49" s="147">
        <v>1</v>
      </c>
      <c r="I49" s="147">
        <v>1</v>
      </c>
      <c r="J49" s="147">
        <v>1</v>
      </c>
      <c r="K49" s="147">
        <v>1</v>
      </c>
      <c r="L49" s="147">
        <v>2</v>
      </c>
      <c r="M49" s="147">
        <v>1</v>
      </c>
      <c r="N49" s="147">
        <v>1</v>
      </c>
      <c r="O49" s="147">
        <v>1</v>
      </c>
      <c r="P49" s="147">
        <v>1</v>
      </c>
      <c r="Q49" s="147">
        <v>1</v>
      </c>
      <c r="R49" s="147">
        <v>1</v>
      </c>
      <c r="S49" s="147">
        <v>1</v>
      </c>
      <c r="T49" s="147">
        <v>1</v>
      </c>
      <c r="U49" s="147">
        <v>1</v>
      </c>
      <c r="V49" s="147">
        <v>1</v>
      </c>
      <c r="W49" s="147">
        <v>1</v>
      </c>
      <c r="X49" s="147">
        <v>1</v>
      </c>
      <c r="Y49" s="147">
        <v>5</v>
      </c>
      <c r="Z49" s="147">
        <v>1</v>
      </c>
      <c r="AA49" s="147">
        <v>1</v>
      </c>
      <c r="AB49" s="147">
        <v>1</v>
      </c>
      <c r="AC49" s="147">
        <v>1</v>
      </c>
      <c r="AD49" s="1466">
        <v>5</v>
      </c>
      <c r="AE49" s="1466">
        <v>1</v>
      </c>
      <c r="AF49" s="147">
        <v>1</v>
      </c>
      <c r="AG49" s="147">
        <v>1</v>
      </c>
      <c r="AH49" s="147">
        <v>1</v>
      </c>
      <c r="AI49" s="147">
        <v>1</v>
      </c>
      <c r="AJ49" s="147">
        <v>1</v>
      </c>
      <c r="AK49" s="147">
        <v>1</v>
      </c>
      <c r="AL49" s="147">
        <v>5</v>
      </c>
      <c r="AM49" s="828">
        <v>0</v>
      </c>
      <c r="AN49" s="147" t="b">
        <v>0</v>
      </c>
      <c r="AO49" s="147" t="b">
        <v>0</v>
      </c>
    </row>
    <row r="50" spans="1:41" x14ac:dyDescent="0.35">
      <c r="A50" s="620">
        <v>49</v>
      </c>
      <c r="B50" s="617">
        <v>2</v>
      </c>
      <c r="C50" s="147">
        <v>1</v>
      </c>
      <c r="D50" s="147">
        <v>1</v>
      </c>
      <c r="E50" s="147">
        <v>1</v>
      </c>
      <c r="F50" s="147">
        <v>1</v>
      </c>
      <c r="G50" s="147">
        <v>1</v>
      </c>
      <c r="H50" s="147">
        <v>1</v>
      </c>
      <c r="I50" s="147">
        <v>1</v>
      </c>
      <c r="J50" s="147">
        <v>1</v>
      </c>
      <c r="K50" s="147">
        <v>1</v>
      </c>
      <c r="L50" s="147">
        <v>2</v>
      </c>
      <c r="M50" s="147">
        <v>1</v>
      </c>
      <c r="N50" s="147">
        <v>1</v>
      </c>
      <c r="O50" s="147">
        <v>1</v>
      </c>
      <c r="P50" s="147">
        <v>1</v>
      </c>
      <c r="Q50" s="147">
        <v>1</v>
      </c>
      <c r="R50" s="147">
        <v>1</v>
      </c>
      <c r="S50" s="147">
        <v>1</v>
      </c>
      <c r="T50" s="147">
        <v>1</v>
      </c>
      <c r="U50" s="147">
        <v>1</v>
      </c>
      <c r="V50" s="147">
        <v>3</v>
      </c>
      <c r="W50" s="147">
        <v>6</v>
      </c>
      <c r="X50" s="147">
        <v>1</v>
      </c>
      <c r="Y50" s="147">
        <v>1</v>
      </c>
      <c r="Z50" s="147">
        <v>2</v>
      </c>
      <c r="AA50" s="147">
        <v>1</v>
      </c>
      <c r="AB50" s="147">
        <v>1</v>
      </c>
      <c r="AC50" s="147">
        <v>1</v>
      </c>
      <c r="AD50" s="1466">
        <v>5</v>
      </c>
      <c r="AE50" s="1466">
        <v>1</v>
      </c>
      <c r="AF50" s="147">
        <v>2</v>
      </c>
      <c r="AG50" s="147">
        <v>1</v>
      </c>
      <c r="AH50" s="147">
        <v>1</v>
      </c>
      <c r="AI50" s="147">
        <v>1</v>
      </c>
      <c r="AJ50" s="147">
        <v>1</v>
      </c>
      <c r="AK50" s="147">
        <v>1</v>
      </c>
      <c r="AL50" s="147">
        <v>5</v>
      </c>
      <c r="AM50" s="828">
        <v>0</v>
      </c>
      <c r="AN50" s="147" t="b">
        <v>0</v>
      </c>
      <c r="AO50" s="147" t="b">
        <v>0</v>
      </c>
    </row>
    <row r="51" spans="1:41" x14ac:dyDescent="0.35">
      <c r="A51" s="620">
        <v>50</v>
      </c>
      <c r="B51" s="617">
        <v>2</v>
      </c>
      <c r="C51" s="147">
        <v>1</v>
      </c>
      <c r="D51" s="147">
        <v>1</v>
      </c>
      <c r="E51" s="147">
        <v>3</v>
      </c>
      <c r="F51" s="147">
        <v>1</v>
      </c>
      <c r="G51" s="147">
        <v>2</v>
      </c>
      <c r="H51" s="147">
        <v>1</v>
      </c>
      <c r="I51" s="147">
        <v>1</v>
      </c>
      <c r="J51" s="147">
        <v>1</v>
      </c>
      <c r="K51" s="147">
        <v>1</v>
      </c>
      <c r="L51" s="147">
        <v>2</v>
      </c>
      <c r="M51" s="147">
        <v>1</v>
      </c>
      <c r="N51" s="147">
        <v>1</v>
      </c>
      <c r="O51" s="147">
        <v>1</v>
      </c>
      <c r="P51" s="147">
        <v>1</v>
      </c>
      <c r="Q51" s="147">
        <v>1</v>
      </c>
      <c r="R51" s="147">
        <v>1</v>
      </c>
      <c r="S51" s="147">
        <v>1</v>
      </c>
      <c r="T51" s="147">
        <v>1</v>
      </c>
      <c r="U51" s="147">
        <v>1</v>
      </c>
      <c r="V51" s="147">
        <v>2</v>
      </c>
      <c r="W51" s="147">
        <v>1</v>
      </c>
      <c r="X51" s="147">
        <v>1</v>
      </c>
      <c r="Y51" s="147">
        <v>1</v>
      </c>
      <c r="Z51" s="147">
        <v>1</v>
      </c>
      <c r="AA51" s="147">
        <v>1</v>
      </c>
      <c r="AB51" s="147">
        <v>1</v>
      </c>
      <c r="AC51" s="147">
        <v>1</v>
      </c>
      <c r="AD51" s="1466">
        <v>1</v>
      </c>
      <c r="AE51" s="1466">
        <v>1</v>
      </c>
      <c r="AF51" s="147">
        <v>2</v>
      </c>
      <c r="AG51" s="147">
        <v>1</v>
      </c>
      <c r="AH51" s="147">
        <v>1</v>
      </c>
      <c r="AI51" s="147">
        <v>1</v>
      </c>
      <c r="AJ51" s="147">
        <v>1</v>
      </c>
      <c r="AK51" s="147">
        <v>1</v>
      </c>
      <c r="AL51" s="147">
        <v>5</v>
      </c>
      <c r="AM51" s="828">
        <v>0</v>
      </c>
      <c r="AN51" s="147" t="b">
        <v>0</v>
      </c>
      <c r="AO51" s="147" t="b">
        <v>0</v>
      </c>
    </row>
    <row r="52" spans="1:41" x14ac:dyDescent="0.35">
      <c r="A52" s="620">
        <v>51</v>
      </c>
      <c r="B52" s="617">
        <v>2</v>
      </c>
      <c r="C52" s="147">
        <v>1</v>
      </c>
      <c r="D52" s="147">
        <v>2</v>
      </c>
      <c r="E52" s="147">
        <v>1</v>
      </c>
      <c r="F52" s="147">
        <v>1</v>
      </c>
      <c r="G52" s="147">
        <v>1</v>
      </c>
      <c r="H52" s="147">
        <v>2</v>
      </c>
      <c r="I52" s="147">
        <v>1</v>
      </c>
      <c r="J52" s="147">
        <v>1</v>
      </c>
      <c r="K52" s="147">
        <v>1</v>
      </c>
      <c r="L52" s="147">
        <v>2</v>
      </c>
      <c r="M52" s="147">
        <v>1</v>
      </c>
      <c r="N52" s="147">
        <v>1</v>
      </c>
      <c r="O52" s="147">
        <v>1</v>
      </c>
      <c r="P52" s="147">
        <v>1</v>
      </c>
      <c r="Q52" s="147">
        <v>1</v>
      </c>
      <c r="R52" s="147">
        <v>1</v>
      </c>
      <c r="S52" s="147">
        <v>1</v>
      </c>
      <c r="T52" s="147">
        <v>1</v>
      </c>
      <c r="U52" s="147">
        <v>1</v>
      </c>
      <c r="V52" s="147">
        <v>6</v>
      </c>
      <c r="W52" s="147">
        <v>1</v>
      </c>
      <c r="X52" s="147">
        <v>1</v>
      </c>
      <c r="Y52" s="147">
        <v>1</v>
      </c>
      <c r="Z52" s="147">
        <v>6</v>
      </c>
      <c r="AA52" s="147">
        <v>1</v>
      </c>
      <c r="AB52" s="147">
        <v>1</v>
      </c>
      <c r="AC52" s="147">
        <v>1</v>
      </c>
      <c r="AD52" s="1466">
        <v>11</v>
      </c>
      <c r="AE52" s="1466">
        <v>1</v>
      </c>
      <c r="AF52" s="147">
        <v>1</v>
      </c>
      <c r="AG52" s="147">
        <v>1</v>
      </c>
      <c r="AH52" s="147">
        <v>1</v>
      </c>
      <c r="AI52" s="147">
        <v>1</v>
      </c>
      <c r="AJ52" s="147">
        <v>1</v>
      </c>
      <c r="AK52" s="147">
        <v>1</v>
      </c>
      <c r="AL52" s="147">
        <v>2</v>
      </c>
      <c r="AM52" s="828">
        <v>0</v>
      </c>
      <c r="AN52" s="147" t="b">
        <v>1</v>
      </c>
      <c r="AO52" s="147" t="b">
        <v>0</v>
      </c>
    </row>
    <row r="53" spans="1:41" x14ac:dyDescent="0.35">
      <c r="A53" s="620">
        <v>52</v>
      </c>
      <c r="B53" s="617">
        <v>2</v>
      </c>
      <c r="C53" s="147">
        <v>11</v>
      </c>
      <c r="D53" s="147">
        <v>2</v>
      </c>
      <c r="E53" s="147">
        <v>1</v>
      </c>
      <c r="F53" s="147">
        <v>1</v>
      </c>
      <c r="G53" s="147">
        <v>1</v>
      </c>
      <c r="H53" s="147">
        <v>1</v>
      </c>
      <c r="I53" s="147">
        <v>1</v>
      </c>
      <c r="J53" s="147">
        <v>1</v>
      </c>
      <c r="K53" s="147">
        <v>1</v>
      </c>
      <c r="L53" s="147">
        <v>2</v>
      </c>
      <c r="M53" s="147">
        <v>1</v>
      </c>
      <c r="N53" s="147">
        <v>1</v>
      </c>
      <c r="O53" s="147">
        <v>1</v>
      </c>
      <c r="P53" s="147">
        <v>1</v>
      </c>
      <c r="Q53" s="147">
        <v>1</v>
      </c>
      <c r="R53" s="147">
        <v>1</v>
      </c>
      <c r="S53" s="147">
        <v>1</v>
      </c>
      <c r="T53" s="147">
        <v>3</v>
      </c>
      <c r="U53" s="147">
        <v>1</v>
      </c>
      <c r="V53" s="147">
        <v>1</v>
      </c>
      <c r="W53" s="147">
        <v>1</v>
      </c>
      <c r="X53" s="147">
        <v>1</v>
      </c>
      <c r="Y53" s="147">
        <v>1</v>
      </c>
      <c r="Z53" s="147">
        <v>8</v>
      </c>
      <c r="AA53" s="147">
        <v>1</v>
      </c>
      <c r="AB53" s="147">
        <v>1</v>
      </c>
      <c r="AC53" s="147">
        <v>1</v>
      </c>
      <c r="AD53" s="1466">
        <v>5</v>
      </c>
      <c r="AE53" s="1466">
        <v>1</v>
      </c>
      <c r="AF53" s="147">
        <v>2</v>
      </c>
      <c r="AG53" s="147">
        <v>1</v>
      </c>
      <c r="AH53" s="147">
        <v>1</v>
      </c>
      <c r="AI53" s="147">
        <v>1</v>
      </c>
      <c r="AJ53" s="147">
        <v>1</v>
      </c>
      <c r="AK53" s="147">
        <v>1</v>
      </c>
      <c r="AL53" s="147">
        <v>2</v>
      </c>
      <c r="AM53" s="828">
        <v>0</v>
      </c>
      <c r="AN53" s="147" t="b">
        <v>1</v>
      </c>
      <c r="AO53" s="147" t="b">
        <v>0</v>
      </c>
    </row>
    <row r="54" spans="1:41" x14ac:dyDescent="0.35">
      <c r="A54" s="620">
        <v>53</v>
      </c>
      <c r="B54" s="617">
        <v>2</v>
      </c>
      <c r="C54" s="147">
        <v>1</v>
      </c>
      <c r="D54" s="147">
        <v>1</v>
      </c>
      <c r="E54" s="147">
        <v>1</v>
      </c>
      <c r="F54" s="147">
        <v>1</v>
      </c>
      <c r="G54" s="147">
        <v>1</v>
      </c>
      <c r="H54" s="147">
        <v>1</v>
      </c>
      <c r="I54" s="147">
        <v>1</v>
      </c>
      <c r="J54" s="147">
        <v>1</v>
      </c>
      <c r="K54" s="147">
        <v>1</v>
      </c>
      <c r="L54" s="147">
        <v>2</v>
      </c>
      <c r="M54" s="147">
        <v>1</v>
      </c>
      <c r="N54" s="147">
        <v>1</v>
      </c>
      <c r="O54" s="147">
        <v>1</v>
      </c>
      <c r="P54" s="147">
        <v>1</v>
      </c>
      <c r="Q54" s="147">
        <v>1</v>
      </c>
      <c r="R54" s="147">
        <v>1</v>
      </c>
      <c r="S54" s="147">
        <v>1</v>
      </c>
      <c r="T54" s="147">
        <v>1</v>
      </c>
      <c r="U54" s="147">
        <v>1</v>
      </c>
      <c r="V54" s="147">
        <v>1</v>
      </c>
      <c r="W54" s="147">
        <v>1</v>
      </c>
      <c r="X54" s="147">
        <v>1</v>
      </c>
      <c r="Y54" s="147">
        <v>1</v>
      </c>
      <c r="Z54" s="147">
        <v>3</v>
      </c>
      <c r="AA54" s="147">
        <v>1</v>
      </c>
      <c r="AB54" s="147">
        <v>1</v>
      </c>
      <c r="AC54" s="147">
        <v>1</v>
      </c>
      <c r="AD54" s="1466">
        <v>5</v>
      </c>
      <c r="AE54" s="1466">
        <v>1</v>
      </c>
      <c r="AF54" s="147">
        <v>1</v>
      </c>
      <c r="AG54" s="147">
        <v>2</v>
      </c>
      <c r="AH54" s="147">
        <v>1</v>
      </c>
      <c r="AI54" s="147">
        <v>1</v>
      </c>
      <c r="AJ54" s="147">
        <v>1</v>
      </c>
      <c r="AK54" s="147">
        <v>1</v>
      </c>
      <c r="AL54" s="147">
        <v>5</v>
      </c>
      <c r="AM54" s="828">
        <v>0</v>
      </c>
      <c r="AN54" s="147" t="b">
        <v>0</v>
      </c>
      <c r="AO54" s="147" t="b">
        <v>0</v>
      </c>
    </row>
    <row r="55" spans="1:41" x14ac:dyDescent="0.35">
      <c r="A55" s="620">
        <v>54</v>
      </c>
      <c r="B55" s="617">
        <v>2</v>
      </c>
      <c r="C55" s="147">
        <v>6</v>
      </c>
      <c r="D55" s="147">
        <v>2</v>
      </c>
      <c r="E55" s="147">
        <v>2</v>
      </c>
      <c r="F55" s="147">
        <v>1</v>
      </c>
      <c r="G55" s="147">
        <v>1</v>
      </c>
      <c r="H55" s="147">
        <v>1</v>
      </c>
      <c r="I55" s="147">
        <v>1</v>
      </c>
      <c r="J55" s="147">
        <v>1</v>
      </c>
      <c r="K55" s="147">
        <v>1</v>
      </c>
      <c r="L55" s="147">
        <v>2</v>
      </c>
      <c r="M55" s="147">
        <v>1</v>
      </c>
      <c r="N55" s="147">
        <v>1</v>
      </c>
      <c r="O55" s="147">
        <v>1</v>
      </c>
      <c r="P55" s="147">
        <v>1</v>
      </c>
      <c r="Q55" s="147">
        <v>1</v>
      </c>
      <c r="R55" s="147">
        <v>1</v>
      </c>
      <c r="S55" s="147">
        <v>1</v>
      </c>
      <c r="T55" s="147">
        <v>1</v>
      </c>
      <c r="U55" s="147">
        <v>1</v>
      </c>
      <c r="V55" s="147">
        <v>1</v>
      </c>
      <c r="W55" s="147">
        <v>1</v>
      </c>
      <c r="X55" s="147">
        <v>1</v>
      </c>
      <c r="Y55" s="147">
        <v>1</v>
      </c>
      <c r="Z55" s="147">
        <v>1</v>
      </c>
      <c r="AA55" s="147">
        <v>1</v>
      </c>
      <c r="AB55" s="147">
        <v>1</v>
      </c>
      <c r="AC55" s="147">
        <v>1</v>
      </c>
      <c r="AD55" s="1466">
        <v>1</v>
      </c>
      <c r="AE55" s="1466">
        <v>1</v>
      </c>
      <c r="AF55" s="147">
        <v>1</v>
      </c>
      <c r="AG55" s="147">
        <v>1</v>
      </c>
      <c r="AH55" s="147">
        <v>1</v>
      </c>
      <c r="AI55" s="147">
        <v>1</v>
      </c>
      <c r="AJ55" s="147">
        <v>1</v>
      </c>
      <c r="AK55" s="147">
        <v>1</v>
      </c>
      <c r="AL55" s="147">
        <v>3</v>
      </c>
      <c r="AM55" s="828">
        <v>0</v>
      </c>
      <c r="AN55" s="147" t="b">
        <v>1</v>
      </c>
      <c r="AO55" s="147" t="b">
        <v>0</v>
      </c>
    </row>
    <row r="56" spans="1:41" x14ac:dyDescent="0.35">
      <c r="A56" s="620">
        <v>55</v>
      </c>
      <c r="B56" s="617">
        <v>2</v>
      </c>
      <c r="C56" s="147">
        <v>6</v>
      </c>
      <c r="D56" s="147">
        <v>1</v>
      </c>
      <c r="E56" s="147">
        <v>1</v>
      </c>
      <c r="F56" s="147">
        <v>1</v>
      </c>
      <c r="G56" s="147">
        <v>3</v>
      </c>
      <c r="H56" s="147">
        <v>1</v>
      </c>
      <c r="I56" s="147">
        <v>1</v>
      </c>
      <c r="J56" s="147">
        <v>1</v>
      </c>
      <c r="K56" s="147">
        <v>1</v>
      </c>
      <c r="L56" s="147">
        <v>2</v>
      </c>
      <c r="M56" s="147">
        <v>1</v>
      </c>
      <c r="N56" s="147">
        <v>3</v>
      </c>
      <c r="O56" s="147">
        <v>1</v>
      </c>
      <c r="P56" s="147">
        <v>1</v>
      </c>
      <c r="Q56" s="147">
        <v>1</v>
      </c>
      <c r="R56" s="147">
        <v>1</v>
      </c>
      <c r="S56" s="147">
        <v>1</v>
      </c>
      <c r="T56" s="147">
        <v>1</v>
      </c>
      <c r="U56" s="147">
        <v>1</v>
      </c>
      <c r="V56" s="147">
        <v>1</v>
      </c>
      <c r="W56" s="147">
        <v>1</v>
      </c>
      <c r="X56" s="147">
        <v>1</v>
      </c>
      <c r="Y56" s="147">
        <v>1</v>
      </c>
      <c r="Z56" s="147">
        <v>1</v>
      </c>
      <c r="AA56" s="147">
        <v>1</v>
      </c>
      <c r="AB56" s="147">
        <v>1</v>
      </c>
      <c r="AC56" s="147">
        <v>1</v>
      </c>
      <c r="AD56" s="1466">
        <v>1</v>
      </c>
      <c r="AE56" s="1466">
        <v>1</v>
      </c>
      <c r="AF56" s="147">
        <v>1</v>
      </c>
      <c r="AG56" s="147">
        <v>1</v>
      </c>
      <c r="AH56" s="147">
        <v>3</v>
      </c>
      <c r="AI56" s="147">
        <v>1</v>
      </c>
      <c r="AJ56" s="147">
        <v>1</v>
      </c>
      <c r="AK56" s="147">
        <v>1</v>
      </c>
      <c r="AL56" s="147">
        <v>5</v>
      </c>
      <c r="AM56" s="828">
        <v>0</v>
      </c>
      <c r="AN56" s="147" t="b">
        <v>0</v>
      </c>
      <c r="AO56" s="147" t="b">
        <v>0</v>
      </c>
    </row>
    <row r="57" spans="1:41" x14ac:dyDescent="0.35">
      <c r="A57" s="620">
        <v>56</v>
      </c>
      <c r="B57" s="617">
        <v>2</v>
      </c>
      <c r="C57" s="147">
        <v>4</v>
      </c>
      <c r="D57" s="147">
        <v>6</v>
      </c>
      <c r="E57" s="147">
        <v>1</v>
      </c>
      <c r="F57" s="147">
        <v>1</v>
      </c>
      <c r="G57" s="147">
        <v>1</v>
      </c>
      <c r="H57" s="147">
        <v>1</v>
      </c>
      <c r="I57" s="147">
        <v>1</v>
      </c>
      <c r="J57" s="147">
        <v>1</v>
      </c>
      <c r="K57" s="147">
        <v>1</v>
      </c>
      <c r="L57" s="147">
        <v>2</v>
      </c>
      <c r="M57" s="147">
        <v>1</v>
      </c>
      <c r="N57" s="147">
        <v>2</v>
      </c>
      <c r="O57" s="147">
        <v>1</v>
      </c>
      <c r="P57" s="147">
        <v>1</v>
      </c>
      <c r="Q57" s="147">
        <v>1</v>
      </c>
      <c r="R57" s="147">
        <v>1</v>
      </c>
      <c r="S57" s="147">
        <v>1</v>
      </c>
      <c r="T57" s="147">
        <v>1</v>
      </c>
      <c r="U57" s="147">
        <v>1</v>
      </c>
      <c r="V57" s="147">
        <v>3</v>
      </c>
      <c r="W57" s="147">
        <v>1</v>
      </c>
      <c r="X57" s="147">
        <v>1</v>
      </c>
      <c r="Y57" s="147">
        <v>1</v>
      </c>
      <c r="Z57" s="147">
        <v>1</v>
      </c>
      <c r="AA57" s="147">
        <v>1</v>
      </c>
      <c r="AB57" s="147">
        <v>1</v>
      </c>
      <c r="AC57" s="147">
        <v>1</v>
      </c>
      <c r="AD57" s="1466">
        <v>1</v>
      </c>
      <c r="AE57" s="1466">
        <v>1</v>
      </c>
      <c r="AF57" s="147">
        <v>1</v>
      </c>
      <c r="AG57" s="147">
        <v>1</v>
      </c>
      <c r="AH57" s="147">
        <v>1</v>
      </c>
      <c r="AI57" s="147">
        <v>1</v>
      </c>
      <c r="AJ57" s="147">
        <v>1</v>
      </c>
      <c r="AK57" s="147">
        <v>1</v>
      </c>
      <c r="AL57" s="147">
        <v>2</v>
      </c>
      <c r="AM57" s="828">
        <v>0</v>
      </c>
      <c r="AN57" s="147" t="b">
        <v>1</v>
      </c>
      <c r="AO57" s="147" t="b">
        <v>0</v>
      </c>
    </row>
    <row r="58" spans="1:41" x14ac:dyDescent="0.35">
      <c r="A58" s="620">
        <v>57</v>
      </c>
      <c r="B58" s="617">
        <v>2</v>
      </c>
      <c r="C58" s="147">
        <v>7</v>
      </c>
      <c r="D58" s="147">
        <v>5</v>
      </c>
      <c r="E58" s="147">
        <v>1</v>
      </c>
      <c r="F58" s="147">
        <v>1</v>
      </c>
      <c r="G58" s="147">
        <v>5</v>
      </c>
      <c r="H58" s="147">
        <v>1</v>
      </c>
      <c r="I58" s="147">
        <v>1</v>
      </c>
      <c r="J58" s="147">
        <v>1</v>
      </c>
      <c r="K58" s="147">
        <v>1</v>
      </c>
      <c r="L58" s="147">
        <v>2</v>
      </c>
      <c r="M58" s="147">
        <v>1</v>
      </c>
      <c r="N58" s="147">
        <v>1</v>
      </c>
      <c r="O58" s="147">
        <v>1</v>
      </c>
      <c r="P58" s="147">
        <v>1</v>
      </c>
      <c r="Q58" s="147">
        <v>1</v>
      </c>
      <c r="R58" s="147">
        <v>1</v>
      </c>
      <c r="S58" s="147">
        <v>1</v>
      </c>
      <c r="T58" s="147">
        <v>3</v>
      </c>
      <c r="U58" s="147">
        <v>1</v>
      </c>
      <c r="V58" s="147">
        <v>1</v>
      </c>
      <c r="W58" s="147">
        <v>1</v>
      </c>
      <c r="X58" s="147">
        <v>1</v>
      </c>
      <c r="Y58" s="147">
        <v>1</v>
      </c>
      <c r="Z58" s="147">
        <v>1</v>
      </c>
      <c r="AA58" s="147">
        <v>1</v>
      </c>
      <c r="AB58" s="147">
        <v>1</v>
      </c>
      <c r="AC58" s="147">
        <v>1</v>
      </c>
      <c r="AD58" s="1466">
        <v>1</v>
      </c>
      <c r="AE58" s="1466">
        <v>1</v>
      </c>
      <c r="AF58" s="147">
        <v>1</v>
      </c>
      <c r="AG58" s="147">
        <v>1</v>
      </c>
      <c r="AH58" s="147">
        <v>1</v>
      </c>
      <c r="AI58" s="147">
        <v>1</v>
      </c>
      <c r="AJ58" s="147">
        <v>1</v>
      </c>
      <c r="AK58" s="147">
        <v>1</v>
      </c>
      <c r="AL58" s="147">
        <v>3</v>
      </c>
      <c r="AM58" s="828">
        <v>0</v>
      </c>
      <c r="AN58" s="147" t="b">
        <v>1</v>
      </c>
      <c r="AO58" s="147" t="b">
        <v>0</v>
      </c>
    </row>
    <row r="59" spans="1:41" x14ac:dyDescent="0.35">
      <c r="A59" s="620">
        <v>58</v>
      </c>
      <c r="B59" s="617">
        <v>2</v>
      </c>
      <c r="C59" s="147">
        <v>9</v>
      </c>
      <c r="D59" s="147">
        <v>1</v>
      </c>
      <c r="E59" s="147">
        <v>1</v>
      </c>
      <c r="F59" s="147">
        <v>1</v>
      </c>
      <c r="G59" s="147">
        <v>1</v>
      </c>
      <c r="H59" s="147">
        <v>2</v>
      </c>
      <c r="I59" s="147">
        <v>1</v>
      </c>
      <c r="J59" s="147">
        <v>1</v>
      </c>
      <c r="K59" s="147">
        <v>1</v>
      </c>
      <c r="L59" s="147">
        <v>2</v>
      </c>
      <c r="M59" s="147">
        <v>1</v>
      </c>
      <c r="N59" s="147">
        <v>7</v>
      </c>
      <c r="O59" s="147">
        <v>1</v>
      </c>
      <c r="P59" s="147">
        <v>1</v>
      </c>
      <c r="Q59" s="147">
        <v>1</v>
      </c>
      <c r="R59" s="147">
        <v>1</v>
      </c>
      <c r="S59" s="147">
        <v>10</v>
      </c>
      <c r="T59" s="147">
        <v>1</v>
      </c>
      <c r="U59" s="147">
        <v>1</v>
      </c>
      <c r="V59" s="147">
        <v>2</v>
      </c>
      <c r="W59" s="147">
        <v>1</v>
      </c>
      <c r="X59" s="147">
        <v>1</v>
      </c>
      <c r="Y59" s="147">
        <v>1</v>
      </c>
      <c r="Z59" s="147">
        <v>1</v>
      </c>
      <c r="AA59" s="147">
        <v>1</v>
      </c>
      <c r="AB59" s="147">
        <v>1</v>
      </c>
      <c r="AC59" s="147">
        <v>1</v>
      </c>
      <c r="AD59" s="1466">
        <v>1</v>
      </c>
      <c r="AE59" s="1466">
        <v>1</v>
      </c>
      <c r="AF59" s="147">
        <v>1</v>
      </c>
      <c r="AG59" s="147">
        <v>1</v>
      </c>
      <c r="AH59" s="147">
        <v>1</v>
      </c>
      <c r="AI59" s="147">
        <v>1</v>
      </c>
      <c r="AJ59" s="147">
        <v>1</v>
      </c>
      <c r="AK59" s="147">
        <v>1</v>
      </c>
      <c r="AL59" s="147">
        <v>3</v>
      </c>
      <c r="AM59" s="828">
        <v>617</v>
      </c>
      <c r="AN59" s="147" t="b">
        <v>0</v>
      </c>
      <c r="AO59" s="147" t="b">
        <v>0</v>
      </c>
    </row>
    <row r="60" spans="1:41" x14ac:dyDescent="0.35">
      <c r="A60" s="620">
        <v>59</v>
      </c>
      <c r="B60" s="617">
        <v>2</v>
      </c>
      <c r="C60" s="147">
        <v>1</v>
      </c>
      <c r="D60" s="147">
        <v>2</v>
      </c>
      <c r="E60" s="147">
        <v>2</v>
      </c>
      <c r="F60" s="147">
        <v>1</v>
      </c>
      <c r="G60" s="147">
        <v>2</v>
      </c>
      <c r="H60" s="147">
        <v>1</v>
      </c>
      <c r="I60" s="147">
        <v>1</v>
      </c>
      <c r="J60" s="147">
        <v>1</v>
      </c>
      <c r="K60" s="147">
        <v>1</v>
      </c>
      <c r="L60" s="147">
        <v>2</v>
      </c>
      <c r="M60" s="147">
        <v>1</v>
      </c>
      <c r="N60" s="147">
        <v>1</v>
      </c>
      <c r="O60" s="147">
        <v>1</v>
      </c>
      <c r="P60" s="147">
        <v>1</v>
      </c>
      <c r="Q60" s="147">
        <v>1</v>
      </c>
      <c r="R60" s="147">
        <v>1</v>
      </c>
      <c r="S60" s="147">
        <v>1</v>
      </c>
      <c r="T60" s="147">
        <v>1</v>
      </c>
      <c r="U60" s="147">
        <v>1</v>
      </c>
      <c r="V60" s="147">
        <v>1</v>
      </c>
      <c r="W60" s="147">
        <v>1</v>
      </c>
      <c r="X60" s="147">
        <v>1</v>
      </c>
      <c r="Y60" s="147">
        <v>1</v>
      </c>
      <c r="Z60" s="147">
        <v>6</v>
      </c>
      <c r="AA60" s="147">
        <v>1</v>
      </c>
      <c r="AB60" s="147">
        <v>1</v>
      </c>
      <c r="AC60" s="147">
        <v>1</v>
      </c>
      <c r="AD60" s="1466">
        <v>11</v>
      </c>
      <c r="AE60" s="1466">
        <v>1</v>
      </c>
      <c r="AF60" s="147">
        <v>1</v>
      </c>
      <c r="AG60" s="147">
        <v>1</v>
      </c>
      <c r="AH60" s="147">
        <v>1</v>
      </c>
      <c r="AI60" s="147">
        <v>4</v>
      </c>
      <c r="AJ60" s="147">
        <v>1</v>
      </c>
      <c r="AK60" s="147">
        <v>1</v>
      </c>
      <c r="AL60" s="147">
        <v>3</v>
      </c>
      <c r="AM60" s="828">
        <v>0</v>
      </c>
      <c r="AN60" s="147" t="b">
        <v>1</v>
      </c>
      <c r="AO60" s="147" t="b">
        <v>0</v>
      </c>
    </row>
    <row r="61" spans="1:41" x14ac:dyDescent="0.35">
      <c r="A61" s="620">
        <v>60</v>
      </c>
      <c r="B61" s="617">
        <v>2</v>
      </c>
      <c r="C61" s="147">
        <v>11</v>
      </c>
      <c r="D61" s="147">
        <v>2</v>
      </c>
      <c r="E61" s="147">
        <v>2</v>
      </c>
      <c r="F61" s="147">
        <v>1</v>
      </c>
      <c r="G61" s="147">
        <v>1</v>
      </c>
      <c r="H61" s="147">
        <v>1</v>
      </c>
      <c r="I61" s="147">
        <v>1</v>
      </c>
      <c r="J61" s="147">
        <v>1</v>
      </c>
      <c r="K61" s="147">
        <v>1</v>
      </c>
      <c r="L61" s="147">
        <v>2</v>
      </c>
      <c r="M61" s="147">
        <v>1</v>
      </c>
      <c r="N61" s="147">
        <v>1</v>
      </c>
      <c r="O61" s="147">
        <v>1</v>
      </c>
      <c r="P61" s="147">
        <v>1</v>
      </c>
      <c r="Q61" s="147">
        <v>1</v>
      </c>
      <c r="R61" s="147">
        <v>1</v>
      </c>
      <c r="S61" s="147">
        <v>1</v>
      </c>
      <c r="T61" s="147">
        <v>1</v>
      </c>
      <c r="U61" s="147">
        <v>1</v>
      </c>
      <c r="V61" s="147">
        <v>1</v>
      </c>
      <c r="W61" s="147">
        <v>1</v>
      </c>
      <c r="X61" s="147">
        <v>1</v>
      </c>
      <c r="Y61" s="147">
        <v>1</v>
      </c>
      <c r="Z61" s="147">
        <v>1</v>
      </c>
      <c r="AA61" s="147">
        <v>1</v>
      </c>
      <c r="AB61" s="147">
        <v>1</v>
      </c>
      <c r="AC61" s="147">
        <v>1</v>
      </c>
      <c r="AD61" s="1466">
        <v>1</v>
      </c>
      <c r="AE61" s="1466">
        <v>1</v>
      </c>
      <c r="AF61" s="147">
        <v>1</v>
      </c>
      <c r="AG61" s="147">
        <v>1</v>
      </c>
      <c r="AH61" s="147">
        <v>1</v>
      </c>
      <c r="AI61" s="147">
        <v>1</v>
      </c>
      <c r="AJ61" s="147">
        <v>1</v>
      </c>
      <c r="AK61" s="147">
        <v>1</v>
      </c>
      <c r="AL61" s="147">
        <v>1</v>
      </c>
      <c r="AM61" s="828">
        <v>0</v>
      </c>
      <c r="AN61" s="147" t="b">
        <v>1</v>
      </c>
      <c r="AO61" s="147" t="b">
        <v>0</v>
      </c>
    </row>
    <row r="62" spans="1:41" x14ac:dyDescent="0.35">
      <c r="A62" s="620">
        <v>61</v>
      </c>
      <c r="B62" s="617">
        <v>2</v>
      </c>
      <c r="C62" s="147">
        <v>2</v>
      </c>
      <c r="D62" s="147">
        <v>2</v>
      </c>
      <c r="E62" s="147">
        <v>3</v>
      </c>
      <c r="F62" s="147">
        <v>1</v>
      </c>
      <c r="G62" s="147">
        <v>3</v>
      </c>
      <c r="H62" s="147">
        <v>1</v>
      </c>
      <c r="I62" s="147">
        <v>1</v>
      </c>
      <c r="J62" s="147">
        <v>1</v>
      </c>
      <c r="K62" s="147">
        <v>1</v>
      </c>
      <c r="L62" s="147">
        <v>2</v>
      </c>
      <c r="M62" s="147">
        <v>1</v>
      </c>
      <c r="N62" s="147">
        <v>1</v>
      </c>
      <c r="O62" s="147">
        <v>1</v>
      </c>
      <c r="P62" s="147">
        <v>1</v>
      </c>
      <c r="Q62" s="147">
        <v>1</v>
      </c>
      <c r="R62" s="147">
        <v>1</v>
      </c>
      <c r="S62" s="147">
        <v>1</v>
      </c>
      <c r="T62" s="147">
        <v>1</v>
      </c>
      <c r="U62" s="147">
        <v>1</v>
      </c>
      <c r="V62" s="147">
        <v>1</v>
      </c>
      <c r="W62" s="147">
        <v>1</v>
      </c>
      <c r="X62" s="147">
        <v>1</v>
      </c>
      <c r="Y62" s="147">
        <v>1</v>
      </c>
      <c r="Z62" s="147">
        <v>1</v>
      </c>
      <c r="AA62" s="147">
        <v>1</v>
      </c>
      <c r="AB62" s="147">
        <v>1</v>
      </c>
      <c r="AC62" s="147">
        <v>1</v>
      </c>
      <c r="AD62" s="1466">
        <v>1</v>
      </c>
      <c r="AE62" s="1466">
        <v>1</v>
      </c>
      <c r="AF62" s="147">
        <v>1</v>
      </c>
      <c r="AG62" s="147">
        <v>1</v>
      </c>
      <c r="AH62" s="147">
        <v>1</v>
      </c>
      <c r="AI62" s="147">
        <v>1</v>
      </c>
      <c r="AJ62" s="147">
        <v>1</v>
      </c>
      <c r="AK62" s="147">
        <v>1</v>
      </c>
      <c r="AL62" s="147">
        <v>4</v>
      </c>
      <c r="AM62" s="828">
        <v>0</v>
      </c>
      <c r="AN62" s="147" t="b">
        <v>1</v>
      </c>
      <c r="AO62" s="147" t="b">
        <v>0</v>
      </c>
    </row>
    <row r="63" spans="1:41" x14ac:dyDescent="0.35">
      <c r="A63" s="620">
        <v>62</v>
      </c>
      <c r="B63" s="617">
        <v>2</v>
      </c>
      <c r="C63" s="147">
        <v>8</v>
      </c>
      <c r="D63" s="147">
        <v>2</v>
      </c>
      <c r="E63" s="147">
        <v>2</v>
      </c>
      <c r="F63" s="147">
        <v>1</v>
      </c>
      <c r="G63" s="147">
        <v>1</v>
      </c>
      <c r="H63" s="147">
        <v>1</v>
      </c>
      <c r="I63" s="147">
        <v>1</v>
      </c>
      <c r="J63" s="147">
        <v>1</v>
      </c>
      <c r="K63" s="147">
        <v>1</v>
      </c>
      <c r="L63" s="147">
        <v>2</v>
      </c>
      <c r="M63" s="147">
        <v>1</v>
      </c>
      <c r="N63" s="147">
        <v>1</v>
      </c>
      <c r="O63" s="147">
        <v>3</v>
      </c>
      <c r="P63" s="147">
        <v>1</v>
      </c>
      <c r="Q63" s="147">
        <v>1</v>
      </c>
      <c r="R63" s="147">
        <v>1</v>
      </c>
      <c r="S63" s="147">
        <v>1</v>
      </c>
      <c r="T63" s="147">
        <v>1</v>
      </c>
      <c r="U63" s="147">
        <v>1</v>
      </c>
      <c r="V63" s="147">
        <v>4</v>
      </c>
      <c r="W63" s="147">
        <v>1</v>
      </c>
      <c r="X63" s="147">
        <v>1</v>
      </c>
      <c r="Y63" s="147">
        <v>1</v>
      </c>
      <c r="Z63" s="147">
        <v>1</v>
      </c>
      <c r="AA63" s="147">
        <v>1</v>
      </c>
      <c r="AB63" s="147">
        <v>1</v>
      </c>
      <c r="AC63" s="147">
        <v>1</v>
      </c>
      <c r="AD63" s="1466">
        <v>1</v>
      </c>
      <c r="AE63" s="1466">
        <v>1</v>
      </c>
      <c r="AF63" s="147">
        <v>1</v>
      </c>
      <c r="AG63" s="147">
        <v>1</v>
      </c>
      <c r="AH63" s="147">
        <v>1</v>
      </c>
      <c r="AI63" s="147">
        <v>1</v>
      </c>
      <c r="AJ63" s="147">
        <v>1</v>
      </c>
      <c r="AK63" s="147">
        <v>1</v>
      </c>
      <c r="AL63" s="147">
        <v>1</v>
      </c>
      <c r="AM63" s="828">
        <v>0</v>
      </c>
      <c r="AN63" s="147" t="b">
        <v>1</v>
      </c>
      <c r="AO63" s="147" t="b">
        <v>0</v>
      </c>
    </row>
    <row r="64" spans="1:41" x14ac:dyDescent="0.35">
      <c r="A64" s="620">
        <v>63</v>
      </c>
      <c r="B64" s="617">
        <v>2</v>
      </c>
      <c r="C64" s="147">
        <v>12</v>
      </c>
      <c r="D64" s="147">
        <v>1</v>
      </c>
      <c r="E64" s="147">
        <v>1</v>
      </c>
      <c r="F64" s="147">
        <v>1</v>
      </c>
      <c r="G64" s="147">
        <v>1</v>
      </c>
      <c r="H64" s="147">
        <v>1</v>
      </c>
      <c r="I64" s="147">
        <v>1</v>
      </c>
      <c r="J64" s="147">
        <v>1</v>
      </c>
      <c r="K64" s="147">
        <v>1</v>
      </c>
      <c r="L64" s="147">
        <v>2</v>
      </c>
      <c r="M64" s="147">
        <v>1</v>
      </c>
      <c r="N64" s="147">
        <v>1</v>
      </c>
      <c r="O64" s="147">
        <v>1</v>
      </c>
      <c r="P64" s="147">
        <v>1</v>
      </c>
      <c r="Q64" s="147">
        <v>1</v>
      </c>
      <c r="R64" s="147">
        <v>1</v>
      </c>
      <c r="S64" s="147">
        <v>1</v>
      </c>
      <c r="T64" s="147">
        <v>1</v>
      </c>
      <c r="U64" s="147">
        <v>1</v>
      </c>
      <c r="V64" s="147">
        <v>1</v>
      </c>
      <c r="W64" s="147">
        <v>1</v>
      </c>
      <c r="X64" s="147">
        <v>1</v>
      </c>
      <c r="Y64" s="147">
        <v>1</v>
      </c>
      <c r="Z64" s="147">
        <v>1</v>
      </c>
      <c r="AA64" s="147">
        <v>1</v>
      </c>
      <c r="AB64" s="147">
        <v>1</v>
      </c>
      <c r="AC64" s="147">
        <v>1</v>
      </c>
      <c r="AD64" s="1466">
        <v>1</v>
      </c>
      <c r="AE64" s="1466">
        <v>1</v>
      </c>
      <c r="AF64" s="147">
        <v>2</v>
      </c>
      <c r="AG64" s="147">
        <v>1</v>
      </c>
      <c r="AH64" s="147">
        <v>1</v>
      </c>
      <c r="AI64" s="147">
        <v>6</v>
      </c>
      <c r="AJ64" s="147">
        <v>1</v>
      </c>
      <c r="AK64" s="147">
        <v>1</v>
      </c>
      <c r="AL64" s="147">
        <v>2</v>
      </c>
      <c r="AM64" s="828">
        <v>0</v>
      </c>
      <c r="AN64" s="147" t="b">
        <v>1</v>
      </c>
      <c r="AO64" s="147" t="b">
        <v>0</v>
      </c>
    </row>
    <row r="65" spans="1:41" x14ac:dyDescent="0.35">
      <c r="A65" s="620">
        <v>64</v>
      </c>
      <c r="B65" s="617">
        <v>2</v>
      </c>
      <c r="C65" s="147">
        <v>2</v>
      </c>
      <c r="D65" s="147">
        <v>2</v>
      </c>
      <c r="E65" s="147">
        <v>2</v>
      </c>
      <c r="F65" s="147">
        <v>1</v>
      </c>
      <c r="G65" s="147">
        <v>2</v>
      </c>
      <c r="H65" s="147">
        <v>1</v>
      </c>
      <c r="I65" s="147">
        <v>1</v>
      </c>
      <c r="J65" s="147">
        <v>1</v>
      </c>
      <c r="K65" s="147">
        <v>1</v>
      </c>
      <c r="L65" s="147">
        <v>2</v>
      </c>
      <c r="M65" s="147">
        <v>2</v>
      </c>
      <c r="N65" s="147">
        <v>1</v>
      </c>
      <c r="O65" s="147">
        <v>1</v>
      </c>
      <c r="P65" s="147">
        <v>1</v>
      </c>
      <c r="Q65" s="147">
        <v>1</v>
      </c>
      <c r="R65" s="147">
        <v>1</v>
      </c>
      <c r="S65" s="147">
        <v>1</v>
      </c>
      <c r="T65" s="147">
        <v>1</v>
      </c>
      <c r="U65" s="147">
        <v>1</v>
      </c>
      <c r="V65" s="147">
        <v>1</v>
      </c>
      <c r="W65" s="147">
        <v>1</v>
      </c>
      <c r="X65" s="147">
        <v>1</v>
      </c>
      <c r="Y65" s="147">
        <v>1</v>
      </c>
      <c r="Z65" s="147">
        <v>1</v>
      </c>
      <c r="AA65" s="147">
        <v>1</v>
      </c>
      <c r="AB65" s="147">
        <v>1</v>
      </c>
      <c r="AC65" s="147">
        <v>1</v>
      </c>
      <c r="AD65" s="1466">
        <v>1</v>
      </c>
      <c r="AE65" s="1466">
        <v>1</v>
      </c>
      <c r="AF65" s="147">
        <v>1</v>
      </c>
      <c r="AG65" s="147">
        <v>1</v>
      </c>
      <c r="AH65" s="147">
        <v>1</v>
      </c>
      <c r="AI65" s="147">
        <v>2</v>
      </c>
      <c r="AJ65" s="147">
        <v>1</v>
      </c>
      <c r="AK65" s="147">
        <v>1</v>
      </c>
      <c r="AL65" s="147">
        <v>3</v>
      </c>
      <c r="AM65" s="828">
        <v>0</v>
      </c>
      <c r="AN65" s="147" t="b">
        <v>1</v>
      </c>
      <c r="AO65" s="147" t="b">
        <v>0</v>
      </c>
    </row>
    <row r="66" spans="1:41" x14ac:dyDescent="0.35">
      <c r="A66" s="620">
        <v>65</v>
      </c>
      <c r="B66" s="617">
        <v>2</v>
      </c>
      <c r="C66" s="147">
        <v>11</v>
      </c>
      <c r="D66" s="147">
        <v>2</v>
      </c>
      <c r="E66" s="147">
        <v>1</v>
      </c>
      <c r="F66" s="147">
        <v>1</v>
      </c>
      <c r="G66" s="147">
        <v>1</v>
      </c>
      <c r="H66" s="147">
        <v>1</v>
      </c>
      <c r="I66" s="147">
        <v>1</v>
      </c>
      <c r="J66" s="147">
        <v>1</v>
      </c>
      <c r="K66" s="147">
        <v>1</v>
      </c>
      <c r="L66" s="147">
        <v>2</v>
      </c>
      <c r="M66" s="147">
        <v>1</v>
      </c>
      <c r="N66" s="147">
        <v>1</v>
      </c>
      <c r="O66" s="147">
        <v>1</v>
      </c>
      <c r="P66" s="147">
        <v>1</v>
      </c>
      <c r="Q66" s="147">
        <v>1</v>
      </c>
      <c r="R66" s="147">
        <v>1</v>
      </c>
      <c r="S66" s="147">
        <v>1</v>
      </c>
      <c r="T66" s="147">
        <v>2</v>
      </c>
      <c r="U66" s="147">
        <v>1</v>
      </c>
      <c r="V66" s="147">
        <v>1</v>
      </c>
      <c r="W66" s="147">
        <v>1</v>
      </c>
      <c r="X66" s="147">
        <v>1</v>
      </c>
      <c r="Y66" s="147">
        <v>3</v>
      </c>
      <c r="Z66" s="147">
        <v>1</v>
      </c>
      <c r="AA66" s="147">
        <v>1</v>
      </c>
      <c r="AB66" s="147">
        <v>1</v>
      </c>
      <c r="AC66" s="147">
        <v>1</v>
      </c>
      <c r="AD66" s="1466">
        <v>6</v>
      </c>
      <c r="AE66" s="1466">
        <v>1</v>
      </c>
      <c r="AF66" s="147">
        <v>2</v>
      </c>
      <c r="AG66" s="147">
        <v>1</v>
      </c>
      <c r="AH66" s="147">
        <v>1</v>
      </c>
      <c r="AI66" s="147">
        <v>1</v>
      </c>
      <c r="AJ66" s="147">
        <v>1</v>
      </c>
      <c r="AK66" s="147">
        <v>1</v>
      </c>
      <c r="AL66" s="147">
        <v>1</v>
      </c>
      <c r="AM66" s="828">
        <v>0</v>
      </c>
      <c r="AN66" s="147" t="b">
        <v>1</v>
      </c>
      <c r="AO66" s="147" t="b">
        <v>0</v>
      </c>
    </row>
    <row r="67" spans="1:41" x14ac:dyDescent="0.35">
      <c r="A67" s="620">
        <v>66</v>
      </c>
      <c r="B67" s="617">
        <v>2</v>
      </c>
      <c r="C67" s="147">
        <v>5</v>
      </c>
      <c r="D67" s="147">
        <v>1</v>
      </c>
      <c r="E67" s="147">
        <v>1</v>
      </c>
      <c r="F67" s="147">
        <v>1</v>
      </c>
      <c r="G67" s="147">
        <v>1</v>
      </c>
      <c r="H67" s="147">
        <v>1</v>
      </c>
      <c r="I67" s="147">
        <v>1</v>
      </c>
      <c r="J67" s="147">
        <v>1</v>
      </c>
      <c r="K67" s="147">
        <v>1</v>
      </c>
      <c r="L67" s="147">
        <v>2</v>
      </c>
      <c r="M67" s="147">
        <v>1</v>
      </c>
      <c r="N67" s="147">
        <v>1</v>
      </c>
      <c r="O67" s="147">
        <v>1</v>
      </c>
      <c r="P67" s="147">
        <v>1</v>
      </c>
      <c r="Q67" s="147">
        <v>1</v>
      </c>
      <c r="R67" s="147">
        <v>1</v>
      </c>
      <c r="S67" s="147">
        <v>1</v>
      </c>
      <c r="T67" s="147">
        <v>2</v>
      </c>
      <c r="U67" s="147">
        <v>1</v>
      </c>
      <c r="V67" s="147">
        <v>1</v>
      </c>
      <c r="W67" s="147">
        <v>1</v>
      </c>
      <c r="X67" s="147">
        <v>1</v>
      </c>
      <c r="Y67" s="147">
        <v>1</v>
      </c>
      <c r="Z67" s="147">
        <v>1</v>
      </c>
      <c r="AA67" s="147">
        <v>1</v>
      </c>
      <c r="AB67" s="147">
        <v>1</v>
      </c>
      <c r="AC67" s="147">
        <v>1</v>
      </c>
      <c r="AD67" s="1466">
        <v>1</v>
      </c>
      <c r="AE67" s="1466">
        <v>1</v>
      </c>
      <c r="AF67" s="147">
        <v>1</v>
      </c>
      <c r="AG67" s="147">
        <v>1</v>
      </c>
      <c r="AH67" s="147">
        <v>1</v>
      </c>
      <c r="AI67" s="147">
        <v>4</v>
      </c>
      <c r="AJ67" s="147">
        <v>1</v>
      </c>
      <c r="AK67" s="147">
        <v>1</v>
      </c>
      <c r="AL67" s="147">
        <v>1</v>
      </c>
      <c r="AM67" s="828">
        <v>0</v>
      </c>
      <c r="AN67" s="147" t="b">
        <v>1</v>
      </c>
      <c r="AO67" s="147" t="b">
        <v>0</v>
      </c>
    </row>
    <row r="68" spans="1:41" x14ac:dyDescent="0.35">
      <c r="A68" s="620">
        <v>67</v>
      </c>
      <c r="B68" s="617">
        <v>2</v>
      </c>
      <c r="C68" s="147">
        <v>2</v>
      </c>
      <c r="D68" s="147">
        <v>2</v>
      </c>
      <c r="E68" s="147">
        <v>2</v>
      </c>
      <c r="F68" s="147">
        <v>1</v>
      </c>
      <c r="G68" s="147">
        <v>1</v>
      </c>
      <c r="H68" s="147">
        <v>1</v>
      </c>
      <c r="I68" s="147">
        <v>1</v>
      </c>
      <c r="J68" s="147">
        <v>1</v>
      </c>
      <c r="K68" s="147">
        <v>1</v>
      </c>
      <c r="L68" s="147">
        <v>2</v>
      </c>
      <c r="M68" s="147">
        <v>1</v>
      </c>
      <c r="N68" s="147">
        <v>1</v>
      </c>
      <c r="O68" s="147">
        <v>1</v>
      </c>
      <c r="P68" s="147">
        <v>1</v>
      </c>
      <c r="Q68" s="147">
        <v>1</v>
      </c>
      <c r="R68" s="147">
        <v>1</v>
      </c>
      <c r="S68" s="147">
        <v>1</v>
      </c>
      <c r="T68" s="147">
        <v>2</v>
      </c>
      <c r="U68" s="147">
        <v>1</v>
      </c>
      <c r="V68" s="147">
        <v>1</v>
      </c>
      <c r="W68" s="147">
        <v>1</v>
      </c>
      <c r="X68" s="147">
        <v>1</v>
      </c>
      <c r="Y68" s="147">
        <v>1</v>
      </c>
      <c r="Z68" s="147">
        <v>1</v>
      </c>
      <c r="AA68" s="147">
        <v>1</v>
      </c>
      <c r="AB68" s="147">
        <v>1</v>
      </c>
      <c r="AC68" s="147">
        <v>1</v>
      </c>
      <c r="AD68" s="1466">
        <v>1</v>
      </c>
      <c r="AE68" s="1466">
        <v>1</v>
      </c>
      <c r="AF68" s="147">
        <v>6</v>
      </c>
      <c r="AG68" s="147">
        <v>1</v>
      </c>
      <c r="AH68" s="147">
        <v>1</v>
      </c>
      <c r="AI68" s="147">
        <v>1</v>
      </c>
      <c r="AJ68" s="147">
        <v>1</v>
      </c>
      <c r="AK68" s="147">
        <v>1</v>
      </c>
      <c r="AL68" s="147">
        <v>1</v>
      </c>
      <c r="AM68" s="828">
        <v>0</v>
      </c>
      <c r="AN68" s="147" t="b">
        <v>1</v>
      </c>
      <c r="AO68" s="147" t="b">
        <v>0</v>
      </c>
    </row>
    <row r="69" spans="1:41" x14ac:dyDescent="0.35">
      <c r="A69" s="620">
        <v>68</v>
      </c>
      <c r="B69" s="617">
        <v>2</v>
      </c>
      <c r="C69" s="147">
        <v>2</v>
      </c>
      <c r="D69" s="147">
        <v>10</v>
      </c>
      <c r="E69" s="147">
        <v>1</v>
      </c>
      <c r="F69" s="147">
        <v>1</v>
      </c>
      <c r="G69" s="147">
        <v>2</v>
      </c>
      <c r="H69" s="147">
        <v>1</v>
      </c>
      <c r="I69" s="147">
        <v>1</v>
      </c>
      <c r="J69" s="147">
        <v>1</v>
      </c>
      <c r="K69" s="147">
        <v>1</v>
      </c>
      <c r="L69" s="147">
        <v>2</v>
      </c>
      <c r="M69" s="147">
        <v>1</v>
      </c>
      <c r="N69" s="147">
        <v>1</v>
      </c>
      <c r="O69" s="147">
        <v>1</v>
      </c>
      <c r="P69" s="147">
        <v>1</v>
      </c>
      <c r="Q69" s="147">
        <v>1</v>
      </c>
      <c r="R69" s="147">
        <v>1</v>
      </c>
      <c r="S69" s="147">
        <v>1</v>
      </c>
      <c r="T69" s="147">
        <v>2</v>
      </c>
      <c r="U69" s="147">
        <v>1</v>
      </c>
      <c r="V69" s="147">
        <v>1</v>
      </c>
      <c r="W69" s="147">
        <v>1</v>
      </c>
      <c r="X69" s="147">
        <v>1</v>
      </c>
      <c r="Y69" s="147">
        <v>1</v>
      </c>
      <c r="Z69" s="147">
        <v>1</v>
      </c>
      <c r="AA69" s="147">
        <v>1</v>
      </c>
      <c r="AB69" s="147">
        <v>1</v>
      </c>
      <c r="AC69" s="147">
        <v>1</v>
      </c>
      <c r="AD69" s="1466">
        <v>1</v>
      </c>
      <c r="AE69" s="1466">
        <v>1</v>
      </c>
      <c r="AF69" s="147">
        <v>1</v>
      </c>
      <c r="AG69" s="147">
        <v>1</v>
      </c>
      <c r="AH69" s="147">
        <v>1</v>
      </c>
      <c r="AI69" s="147">
        <v>1</v>
      </c>
      <c r="AJ69" s="147">
        <v>1</v>
      </c>
      <c r="AK69" s="147">
        <v>1</v>
      </c>
      <c r="AL69" s="147">
        <v>1</v>
      </c>
      <c r="AM69" s="828">
        <v>0</v>
      </c>
      <c r="AN69" s="147" t="b">
        <v>1</v>
      </c>
      <c r="AO69" s="147" t="b">
        <v>0</v>
      </c>
    </row>
    <row r="70" spans="1:41" x14ac:dyDescent="0.35">
      <c r="A70" s="620">
        <v>69</v>
      </c>
      <c r="B70" s="617">
        <v>2</v>
      </c>
      <c r="C70" s="147">
        <v>1</v>
      </c>
      <c r="D70" s="147">
        <v>5</v>
      </c>
      <c r="E70" s="147">
        <v>1</v>
      </c>
      <c r="F70" s="147">
        <v>1</v>
      </c>
      <c r="G70" s="147">
        <v>1</v>
      </c>
      <c r="H70" s="147">
        <v>1</v>
      </c>
      <c r="I70" s="147">
        <v>1</v>
      </c>
      <c r="J70" s="147">
        <v>1</v>
      </c>
      <c r="K70" s="147">
        <v>1</v>
      </c>
      <c r="L70" s="147">
        <v>2</v>
      </c>
      <c r="M70" s="147">
        <v>1</v>
      </c>
      <c r="N70" s="147">
        <v>1</v>
      </c>
      <c r="O70" s="147">
        <v>1</v>
      </c>
      <c r="P70" s="147">
        <v>1</v>
      </c>
      <c r="Q70" s="147">
        <v>1</v>
      </c>
      <c r="R70" s="147">
        <v>1</v>
      </c>
      <c r="S70" s="147">
        <v>1</v>
      </c>
      <c r="T70" s="147">
        <v>1</v>
      </c>
      <c r="U70" s="147">
        <v>1</v>
      </c>
      <c r="V70" s="147">
        <v>1</v>
      </c>
      <c r="W70" s="147">
        <v>1</v>
      </c>
      <c r="X70" s="147">
        <v>1</v>
      </c>
      <c r="Y70" s="147">
        <v>1</v>
      </c>
      <c r="Z70" s="147">
        <v>1</v>
      </c>
      <c r="AA70" s="147">
        <v>1</v>
      </c>
      <c r="AB70" s="147">
        <v>1</v>
      </c>
      <c r="AC70" s="147">
        <v>1</v>
      </c>
      <c r="AD70" s="1466">
        <v>1</v>
      </c>
      <c r="AE70" s="1466">
        <v>1</v>
      </c>
      <c r="AF70" s="147">
        <v>1</v>
      </c>
      <c r="AG70" s="147">
        <v>1</v>
      </c>
      <c r="AH70" s="147">
        <v>1</v>
      </c>
      <c r="AI70" s="147">
        <v>4</v>
      </c>
      <c r="AJ70" s="147">
        <v>1</v>
      </c>
      <c r="AK70" s="147">
        <v>1</v>
      </c>
      <c r="AL70" s="147">
        <v>3</v>
      </c>
      <c r="AM70" s="828">
        <v>0</v>
      </c>
      <c r="AN70" s="147" t="b">
        <v>1</v>
      </c>
      <c r="AO70" s="147" t="b">
        <v>0</v>
      </c>
    </row>
    <row r="71" spans="1:41" x14ac:dyDescent="0.35">
      <c r="A71" s="620">
        <v>70</v>
      </c>
      <c r="B71" s="617">
        <v>2</v>
      </c>
      <c r="C71" s="147">
        <v>6</v>
      </c>
      <c r="D71" s="147">
        <v>2</v>
      </c>
      <c r="E71" s="147">
        <v>1</v>
      </c>
      <c r="F71" s="147">
        <v>1</v>
      </c>
      <c r="G71" s="147">
        <v>1</v>
      </c>
      <c r="H71" s="147">
        <v>1</v>
      </c>
      <c r="I71" s="147">
        <v>1</v>
      </c>
      <c r="J71" s="147">
        <v>1</v>
      </c>
      <c r="K71" s="147">
        <v>1</v>
      </c>
      <c r="L71" s="147">
        <v>2</v>
      </c>
      <c r="M71" s="147">
        <v>1</v>
      </c>
      <c r="N71" s="147">
        <v>1</v>
      </c>
      <c r="O71" s="147">
        <v>1</v>
      </c>
      <c r="P71" s="147">
        <v>1</v>
      </c>
      <c r="Q71" s="147">
        <v>1</v>
      </c>
      <c r="R71" s="147">
        <v>1</v>
      </c>
      <c r="S71" s="147">
        <v>1</v>
      </c>
      <c r="T71" s="147">
        <v>3</v>
      </c>
      <c r="U71" s="147">
        <v>1</v>
      </c>
      <c r="V71" s="147">
        <v>1</v>
      </c>
      <c r="W71" s="147">
        <v>1</v>
      </c>
      <c r="X71" s="147">
        <v>1</v>
      </c>
      <c r="Y71" s="147">
        <v>1</v>
      </c>
      <c r="Z71" s="147">
        <v>1</v>
      </c>
      <c r="AA71" s="147">
        <v>1</v>
      </c>
      <c r="AB71" s="147">
        <v>1</v>
      </c>
      <c r="AC71" s="147">
        <v>1</v>
      </c>
      <c r="AD71" s="1466">
        <v>1</v>
      </c>
      <c r="AE71" s="1466">
        <v>1</v>
      </c>
      <c r="AF71" s="147">
        <v>1</v>
      </c>
      <c r="AG71" s="147">
        <v>1</v>
      </c>
      <c r="AH71" s="147">
        <v>1</v>
      </c>
      <c r="AI71" s="147">
        <v>1</v>
      </c>
      <c r="AJ71" s="147">
        <v>1</v>
      </c>
      <c r="AK71" s="147">
        <v>1</v>
      </c>
      <c r="AL71" s="147">
        <v>3</v>
      </c>
      <c r="AM71" s="828">
        <v>0</v>
      </c>
      <c r="AN71" s="147" t="b">
        <v>1</v>
      </c>
      <c r="AO71" s="147" t="b">
        <v>0</v>
      </c>
    </row>
    <row r="72" spans="1:41" x14ac:dyDescent="0.35">
      <c r="A72" s="620">
        <v>71</v>
      </c>
      <c r="B72" s="617">
        <v>2</v>
      </c>
      <c r="C72" s="147">
        <v>1</v>
      </c>
      <c r="D72" s="147">
        <v>1</v>
      </c>
      <c r="E72" s="147">
        <v>1</v>
      </c>
      <c r="F72" s="147">
        <v>1</v>
      </c>
      <c r="G72" s="147">
        <v>1</v>
      </c>
      <c r="H72" s="147">
        <v>1</v>
      </c>
      <c r="I72" s="147">
        <v>1</v>
      </c>
      <c r="J72" s="147">
        <v>1</v>
      </c>
      <c r="K72" s="147">
        <v>1</v>
      </c>
      <c r="L72" s="147">
        <v>2</v>
      </c>
      <c r="M72" s="147">
        <v>1</v>
      </c>
      <c r="N72" s="147">
        <v>1</v>
      </c>
      <c r="O72" s="147">
        <v>1</v>
      </c>
      <c r="P72" s="147">
        <v>1</v>
      </c>
      <c r="Q72" s="147">
        <v>1</v>
      </c>
      <c r="R72" s="147">
        <v>1</v>
      </c>
      <c r="S72" s="147">
        <v>1</v>
      </c>
      <c r="T72" s="147">
        <v>3</v>
      </c>
      <c r="U72" s="147">
        <v>1</v>
      </c>
      <c r="V72" s="147">
        <v>1</v>
      </c>
      <c r="W72" s="147">
        <v>1</v>
      </c>
      <c r="X72" s="147">
        <v>1</v>
      </c>
      <c r="Y72" s="147">
        <v>1</v>
      </c>
      <c r="Z72" s="147">
        <v>2</v>
      </c>
      <c r="AA72" s="147">
        <v>1</v>
      </c>
      <c r="AB72" s="147">
        <v>1</v>
      </c>
      <c r="AC72" s="147">
        <v>1</v>
      </c>
      <c r="AD72" s="1466">
        <v>5</v>
      </c>
      <c r="AE72" s="1466">
        <v>1</v>
      </c>
      <c r="AF72" s="147">
        <v>1</v>
      </c>
      <c r="AG72" s="147">
        <v>1</v>
      </c>
      <c r="AH72" s="147">
        <v>1</v>
      </c>
      <c r="AI72" s="147">
        <v>1</v>
      </c>
      <c r="AJ72" s="147">
        <v>1</v>
      </c>
      <c r="AK72" s="147">
        <v>1</v>
      </c>
      <c r="AL72" s="147">
        <v>5</v>
      </c>
      <c r="AM72" s="828">
        <v>0</v>
      </c>
      <c r="AN72" s="147" t="b">
        <v>0</v>
      </c>
      <c r="AO72" s="147" t="b">
        <v>0</v>
      </c>
    </row>
    <row r="73" spans="1:41" x14ac:dyDescent="0.35">
      <c r="A73" s="620">
        <v>72</v>
      </c>
      <c r="B73" s="617">
        <v>2</v>
      </c>
      <c r="C73" s="147">
        <v>1</v>
      </c>
      <c r="D73" s="147">
        <v>1</v>
      </c>
      <c r="E73" s="147">
        <v>1</v>
      </c>
      <c r="F73" s="147">
        <v>3</v>
      </c>
      <c r="G73" s="147">
        <v>1</v>
      </c>
      <c r="H73" s="147">
        <v>1</v>
      </c>
      <c r="I73" s="147">
        <v>1</v>
      </c>
      <c r="J73" s="147">
        <v>1</v>
      </c>
      <c r="K73" s="147">
        <v>1</v>
      </c>
      <c r="L73" s="147">
        <v>2</v>
      </c>
      <c r="M73" s="147">
        <v>1</v>
      </c>
      <c r="N73" s="147">
        <v>4</v>
      </c>
      <c r="O73" s="147">
        <v>1</v>
      </c>
      <c r="P73" s="147">
        <v>1</v>
      </c>
      <c r="Q73" s="147">
        <v>1</v>
      </c>
      <c r="R73" s="147">
        <v>1</v>
      </c>
      <c r="S73" s="147">
        <v>5</v>
      </c>
      <c r="T73" s="147">
        <v>1</v>
      </c>
      <c r="U73" s="147">
        <v>1</v>
      </c>
      <c r="V73" s="147">
        <v>1</v>
      </c>
      <c r="W73" s="147">
        <v>1</v>
      </c>
      <c r="X73" s="147">
        <v>1</v>
      </c>
      <c r="Y73" s="147">
        <v>1</v>
      </c>
      <c r="Z73" s="147">
        <v>1</v>
      </c>
      <c r="AA73" s="147">
        <v>1</v>
      </c>
      <c r="AB73" s="147">
        <v>1</v>
      </c>
      <c r="AC73" s="147">
        <v>1</v>
      </c>
      <c r="AD73" s="1466">
        <v>1</v>
      </c>
      <c r="AE73" s="1466">
        <v>1</v>
      </c>
      <c r="AF73" s="147">
        <v>4</v>
      </c>
      <c r="AG73" s="147">
        <v>1</v>
      </c>
      <c r="AH73" s="147">
        <v>4</v>
      </c>
      <c r="AI73" s="147">
        <v>1</v>
      </c>
      <c r="AJ73" s="147">
        <v>1</v>
      </c>
      <c r="AK73" s="147">
        <v>1</v>
      </c>
      <c r="AL73" s="147">
        <v>5</v>
      </c>
      <c r="AM73" s="828">
        <v>0</v>
      </c>
      <c r="AN73" s="147" t="b">
        <v>0</v>
      </c>
      <c r="AO73" s="147" t="b">
        <v>0</v>
      </c>
    </row>
    <row r="74" spans="1:41" x14ac:dyDescent="0.35">
      <c r="A74" s="620">
        <v>73</v>
      </c>
      <c r="B74" s="617">
        <v>2</v>
      </c>
      <c r="C74" s="147">
        <v>1</v>
      </c>
      <c r="D74" s="147">
        <v>3</v>
      </c>
      <c r="E74" s="147">
        <v>1</v>
      </c>
      <c r="F74" s="147">
        <v>1</v>
      </c>
      <c r="G74" s="147">
        <v>4</v>
      </c>
      <c r="H74" s="147">
        <v>1</v>
      </c>
      <c r="I74" s="147">
        <v>1</v>
      </c>
      <c r="J74" s="147">
        <v>1</v>
      </c>
      <c r="K74" s="147">
        <v>1</v>
      </c>
      <c r="L74" s="147">
        <v>2</v>
      </c>
      <c r="M74" s="147">
        <v>1</v>
      </c>
      <c r="N74" s="147">
        <v>1</v>
      </c>
      <c r="O74" s="147">
        <v>1</v>
      </c>
      <c r="P74" s="147">
        <v>1</v>
      </c>
      <c r="Q74" s="147">
        <v>1</v>
      </c>
      <c r="R74" s="147">
        <v>1</v>
      </c>
      <c r="S74" s="147">
        <v>1</v>
      </c>
      <c r="T74" s="147">
        <v>2</v>
      </c>
      <c r="U74" s="147">
        <v>1</v>
      </c>
      <c r="V74" s="147">
        <v>4</v>
      </c>
      <c r="W74" s="147">
        <v>1</v>
      </c>
      <c r="X74" s="147">
        <v>1</v>
      </c>
      <c r="Y74" s="147">
        <v>1</v>
      </c>
      <c r="Z74" s="147">
        <v>1</v>
      </c>
      <c r="AA74" s="147">
        <v>1</v>
      </c>
      <c r="AB74" s="147">
        <v>1</v>
      </c>
      <c r="AC74" s="147">
        <v>1</v>
      </c>
      <c r="AD74" s="1466">
        <v>1</v>
      </c>
      <c r="AE74" s="1466">
        <v>1</v>
      </c>
      <c r="AF74" s="147">
        <v>2</v>
      </c>
      <c r="AG74" s="147">
        <v>1</v>
      </c>
      <c r="AH74" s="147">
        <v>1</v>
      </c>
      <c r="AI74" s="147">
        <v>2</v>
      </c>
      <c r="AJ74" s="147">
        <v>1</v>
      </c>
      <c r="AK74" s="147">
        <v>1</v>
      </c>
      <c r="AL74" s="147">
        <v>1</v>
      </c>
      <c r="AM74" s="828">
        <v>0</v>
      </c>
      <c r="AN74" s="147" t="b">
        <v>1</v>
      </c>
      <c r="AO74" s="147" t="b">
        <v>0</v>
      </c>
    </row>
    <row r="75" spans="1:41" x14ac:dyDescent="0.35">
      <c r="A75" s="620">
        <v>74</v>
      </c>
      <c r="B75" s="617">
        <v>2</v>
      </c>
      <c r="C75" s="147">
        <v>1</v>
      </c>
      <c r="D75" s="147">
        <v>1</v>
      </c>
      <c r="E75" s="147">
        <v>1</v>
      </c>
      <c r="F75" s="147">
        <v>7</v>
      </c>
      <c r="G75" s="147">
        <v>1</v>
      </c>
      <c r="H75" s="147">
        <v>1</v>
      </c>
      <c r="I75" s="147">
        <v>1</v>
      </c>
      <c r="J75" s="147">
        <v>1</v>
      </c>
      <c r="K75" s="147">
        <v>1</v>
      </c>
      <c r="L75" s="147">
        <v>2</v>
      </c>
      <c r="M75" s="147">
        <v>1</v>
      </c>
      <c r="N75" s="147">
        <v>1</v>
      </c>
      <c r="O75" s="147">
        <v>1</v>
      </c>
      <c r="P75" s="147">
        <v>1</v>
      </c>
      <c r="Q75" s="147">
        <v>1</v>
      </c>
      <c r="R75" s="147">
        <v>1</v>
      </c>
      <c r="S75" s="147">
        <v>1</v>
      </c>
      <c r="T75" s="147">
        <v>1</v>
      </c>
      <c r="U75" s="147">
        <v>1</v>
      </c>
      <c r="V75" s="147">
        <v>5</v>
      </c>
      <c r="W75" s="147">
        <v>6</v>
      </c>
      <c r="X75" s="147">
        <v>1</v>
      </c>
      <c r="Y75" s="147">
        <v>1</v>
      </c>
      <c r="Z75" s="147">
        <v>1</v>
      </c>
      <c r="AA75" s="147">
        <v>1</v>
      </c>
      <c r="AB75" s="147">
        <v>1</v>
      </c>
      <c r="AC75" s="147">
        <v>1</v>
      </c>
      <c r="AD75" s="1466">
        <v>1</v>
      </c>
      <c r="AE75" s="1466">
        <v>1</v>
      </c>
      <c r="AF75" s="147">
        <v>1</v>
      </c>
      <c r="AG75" s="147">
        <v>1</v>
      </c>
      <c r="AH75" s="147">
        <v>1</v>
      </c>
      <c r="AI75" s="147">
        <v>1</v>
      </c>
      <c r="AJ75" s="147">
        <v>1</v>
      </c>
      <c r="AK75" s="147">
        <v>1</v>
      </c>
      <c r="AL75" s="147">
        <v>4</v>
      </c>
      <c r="AM75" s="828">
        <v>0</v>
      </c>
      <c r="AN75" s="147" t="b">
        <v>0</v>
      </c>
      <c r="AO75" s="147" t="b">
        <v>0</v>
      </c>
    </row>
    <row r="76" spans="1:41" x14ac:dyDescent="0.35">
      <c r="A76" s="620">
        <v>75</v>
      </c>
      <c r="B76" s="617">
        <v>2</v>
      </c>
      <c r="C76" s="147">
        <v>9</v>
      </c>
      <c r="D76" s="147">
        <v>2</v>
      </c>
      <c r="E76" s="147">
        <v>1</v>
      </c>
      <c r="F76" s="147">
        <v>2</v>
      </c>
      <c r="G76" s="147">
        <v>1</v>
      </c>
      <c r="H76" s="147">
        <v>1</v>
      </c>
      <c r="I76" s="147">
        <v>1</v>
      </c>
      <c r="J76" s="147">
        <v>1</v>
      </c>
      <c r="K76" s="147">
        <v>1</v>
      </c>
      <c r="L76" s="147">
        <v>2</v>
      </c>
      <c r="M76" s="147">
        <v>1</v>
      </c>
      <c r="N76" s="147">
        <v>1</v>
      </c>
      <c r="O76" s="147">
        <v>1</v>
      </c>
      <c r="P76" s="147">
        <v>1</v>
      </c>
      <c r="Q76" s="147">
        <v>1</v>
      </c>
      <c r="R76" s="147">
        <v>1</v>
      </c>
      <c r="S76" s="147">
        <v>1</v>
      </c>
      <c r="T76" s="147">
        <v>3</v>
      </c>
      <c r="U76" s="147">
        <v>1</v>
      </c>
      <c r="V76" s="147">
        <v>2</v>
      </c>
      <c r="W76" s="147">
        <v>1</v>
      </c>
      <c r="X76" s="147">
        <v>1</v>
      </c>
      <c r="Y76" s="147">
        <v>1</v>
      </c>
      <c r="Z76" s="147">
        <v>2</v>
      </c>
      <c r="AA76" s="147">
        <v>1</v>
      </c>
      <c r="AB76" s="147">
        <v>1</v>
      </c>
      <c r="AC76" s="147">
        <v>1</v>
      </c>
      <c r="AD76" s="1466">
        <v>5</v>
      </c>
      <c r="AE76" s="1466">
        <v>1</v>
      </c>
      <c r="AF76" s="147">
        <v>1</v>
      </c>
      <c r="AG76" s="147">
        <v>1</v>
      </c>
      <c r="AH76" s="147">
        <v>1</v>
      </c>
      <c r="AI76" s="147">
        <v>1</v>
      </c>
      <c r="AJ76" s="147">
        <v>1</v>
      </c>
      <c r="AK76" s="147">
        <v>1</v>
      </c>
      <c r="AL76" s="147">
        <v>1</v>
      </c>
      <c r="AM76" s="828">
        <v>0</v>
      </c>
      <c r="AN76" s="147" t="b">
        <v>1</v>
      </c>
      <c r="AO76" s="147" t="b">
        <v>0</v>
      </c>
    </row>
    <row r="77" spans="1:41" x14ac:dyDescent="0.35">
      <c r="A77" s="620">
        <v>76</v>
      </c>
      <c r="B77" s="617">
        <v>2</v>
      </c>
      <c r="C77" s="147">
        <v>3</v>
      </c>
      <c r="D77" s="147">
        <v>7</v>
      </c>
      <c r="E77" s="147">
        <v>1</v>
      </c>
      <c r="F77" s="147">
        <v>1</v>
      </c>
      <c r="G77" s="147">
        <v>2</v>
      </c>
      <c r="H77" s="147">
        <v>2</v>
      </c>
      <c r="I77" s="147">
        <v>1</v>
      </c>
      <c r="J77" s="147">
        <v>1</v>
      </c>
      <c r="K77" s="147">
        <v>1</v>
      </c>
      <c r="L77" s="147">
        <v>2</v>
      </c>
      <c r="M77" s="147">
        <v>1</v>
      </c>
      <c r="N77" s="147">
        <v>1</v>
      </c>
      <c r="O77" s="147">
        <v>1</v>
      </c>
      <c r="P77" s="147">
        <v>1</v>
      </c>
      <c r="Q77" s="147">
        <v>1</v>
      </c>
      <c r="R77" s="147">
        <v>1</v>
      </c>
      <c r="S77" s="147">
        <v>1</v>
      </c>
      <c r="T77" s="147">
        <v>1</v>
      </c>
      <c r="U77" s="147">
        <v>1</v>
      </c>
      <c r="V77" s="147">
        <v>1</v>
      </c>
      <c r="W77" s="147">
        <v>1</v>
      </c>
      <c r="X77" s="147">
        <v>1</v>
      </c>
      <c r="Y77" s="147">
        <v>1</v>
      </c>
      <c r="Z77" s="147">
        <v>1</v>
      </c>
      <c r="AA77" s="147">
        <v>1</v>
      </c>
      <c r="AB77" s="147">
        <v>1</v>
      </c>
      <c r="AC77" s="147">
        <v>1</v>
      </c>
      <c r="AD77" s="1466">
        <v>1</v>
      </c>
      <c r="AE77" s="1466">
        <v>1</v>
      </c>
      <c r="AF77" s="147">
        <v>1</v>
      </c>
      <c r="AG77" s="147">
        <v>1</v>
      </c>
      <c r="AH77" s="147">
        <v>1</v>
      </c>
      <c r="AI77" s="147">
        <v>1</v>
      </c>
      <c r="AJ77" s="147">
        <v>1</v>
      </c>
      <c r="AK77" s="147">
        <v>1</v>
      </c>
      <c r="AL77" s="147">
        <v>5</v>
      </c>
      <c r="AM77" s="828">
        <v>0</v>
      </c>
      <c r="AN77" s="147" t="b">
        <v>0</v>
      </c>
      <c r="AO77" s="147" t="b">
        <v>0</v>
      </c>
    </row>
    <row r="78" spans="1:41" x14ac:dyDescent="0.35">
      <c r="A78" s="620">
        <v>77</v>
      </c>
      <c r="B78" s="617">
        <v>2</v>
      </c>
      <c r="C78" s="147">
        <v>12</v>
      </c>
      <c r="D78" s="147">
        <v>2</v>
      </c>
      <c r="E78" s="147">
        <v>2</v>
      </c>
      <c r="F78" s="147">
        <v>2</v>
      </c>
      <c r="G78" s="147">
        <v>2</v>
      </c>
      <c r="H78" s="147">
        <v>1</v>
      </c>
      <c r="I78" s="147">
        <v>1</v>
      </c>
      <c r="J78" s="147">
        <v>1</v>
      </c>
      <c r="K78" s="147">
        <v>1</v>
      </c>
      <c r="L78" s="147">
        <v>2</v>
      </c>
      <c r="M78" s="147">
        <v>1</v>
      </c>
      <c r="N78" s="147">
        <v>1</v>
      </c>
      <c r="O78" s="147">
        <v>1</v>
      </c>
      <c r="P78" s="147">
        <v>1</v>
      </c>
      <c r="Q78" s="147">
        <v>1</v>
      </c>
      <c r="R78" s="147">
        <v>1</v>
      </c>
      <c r="S78" s="147">
        <v>1</v>
      </c>
      <c r="T78" s="147">
        <v>2</v>
      </c>
      <c r="U78" s="147">
        <v>1</v>
      </c>
      <c r="V78" s="147">
        <v>2</v>
      </c>
      <c r="W78" s="147">
        <v>1</v>
      </c>
      <c r="X78" s="147">
        <v>1</v>
      </c>
      <c r="Y78" s="147">
        <v>1</v>
      </c>
      <c r="Z78" s="147">
        <v>6</v>
      </c>
      <c r="AA78" s="147">
        <v>1</v>
      </c>
      <c r="AB78" s="147">
        <v>1</v>
      </c>
      <c r="AC78" s="147">
        <v>1</v>
      </c>
      <c r="AD78" s="1466">
        <v>11</v>
      </c>
      <c r="AE78" s="1466">
        <v>1</v>
      </c>
      <c r="AF78" s="147">
        <v>2</v>
      </c>
      <c r="AG78" s="147">
        <v>1</v>
      </c>
      <c r="AH78" s="147">
        <v>1</v>
      </c>
      <c r="AI78" s="147">
        <v>1</v>
      </c>
      <c r="AJ78" s="147">
        <v>1</v>
      </c>
      <c r="AK78" s="147">
        <v>1</v>
      </c>
      <c r="AL78" s="147">
        <v>1</v>
      </c>
      <c r="AM78" s="828">
        <v>617</v>
      </c>
      <c r="AN78" s="147" t="b">
        <v>1</v>
      </c>
      <c r="AO78" s="147" t="b">
        <v>0</v>
      </c>
    </row>
    <row r="79" spans="1:41" x14ac:dyDescent="0.35">
      <c r="A79" s="620">
        <v>78</v>
      </c>
      <c r="B79" s="617">
        <v>2</v>
      </c>
      <c r="C79" s="147">
        <v>6</v>
      </c>
      <c r="D79" s="147">
        <v>9</v>
      </c>
      <c r="E79" s="147">
        <v>1</v>
      </c>
      <c r="F79" s="147">
        <v>1</v>
      </c>
      <c r="G79" s="147">
        <v>3</v>
      </c>
      <c r="H79" s="147">
        <v>1</v>
      </c>
      <c r="I79" s="147">
        <v>1</v>
      </c>
      <c r="J79" s="147">
        <v>1</v>
      </c>
      <c r="K79" s="147">
        <v>1</v>
      </c>
      <c r="L79" s="147">
        <v>2</v>
      </c>
      <c r="M79" s="147">
        <v>3</v>
      </c>
      <c r="N79" s="147">
        <v>1</v>
      </c>
      <c r="O79" s="147">
        <v>1</v>
      </c>
      <c r="P79" s="147">
        <v>1</v>
      </c>
      <c r="Q79" s="147">
        <v>1</v>
      </c>
      <c r="R79" s="147">
        <v>1</v>
      </c>
      <c r="S79" s="147">
        <v>5</v>
      </c>
      <c r="T79" s="147">
        <v>1</v>
      </c>
      <c r="U79" s="147">
        <v>1</v>
      </c>
      <c r="V79" s="147">
        <v>1</v>
      </c>
      <c r="W79" s="147">
        <v>1</v>
      </c>
      <c r="X79" s="147">
        <v>5</v>
      </c>
      <c r="Y79" s="147">
        <v>6</v>
      </c>
      <c r="Z79" s="147">
        <v>1</v>
      </c>
      <c r="AA79" s="147">
        <v>1</v>
      </c>
      <c r="AB79" s="147">
        <v>2</v>
      </c>
      <c r="AC79" s="147">
        <v>1</v>
      </c>
      <c r="AD79" s="1466">
        <v>2</v>
      </c>
      <c r="AE79" s="1466">
        <v>1</v>
      </c>
      <c r="AF79" s="147">
        <v>6</v>
      </c>
      <c r="AG79" s="147">
        <v>1</v>
      </c>
      <c r="AH79" s="147">
        <v>1</v>
      </c>
      <c r="AI79" s="147">
        <v>1</v>
      </c>
      <c r="AJ79" s="147">
        <v>1</v>
      </c>
      <c r="AK79" s="147">
        <v>4</v>
      </c>
      <c r="AL79" s="147">
        <v>3</v>
      </c>
      <c r="AM79" s="828">
        <v>0</v>
      </c>
      <c r="AN79" s="147" t="b">
        <v>1</v>
      </c>
      <c r="AO79" s="147" t="b">
        <v>0</v>
      </c>
    </row>
    <row r="80" spans="1:41" x14ac:dyDescent="0.35">
      <c r="A80" s="620">
        <v>79</v>
      </c>
      <c r="B80" s="617">
        <v>2</v>
      </c>
      <c r="C80" s="147">
        <v>5</v>
      </c>
      <c r="D80" s="147">
        <v>1</v>
      </c>
      <c r="E80" s="147">
        <v>1</v>
      </c>
      <c r="F80" s="147">
        <v>1</v>
      </c>
      <c r="G80" s="147">
        <v>1</v>
      </c>
      <c r="H80" s="147">
        <v>1</v>
      </c>
      <c r="I80" s="147">
        <v>1</v>
      </c>
      <c r="J80" s="147">
        <v>1</v>
      </c>
      <c r="K80" s="147">
        <v>1</v>
      </c>
      <c r="L80" s="147">
        <v>2</v>
      </c>
      <c r="M80" s="147">
        <v>1</v>
      </c>
      <c r="N80" s="147">
        <v>4</v>
      </c>
      <c r="O80" s="147">
        <v>1</v>
      </c>
      <c r="P80" s="147">
        <v>1</v>
      </c>
      <c r="Q80" s="147">
        <v>1</v>
      </c>
      <c r="R80" s="147">
        <v>1</v>
      </c>
      <c r="S80" s="147">
        <v>1</v>
      </c>
      <c r="T80" s="147">
        <v>1</v>
      </c>
      <c r="U80" s="147">
        <v>1</v>
      </c>
      <c r="V80" s="147">
        <v>1</v>
      </c>
      <c r="W80" s="147">
        <v>1</v>
      </c>
      <c r="X80" s="147">
        <v>1</v>
      </c>
      <c r="Y80" s="147">
        <v>1</v>
      </c>
      <c r="Z80" s="147">
        <v>1</v>
      </c>
      <c r="AA80" s="147">
        <v>1</v>
      </c>
      <c r="AB80" s="147">
        <v>1</v>
      </c>
      <c r="AC80" s="147">
        <v>1</v>
      </c>
      <c r="AD80" s="1466">
        <v>1</v>
      </c>
      <c r="AE80" s="1466">
        <v>1</v>
      </c>
      <c r="AF80" s="147">
        <v>1</v>
      </c>
      <c r="AG80" s="147">
        <v>5</v>
      </c>
      <c r="AH80" s="147">
        <v>1</v>
      </c>
      <c r="AI80" s="147">
        <v>1</v>
      </c>
      <c r="AJ80" s="147">
        <v>4</v>
      </c>
      <c r="AK80" s="147">
        <v>1</v>
      </c>
      <c r="AL80" s="147">
        <v>7</v>
      </c>
      <c r="AM80" s="828">
        <v>0</v>
      </c>
      <c r="AN80" s="147" t="b">
        <v>0</v>
      </c>
      <c r="AO80" s="147" t="b">
        <v>0</v>
      </c>
    </row>
    <row r="81" spans="1:41" x14ac:dyDescent="0.35">
      <c r="A81" s="620">
        <v>80</v>
      </c>
      <c r="B81" s="617">
        <v>2</v>
      </c>
      <c r="C81" s="147">
        <v>3</v>
      </c>
      <c r="D81" s="147">
        <v>3</v>
      </c>
      <c r="E81" s="147">
        <v>1</v>
      </c>
      <c r="F81" s="147">
        <v>1</v>
      </c>
      <c r="G81" s="147">
        <v>1</v>
      </c>
      <c r="H81" s="147">
        <v>1</v>
      </c>
      <c r="I81" s="147">
        <v>1</v>
      </c>
      <c r="J81" s="147">
        <v>1</v>
      </c>
      <c r="K81" s="147">
        <v>1</v>
      </c>
      <c r="L81" s="147">
        <v>2</v>
      </c>
      <c r="M81" s="147">
        <v>1</v>
      </c>
      <c r="N81" s="147">
        <v>1</v>
      </c>
      <c r="O81" s="147">
        <v>1</v>
      </c>
      <c r="P81" s="147">
        <v>1</v>
      </c>
      <c r="Q81" s="147">
        <v>1</v>
      </c>
      <c r="R81" s="147">
        <v>1</v>
      </c>
      <c r="S81" s="147">
        <v>1</v>
      </c>
      <c r="T81" s="147">
        <v>1</v>
      </c>
      <c r="U81" s="147">
        <v>1</v>
      </c>
      <c r="V81" s="147">
        <v>1</v>
      </c>
      <c r="W81" s="147">
        <v>1</v>
      </c>
      <c r="X81" s="147">
        <v>1</v>
      </c>
      <c r="Y81" s="147">
        <v>1</v>
      </c>
      <c r="Z81" s="147">
        <v>1</v>
      </c>
      <c r="AA81" s="147">
        <v>1</v>
      </c>
      <c r="AB81" s="147">
        <v>1</v>
      </c>
      <c r="AC81" s="147">
        <v>1</v>
      </c>
      <c r="AD81" s="1466">
        <v>1</v>
      </c>
      <c r="AE81" s="1466">
        <v>1</v>
      </c>
      <c r="AF81" s="147">
        <v>1</v>
      </c>
      <c r="AG81" s="147">
        <v>1</v>
      </c>
      <c r="AH81" s="147">
        <v>1</v>
      </c>
      <c r="AI81" s="147">
        <v>1</v>
      </c>
      <c r="AJ81" s="147">
        <v>1</v>
      </c>
      <c r="AK81" s="147">
        <v>1</v>
      </c>
      <c r="AL81" s="147">
        <v>3</v>
      </c>
      <c r="AM81" s="828">
        <v>865</v>
      </c>
      <c r="AN81" s="147" t="b">
        <v>1</v>
      </c>
      <c r="AO81" s="147" t="b">
        <v>0</v>
      </c>
    </row>
    <row r="82" spans="1:41" x14ac:dyDescent="0.35">
      <c r="A82" s="620">
        <v>81</v>
      </c>
      <c r="B82" s="617">
        <v>2</v>
      </c>
      <c r="C82" s="147">
        <v>6</v>
      </c>
      <c r="D82" s="147">
        <v>1</v>
      </c>
      <c r="E82" s="147">
        <v>1</v>
      </c>
      <c r="F82" s="147">
        <v>5</v>
      </c>
      <c r="G82" s="147">
        <v>6</v>
      </c>
      <c r="H82" s="147">
        <v>1</v>
      </c>
      <c r="I82" s="147">
        <v>1</v>
      </c>
      <c r="J82" s="147">
        <v>1</v>
      </c>
      <c r="K82" s="147">
        <v>1</v>
      </c>
      <c r="L82" s="147">
        <v>2</v>
      </c>
      <c r="M82" s="147">
        <v>1</v>
      </c>
      <c r="N82" s="147">
        <v>1</v>
      </c>
      <c r="O82" s="147">
        <v>1</v>
      </c>
      <c r="P82" s="147">
        <v>1</v>
      </c>
      <c r="Q82" s="147">
        <v>1</v>
      </c>
      <c r="R82" s="147">
        <v>1</v>
      </c>
      <c r="S82" s="147">
        <v>1</v>
      </c>
      <c r="T82" s="147">
        <v>1</v>
      </c>
      <c r="U82" s="147">
        <v>1</v>
      </c>
      <c r="V82" s="147">
        <v>1</v>
      </c>
      <c r="W82" s="147">
        <v>1</v>
      </c>
      <c r="X82" s="147">
        <v>1</v>
      </c>
      <c r="Y82" s="147">
        <v>1</v>
      </c>
      <c r="Z82" s="147">
        <v>3</v>
      </c>
      <c r="AA82" s="147">
        <v>1</v>
      </c>
      <c r="AB82" s="147">
        <v>1</v>
      </c>
      <c r="AC82" s="147">
        <v>1</v>
      </c>
      <c r="AD82" s="1466">
        <v>5</v>
      </c>
      <c r="AE82" s="1466">
        <v>1</v>
      </c>
      <c r="AF82" s="147">
        <v>1</v>
      </c>
      <c r="AG82" s="147">
        <v>1</v>
      </c>
      <c r="AH82" s="147">
        <v>1</v>
      </c>
      <c r="AI82" s="147">
        <v>1</v>
      </c>
      <c r="AJ82" s="147">
        <v>1</v>
      </c>
      <c r="AK82" s="147">
        <v>1</v>
      </c>
      <c r="AL82" s="147">
        <v>7</v>
      </c>
      <c r="AM82" s="828">
        <v>0</v>
      </c>
      <c r="AN82" s="147" t="b">
        <v>0</v>
      </c>
      <c r="AO82" s="147" t="b">
        <v>0</v>
      </c>
    </row>
    <row r="83" spans="1:41" x14ac:dyDescent="0.35">
      <c r="A83" s="620">
        <v>82</v>
      </c>
      <c r="B83" s="617">
        <v>2</v>
      </c>
      <c r="C83" s="147">
        <v>1</v>
      </c>
      <c r="D83" s="147">
        <v>9</v>
      </c>
      <c r="E83" s="147">
        <v>7</v>
      </c>
      <c r="F83" s="147">
        <v>4</v>
      </c>
      <c r="G83" s="147">
        <v>7</v>
      </c>
      <c r="H83" s="147">
        <v>1</v>
      </c>
      <c r="I83" s="147">
        <v>1</v>
      </c>
      <c r="J83" s="147">
        <v>1</v>
      </c>
      <c r="K83" s="147">
        <v>1</v>
      </c>
      <c r="L83" s="147">
        <v>2</v>
      </c>
      <c r="M83" s="147">
        <v>1</v>
      </c>
      <c r="N83" s="147">
        <v>1</v>
      </c>
      <c r="O83" s="147">
        <v>1</v>
      </c>
      <c r="P83" s="147">
        <v>1</v>
      </c>
      <c r="Q83" s="147">
        <v>1</v>
      </c>
      <c r="R83" s="147">
        <v>1</v>
      </c>
      <c r="S83" s="147">
        <v>1</v>
      </c>
      <c r="T83" s="147">
        <v>1</v>
      </c>
      <c r="U83" s="147">
        <v>1</v>
      </c>
      <c r="V83" s="147">
        <v>1</v>
      </c>
      <c r="W83" s="147">
        <v>1</v>
      </c>
      <c r="X83" s="147">
        <v>1</v>
      </c>
      <c r="Y83" s="147">
        <v>1</v>
      </c>
      <c r="Z83" s="147">
        <v>1</v>
      </c>
      <c r="AA83" s="147">
        <v>1</v>
      </c>
      <c r="AB83" s="147">
        <v>1</v>
      </c>
      <c r="AC83" s="147">
        <v>1</v>
      </c>
      <c r="AD83" s="1466">
        <v>1</v>
      </c>
      <c r="AE83" s="1466">
        <v>1</v>
      </c>
      <c r="AF83" s="147">
        <v>1</v>
      </c>
      <c r="AG83" s="147">
        <v>1</v>
      </c>
      <c r="AH83" s="147">
        <v>1</v>
      </c>
      <c r="AI83" s="147">
        <v>1</v>
      </c>
      <c r="AJ83" s="147">
        <v>1</v>
      </c>
      <c r="AK83" s="147">
        <v>1</v>
      </c>
      <c r="AL83" s="147">
        <v>7</v>
      </c>
      <c r="AM83" s="828">
        <v>0</v>
      </c>
      <c r="AN83" s="147" t="b">
        <v>0</v>
      </c>
      <c r="AO83" s="147" t="b">
        <v>0</v>
      </c>
    </row>
    <row r="84" spans="1:41" x14ac:dyDescent="0.35">
      <c r="A84" s="620">
        <v>83</v>
      </c>
      <c r="B84" s="617">
        <v>2</v>
      </c>
      <c r="C84" s="147">
        <v>1</v>
      </c>
      <c r="D84" s="147">
        <v>1</v>
      </c>
      <c r="E84" s="147">
        <v>1</v>
      </c>
      <c r="F84" s="147">
        <v>6</v>
      </c>
      <c r="G84" s="147">
        <v>1</v>
      </c>
      <c r="H84" s="147">
        <v>1</v>
      </c>
      <c r="I84" s="147">
        <v>1</v>
      </c>
      <c r="J84" s="147">
        <v>1</v>
      </c>
      <c r="K84" s="147">
        <v>1</v>
      </c>
      <c r="L84" s="147">
        <v>2</v>
      </c>
      <c r="M84" s="147">
        <v>1</v>
      </c>
      <c r="N84" s="147">
        <v>1</v>
      </c>
      <c r="O84" s="147">
        <v>6</v>
      </c>
      <c r="P84" s="147">
        <v>1</v>
      </c>
      <c r="Q84" s="147">
        <v>1</v>
      </c>
      <c r="R84" s="147">
        <v>1</v>
      </c>
      <c r="S84" s="147">
        <v>1</v>
      </c>
      <c r="T84" s="147">
        <v>1</v>
      </c>
      <c r="U84" s="147">
        <v>6</v>
      </c>
      <c r="V84" s="147">
        <v>6</v>
      </c>
      <c r="W84" s="147">
        <v>4</v>
      </c>
      <c r="X84" s="147">
        <v>1</v>
      </c>
      <c r="Y84" s="147">
        <v>1</v>
      </c>
      <c r="Z84" s="147">
        <v>1</v>
      </c>
      <c r="AA84" s="147">
        <v>1</v>
      </c>
      <c r="AB84" s="147">
        <v>1</v>
      </c>
      <c r="AC84" s="147">
        <v>1</v>
      </c>
      <c r="AD84" s="1466">
        <v>1</v>
      </c>
      <c r="AE84" s="1466">
        <v>1</v>
      </c>
      <c r="AF84" s="147">
        <v>1</v>
      </c>
      <c r="AG84" s="147">
        <v>1</v>
      </c>
      <c r="AH84" s="147">
        <v>1</v>
      </c>
      <c r="AI84" s="147">
        <v>1</v>
      </c>
      <c r="AJ84" s="147">
        <v>1</v>
      </c>
      <c r="AK84" s="147">
        <v>1</v>
      </c>
      <c r="AL84" s="147">
        <v>7</v>
      </c>
      <c r="AM84" s="828">
        <v>0</v>
      </c>
      <c r="AN84" s="147" t="b">
        <v>0</v>
      </c>
      <c r="AO84" s="147" t="b">
        <v>0</v>
      </c>
    </row>
    <row r="85" spans="1:41" x14ac:dyDescent="0.35">
      <c r="A85" s="620">
        <v>84</v>
      </c>
      <c r="B85" s="617">
        <v>2</v>
      </c>
      <c r="C85" s="147">
        <v>1</v>
      </c>
      <c r="D85" s="147">
        <v>1</v>
      </c>
      <c r="E85" s="147">
        <v>1</v>
      </c>
      <c r="F85" s="147">
        <v>1</v>
      </c>
      <c r="G85" s="147">
        <v>1</v>
      </c>
      <c r="H85" s="147">
        <v>1</v>
      </c>
      <c r="I85" s="147">
        <v>1</v>
      </c>
      <c r="J85" s="147">
        <v>1</v>
      </c>
      <c r="K85" s="147">
        <v>2</v>
      </c>
      <c r="L85" s="147">
        <v>2</v>
      </c>
      <c r="M85" s="147">
        <v>1</v>
      </c>
      <c r="N85" s="147">
        <v>1</v>
      </c>
      <c r="O85" s="147">
        <v>1</v>
      </c>
      <c r="P85" s="147">
        <v>1</v>
      </c>
      <c r="Q85" s="147">
        <v>1</v>
      </c>
      <c r="R85" s="147">
        <v>1</v>
      </c>
      <c r="S85" s="147">
        <v>1</v>
      </c>
      <c r="T85" s="147">
        <v>1</v>
      </c>
      <c r="U85" s="147">
        <v>1</v>
      </c>
      <c r="V85" s="147">
        <v>6</v>
      </c>
      <c r="W85" s="147">
        <v>1</v>
      </c>
      <c r="X85" s="147">
        <v>1</v>
      </c>
      <c r="Y85" s="147">
        <v>4</v>
      </c>
      <c r="Z85" s="147">
        <v>1</v>
      </c>
      <c r="AA85" s="147">
        <v>1</v>
      </c>
      <c r="AB85" s="147">
        <v>1</v>
      </c>
      <c r="AC85" s="147">
        <v>1</v>
      </c>
      <c r="AD85" s="1466">
        <v>7</v>
      </c>
      <c r="AE85" s="1466">
        <v>1</v>
      </c>
      <c r="AF85" s="147">
        <v>1</v>
      </c>
      <c r="AG85" s="147">
        <v>1</v>
      </c>
      <c r="AH85" s="147">
        <v>1</v>
      </c>
      <c r="AI85" s="147">
        <v>1</v>
      </c>
      <c r="AJ85" s="147">
        <v>1</v>
      </c>
      <c r="AK85" s="147">
        <v>1</v>
      </c>
      <c r="AL85" s="147">
        <v>5</v>
      </c>
      <c r="AM85" s="828">
        <v>0</v>
      </c>
      <c r="AN85" s="147" t="b">
        <v>0</v>
      </c>
      <c r="AO85" s="147" t="b">
        <v>1</v>
      </c>
    </row>
    <row r="86" spans="1:41" x14ac:dyDescent="0.35">
      <c r="A86" s="620">
        <v>85</v>
      </c>
      <c r="B86" s="617">
        <v>2</v>
      </c>
      <c r="C86" s="147">
        <v>1</v>
      </c>
      <c r="D86" s="147">
        <v>9</v>
      </c>
      <c r="E86" s="147">
        <v>7</v>
      </c>
      <c r="F86" s="147">
        <v>1</v>
      </c>
      <c r="G86" s="147">
        <v>1</v>
      </c>
      <c r="H86" s="147">
        <v>1</v>
      </c>
      <c r="I86" s="147">
        <v>1</v>
      </c>
      <c r="J86" s="147">
        <v>1</v>
      </c>
      <c r="K86" s="147">
        <v>1</v>
      </c>
      <c r="L86" s="147">
        <v>2</v>
      </c>
      <c r="M86" s="147">
        <v>1</v>
      </c>
      <c r="N86" s="147">
        <v>1</v>
      </c>
      <c r="O86" s="147">
        <v>1</v>
      </c>
      <c r="P86" s="147">
        <v>1</v>
      </c>
      <c r="Q86" s="147">
        <v>1</v>
      </c>
      <c r="R86" s="147">
        <v>1</v>
      </c>
      <c r="S86" s="147">
        <v>1</v>
      </c>
      <c r="T86" s="147">
        <v>1</v>
      </c>
      <c r="U86" s="147">
        <v>1</v>
      </c>
      <c r="V86" s="147">
        <v>1</v>
      </c>
      <c r="W86" s="147">
        <v>1</v>
      </c>
      <c r="X86" s="147">
        <v>1</v>
      </c>
      <c r="Y86" s="147">
        <v>3</v>
      </c>
      <c r="Z86" s="147">
        <v>1</v>
      </c>
      <c r="AA86" s="147">
        <v>1</v>
      </c>
      <c r="AB86" s="147">
        <v>1</v>
      </c>
      <c r="AC86" s="147">
        <v>1</v>
      </c>
      <c r="AD86" s="1466">
        <v>6</v>
      </c>
      <c r="AE86" s="1466">
        <v>1</v>
      </c>
      <c r="AF86" s="147">
        <v>1</v>
      </c>
      <c r="AG86" s="147">
        <v>1</v>
      </c>
      <c r="AH86" s="147">
        <v>1</v>
      </c>
      <c r="AI86" s="147">
        <v>1</v>
      </c>
      <c r="AJ86" s="147">
        <v>1</v>
      </c>
      <c r="AK86" s="147">
        <v>1</v>
      </c>
      <c r="AL86" s="147">
        <v>3</v>
      </c>
      <c r="AM86" s="828">
        <v>0</v>
      </c>
      <c r="AN86" s="147" t="b">
        <v>1</v>
      </c>
      <c r="AO86" s="147" t="b">
        <v>0</v>
      </c>
    </row>
    <row r="87" spans="1:41" x14ac:dyDescent="0.35">
      <c r="A87" s="620">
        <v>86</v>
      </c>
      <c r="B87" s="617">
        <v>2</v>
      </c>
      <c r="C87" s="147">
        <v>1</v>
      </c>
      <c r="D87" s="147">
        <v>1</v>
      </c>
      <c r="E87" s="147">
        <v>1</v>
      </c>
      <c r="F87" s="147">
        <v>1</v>
      </c>
      <c r="G87" s="147">
        <v>1</v>
      </c>
      <c r="H87" s="147">
        <v>1</v>
      </c>
      <c r="I87" s="147">
        <v>1</v>
      </c>
      <c r="J87" s="147">
        <v>1</v>
      </c>
      <c r="K87" s="147">
        <v>1</v>
      </c>
      <c r="L87" s="147">
        <v>2</v>
      </c>
      <c r="M87" s="147">
        <v>1</v>
      </c>
      <c r="N87" s="147">
        <v>1</v>
      </c>
      <c r="O87" s="147">
        <v>1</v>
      </c>
      <c r="P87" s="147">
        <v>1</v>
      </c>
      <c r="Q87" s="147">
        <v>1</v>
      </c>
      <c r="R87" s="147">
        <v>2</v>
      </c>
      <c r="S87" s="147">
        <v>1</v>
      </c>
      <c r="T87" s="147">
        <v>1</v>
      </c>
      <c r="U87" s="147">
        <v>13</v>
      </c>
      <c r="V87" s="147">
        <v>9</v>
      </c>
      <c r="W87" s="147">
        <v>1</v>
      </c>
      <c r="X87" s="147">
        <v>1</v>
      </c>
      <c r="Y87" s="147">
        <v>1</v>
      </c>
      <c r="Z87" s="147">
        <v>1</v>
      </c>
      <c r="AA87" s="147">
        <v>1</v>
      </c>
      <c r="AB87" s="147">
        <v>1</v>
      </c>
      <c r="AC87" s="147">
        <v>1</v>
      </c>
      <c r="AD87" s="1466">
        <v>1</v>
      </c>
      <c r="AE87" s="1466">
        <v>1</v>
      </c>
      <c r="AF87" s="147">
        <v>6</v>
      </c>
      <c r="AG87" s="147">
        <v>1</v>
      </c>
      <c r="AH87" s="147">
        <v>1</v>
      </c>
      <c r="AI87" s="147">
        <v>1</v>
      </c>
      <c r="AJ87" s="147">
        <v>1</v>
      </c>
      <c r="AK87" s="147">
        <v>1</v>
      </c>
      <c r="AL87" s="147">
        <v>5</v>
      </c>
      <c r="AM87" s="828">
        <v>0</v>
      </c>
      <c r="AN87" s="147" t="b">
        <v>0</v>
      </c>
      <c r="AO87" s="147" t="b">
        <v>0</v>
      </c>
    </row>
    <row r="88" spans="1:41" x14ac:dyDescent="0.35">
      <c r="A88" s="620">
        <v>87</v>
      </c>
      <c r="B88" s="2894">
        <v>3</v>
      </c>
      <c r="C88" s="147">
        <v>9</v>
      </c>
      <c r="D88" s="147">
        <v>1</v>
      </c>
      <c r="E88" s="147">
        <v>1</v>
      </c>
      <c r="F88" s="147">
        <v>8</v>
      </c>
      <c r="G88" s="147">
        <v>5</v>
      </c>
      <c r="H88" s="147">
        <v>1</v>
      </c>
      <c r="I88" s="147">
        <v>1</v>
      </c>
      <c r="J88" s="147">
        <v>1</v>
      </c>
      <c r="K88" s="147">
        <v>1</v>
      </c>
      <c r="L88" s="147">
        <v>2</v>
      </c>
      <c r="M88" s="147">
        <v>1</v>
      </c>
      <c r="N88" s="147">
        <v>8</v>
      </c>
      <c r="O88" s="147">
        <v>1</v>
      </c>
      <c r="P88" s="147">
        <v>1</v>
      </c>
      <c r="Q88" s="147">
        <v>1</v>
      </c>
      <c r="R88" s="147">
        <v>1</v>
      </c>
      <c r="S88" s="147">
        <v>6</v>
      </c>
      <c r="T88" s="147">
        <v>1</v>
      </c>
      <c r="U88" s="147">
        <v>1</v>
      </c>
      <c r="V88" s="147">
        <v>1</v>
      </c>
      <c r="W88" s="147">
        <v>1</v>
      </c>
      <c r="X88" s="147">
        <v>1</v>
      </c>
      <c r="Y88" s="147">
        <v>1</v>
      </c>
      <c r="Z88" s="147">
        <v>3</v>
      </c>
      <c r="AA88" s="147">
        <v>1</v>
      </c>
      <c r="AB88" s="147">
        <v>1</v>
      </c>
      <c r="AC88" s="147">
        <v>1</v>
      </c>
      <c r="AD88" s="1466">
        <v>5</v>
      </c>
      <c r="AE88" s="1466">
        <v>1</v>
      </c>
      <c r="AF88" s="147">
        <v>8</v>
      </c>
      <c r="AG88" s="147">
        <v>1</v>
      </c>
      <c r="AH88" s="147">
        <v>1</v>
      </c>
      <c r="AI88" s="147">
        <v>1</v>
      </c>
      <c r="AJ88" s="147">
        <v>1</v>
      </c>
      <c r="AK88" s="147">
        <v>1</v>
      </c>
      <c r="AL88" s="147">
        <v>5</v>
      </c>
      <c r="AM88" s="828">
        <v>0</v>
      </c>
      <c r="AN88" s="147" t="b">
        <v>0</v>
      </c>
      <c r="AO88" s="147" t="b">
        <v>0</v>
      </c>
    </row>
    <row r="89" spans="1:41" x14ac:dyDescent="0.35">
      <c r="A89" s="620">
        <v>88</v>
      </c>
      <c r="B89" s="2894">
        <v>2</v>
      </c>
      <c r="C89" s="2895">
        <v>9</v>
      </c>
      <c r="D89" s="2895">
        <v>1</v>
      </c>
      <c r="E89" s="2895">
        <v>1</v>
      </c>
      <c r="F89" s="2895">
        <v>8</v>
      </c>
      <c r="G89" s="2895">
        <v>5</v>
      </c>
      <c r="H89" s="2895">
        <v>1</v>
      </c>
      <c r="I89" s="2895">
        <v>1</v>
      </c>
      <c r="J89" s="2895">
        <v>1</v>
      </c>
      <c r="K89" s="2895">
        <v>1</v>
      </c>
      <c r="L89" s="2895">
        <v>2</v>
      </c>
      <c r="M89" s="2895">
        <v>1</v>
      </c>
      <c r="N89" s="2895">
        <v>8</v>
      </c>
      <c r="O89" s="2895">
        <v>1</v>
      </c>
      <c r="P89" s="2895">
        <v>1</v>
      </c>
      <c r="Q89" s="2895">
        <v>1</v>
      </c>
      <c r="R89" s="2895">
        <v>1</v>
      </c>
      <c r="S89" s="2895">
        <v>6</v>
      </c>
      <c r="T89" s="2895">
        <v>1</v>
      </c>
      <c r="U89" s="2895">
        <v>1</v>
      </c>
      <c r="V89" s="2895">
        <v>1</v>
      </c>
      <c r="W89" s="2895">
        <v>1</v>
      </c>
      <c r="X89" s="2895">
        <v>1</v>
      </c>
      <c r="Y89" s="2895">
        <v>1</v>
      </c>
      <c r="Z89" s="2895">
        <v>3</v>
      </c>
      <c r="AA89" s="2895">
        <v>1</v>
      </c>
      <c r="AB89" s="2895">
        <v>1</v>
      </c>
      <c r="AC89" s="2895">
        <v>1</v>
      </c>
      <c r="AD89" s="2890">
        <v>5</v>
      </c>
      <c r="AE89" s="2890">
        <v>1</v>
      </c>
      <c r="AF89" s="2895">
        <v>8</v>
      </c>
      <c r="AG89" s="2895">
        <v>1</v>
      </c>
      <c r="AH89" s="2895">
        <v>1</v>
      </c>
      <c r="AI89" s="2895">
        <v>1</v>
      </c>
      <c r="AJ89" s="2895">
        <v>1</v>
      </c>
      <c r="AK89" s="2895">
        <v>1</v>
      </c>
      <c r="AL89" s="2895">
        <v>5</v>
      </c>
      <c r="AM89" s="2897">
        <v>0</v>
      </c>
      <c r="AN89" s="2895" t="b">
        <v>0</v>
      </c>
      <c r="AO89" s="2895" t="b">
        <v>0</v>
      </c>
    </row>
    <row r="90" spans="1:41" x14ac:dyDescent="0.35">
      <c r="A90" s="620">
        <v>89</v>
      </c>
      <c r="B90" s="617">
        <v>2</v>
      </c>
      <c r="C90" s="147">
        <v>5</v>
      </c>
      <c r="D90" s="147">
        <v>1</v>
      </c>
      <c r="E90" s="147">
        <v>5</v>
      </c>
      <c r="F90" s="147">
        <v>5</v>
      </c>
      <c r="G90" s="147">
        <v>3</v>
      </c>
      <c r="H90" s="147">
        <v>1</v>
      </c>
      <c r="I90" s="147">
        <v>1</v>
      </c>
      <c r="J90" s="147">
        <v>1</v>
      </c>
      <c r="K90" s="147">
        <v>1</v>
      </c>
      <c r="L90" s="147">
        <v>2</v>
      </c>
      <c r="M90" s="147">
        <v>1</v>
      </c>
      <c r="N90" s="147">
        <v>9</v>
      </c>
      <c r="O90" s="147">
        <v>4</v>
      </c>
      <c r="P90" s="147">
        <v>1</v>
      </c>
      <c r="Q90" s="147">
        <v>1</v>
      </c>
      <c r="R90" s="147">
        <v>1</v>
      </c>
      <c r="S90" s="147">
        <v>1</v>
      </c>
      <c r="T90" s="147">
        <v>1</v>
      </c>
      <c r="U90" s="147">
        <v>1</v>
      </c>
      <c r="V90" s="147">
        <v>1</v>
      </c>
      <c r="W90" s="147">
        <v>1</v>
      </c>
      <c r="X90" s="147">
        <v>3</v>
      </c>
      <c r="Y90" s="147">
        <v>1</v>
      </c>
      <c r="Z90" s="147">
        <v>1</v>
      </c>
      <c r="AA90" s="147">
        <v>1</v>
      </c>
      <c r="AB90" s="147">
        <v>1</v>
      </c>
      <c r="AC90" s="147">
        <v>1</v>
      </c>
      <c r="AD90" s="1466">
        <v>1</v>
      </c>
      <c r="AE90" s="1466">
        <v>1</v>
      </c>
      <c r="AF90" s="147">
        <v>3</v>
      </c>
      <c r="AG90" s="147">
        <v>3</v>
      </c>
      <c r="AH90" s="147">
        <v>1</v>
      </c>
      <c r="AI90" s="147">
        <v>2</v>
      </c>
      <c r="AJ90" s="147">
        <v>1</v>
      </c>
      <c r="AK90" s="147">
        <v>2</v>
      </c>
      <c r="AL90" s="147">
        <v>5</v>
      </c>
      <c r="AM90" s="828">
        <v>289</v>
      </c>
      <c r="AN90" s="147" t="b">
        <v>0</v>
      </c>
      <c r="AO90" s="147" t="b">
        <v>0</v>
      </c>
    </row>
    <row r="91" spans="1:41" x14ac:dyDescent="0.35">
      <c r="A91" s="620">
        <v>90</v>
      </c>
      <c r="B91" s="617">
        <v>2</v>
      </c>
      <c r="C91" s="147">
        <v>1</v>
      </c>
      <c r="D91" s="147">
        <v>1</v>
      </c>
      <c r="E91" s="147">
        <v>1</v>
      </c>
      <c r="F91" s="147">
        <v>5</v>
      </c>
      <c r="G91" s="147">
        <v>1</v>
      </c>
      <c r="H91" s="147">
        <v>1</v>
      </c>
      <c r="I91" s="147">
        <v>1</v>
      </c>
      <c r="J91" s="147">
        <v>1</v>
      </c>
      <c r="K91" s="147">
        <v>1</v>
      </c>
      <c r="L91" s="147">
        <v>2</v>
      </c>
      <c r="M91" s="147">
        <v>4</v>
      </c>
      <c r="N91" s="147">
        <v>1</v>
      </c>
      <c r="O91" s="147">
        <v>6</v>
      </c>
      <c r="P91" s="147">
        <v>1</v>
      </c>
      <c r="Q91" s="147">
        <v>1</v>
      </c>
      <c r="R91" s="147">
        <v>1</v>
      </c>
      <c r="S91" s="147">
        <v>1</v>
      </c>
      <c r="T91" s="147">
        <v>1</v>
      </c>
      <c r="U91" s="147">
        <v>1</v>
      </c>
      <c r="V91" s="147">
        <v>1</v>
      </c>
      <c r="W91" s="147">
        <v>1</v>
      </c>
      <c r="X91" s="147">
        <v>1</v>
      </c>
      <c r="Y91" s="147">
        <v>1</v>
      </c>
      <c r="Z91" s="147">
        <v>7</v>
      </c>
      <c r="AA91" s="147">
        <v>1</v>
      </c>
      <c r="AB91" s="147">
        <v>1</v>
      </c>
      <c r="AC91" s="147">
        <v>1</v>
      </c>
      <c r="AD91" s="1466">
        <v>5</v>
      </c>
      <c r="AE91" s="1466">
        <v>1</v>
      </c>
      <c r="AF91" s="147">
        <v>1</v>
      </c>
      <c r="AG91" s="147">
        <v>1</v>
      </c>
      <c r="AH91" s="147">
        <v>1</v>
      </c>
      <c r="AI91" s="147">
        <v>1</v>
      </c>
      <c r="AJ91" s="147">
        <v>1</v>
      </c>
      <c r="AK91" s="147">
        <v>1</v>
      </c>
      <c r="AL91" s="147">
        <v>5</v>
      </c>
      <c r="AM91" s="828">
        <v>0</v>
      </c>
      <c r="AN91" s="147" t="b">
        <v>0</v>
      </c>
      <c r="AO91" s="147" t="b">
        <v>0</v>
      </c>
    </row>
    <row r="92" spans="1:41" x14ac:dyDescent="0.35">
      <c r="A92" s="620">
        <v>91</v>
      </c>
      <c r="B92" s="617">
        <v>2</v>
      </c>
      <c r="C92" s="147">
        <v>1</v>
      </c>
      <c r="D92" s="147">
        <v>3</v>
      </c>
      <c r="E92" s="147">
        <v>1</v>
      </c>
      <c r="F92" s="147">
        <v>5</v>
      </c>
      <c r="G92" s="147">
        <v>4</v>
      </c>
      <c r="H92" s="147">
        <v>1</v>
      </c>
      <c r="I92" s="147">
        <v>1</v>
      </c>
      <c r="J92" s="147">
        <v>1</v>
      </c>
      <c r="K92" s="147">
        <v>1</v>
      </c>
      <c r="L92" s="147">
        <v>2</v>
      </c>
      <c r="M92" s="147">
        <v>4</v>
      </c>
      <c r="N92" s="147">
        <v>1</v>
      </c>
      <c r="O92" s="147">
        <v>4</v>
      </c>
      <c r="P92" s="147">
        <v>1</v>
      </c>
      <c r="Q92" s="147">
        <v>1</v>
      </c>
      <c r="R92" s="147">
        <v>3</v>
      </c>
      <c r="S92" s="147">
        <v>7</v>
      </c>
      <c r="T92" s="147">
        <v>1</v>
      </c>
      <c r="U92" s="147">
        <v>1</v>
      </c>
      <c r="V92" s="147">
        <v>3</v>
      </c>
      <c r="W92" s="147">
        <v>1</v>
      </c>
      <c r="X92" s="147">
        <v>1</v>
      </c>
      <c r="Y92" s="147">
        <v>1</v>
      </c>
      <c r="Z92" s="147">
        <v>7</v>
      </c>
      <c r="AA92" s="147">
        <v>1</v>
      </c>
      <c r="AB92" s="147">
        <v>1</v>
      </c>
      <c r="AC92" s="147">
        <v>1</v>
      </c>
      <c r="AD92" s="1466">
        <v>5</v>
      </c>
      <c r="AE92" s="1466">
        <v>3</v>
      </c>
      <c r="AF92" s="147">
        <v>7</v>
      </c>
      <c r="AG92" s="147">
        <v>1</v>
      </c>
      <c r="AH92" s="147">
        <v>1</v>
      </c>
      <c r="AI92" s="147">
        <v>1</v>
      </c>
      <c r="AJ92" s="147">
        <v>1</v>
      </c>
      <c r="AK92" s="147">
        <v>1</v>
      </c>
      <c r="AL92" s="147">
        <v>4</v>
      </c>
      <c r="AM92" s="828">
        <v>0</v>
      </c>
      <c r="AN92" s="147" t="b">
        <v>0</v>
      </c>
      <c r="AO92" s="147" t="b">
        <v>0</v>
      </c>
    </row>
    <row r="93" spans="1:41" x14ac:dyDescent="0.35">
      <c r="A93" s="620">
        <v>92</v>
      </c>
      <c r="B93" s="617">
        <v>2</v>
      </c>
      <c r="C93" s="147">
        <v>1</v>
      </c>
      <c r="D93" s="147">
        <v>1</v>
      </c>
      <c r="E93" s="147">
        <v>6</v>
      </c>
      <c r="F93" s="147">
        <v>3</v>
      </c>
      <c r="G93" s="147">
        <v>7</v>
      </c>
      <c r="H93" s="147">
        <v>1</v>
      </c>
      <c r="I93" s="147">
        <v>1</v>
      </c>
      <c r="J93" s="147">
        <v>1</v>
      </c>
      <c r="K93" s="147">
        <v>1</v>
      </c>
      <c r="L93" s="147">
        <v>2</v>
      </c>
      <c r="M93" s="147">
        <v>3</v>
      </c>
      <c r="N93" s="147">
        <v>1</v>
      </c>
      <c r="O93" s="147">
        <v>1</v>
      </c>
      <c r="P93" s="147">
        <v>1</v>
      </c>
      <c r="Q93" s="147">
        <v>1</v>
      </c>
      <c r="R93" s="147">
        <v>1</v>
      </c>
      <c r="S93" s="147">
        <v>8</v>
      </c>
      <c r="T93" s="147">
        <v>1</v>
      </c>
      <c r="U93" s="147">
        <v>1</v>
      </c>
      <c r="V93" s="147">
        <v>1</v>
      </c>
      <c r="W93" s="147">
        <v>1</v>
      </c>
      <c r="X93" s="147">
        <v>1</v>
      </c>
      <c r="Y93" s="147">
        <v>1</v>
      </c>
      <c r="Z93" s="147">
        <v>1</v>
      </c>
      <c r="AA93" s="147">
        <v>1</v>
      </c>
      <c r="AB93" s="147">
        <v>5</v>
      </c>
      <c r="AC93" s="147">
        <v>1</v>
      </c>
      <c r="AD93" s="1466">
        <v>5</v>
      </c>
      <c r="AE93" s="1466">
        <v>1</v>
      </c>
      <c r="AF93" s="147">
        <v>1</v>
      </c>
      <c r="AG93" s="147">
        <v>1</v>
      </c>
      <c r="AH93" s="147">
        <v>1</v>
      </c>
      <c r="AI93" s="147">
        <v>1</v>
      </c>
      <c r="AJ93" s="147">
        <v>1</v>
      </c>
      <c r="AK93" s="147">
        <v>1</v>
      </c>
      <c r="AL93" s="147">
        <v>5</v>
      </c>
      <c r="AM93" s="828">
        <v>650.29</v>
      </c>
      <c r="AN93" s="147" t="b">
        <v>0</v>
      </c>
      <c r="AO93" s="147" t="b">
        <v>0</v>
      </c>
    </row>
    <row r="94" spans="1:41" x14ac:dyDescent="0.35">
      <c r="A94" s="620">
        <v>93</v>
      </c>
      <c r="B94" s="617">
        <v>2</v>
      </c>
      <c r="C94" s="147">
        <v>1</v>
      </c>
      <c r="D94" s="147">
        <v>9</v>
      </c>
      <c r="E94" s="147">
        <v>5</v>
      </c>
      <c r="F94" s="147">
        <v>1</v>
      </c>
      <c r="G94" s="147">
        <v>1</v>
      </c>
      <c r="H94" s="147">
        <v>1</v>
      </c>
      <c r="I94" s="147">
        <v>1</v>
      </c>
      <c r="J94" s="147">
        <v>1</v>
      </c>
      <c r="K94" s="147">
        <v>1</v>
      </c>
      <c r="L94" s="147">
        <v>2</v>
      </c>
      <c r="M94" s="147">
        <v>2</v>
      </c>
      <c r="N94" s="147">
        <v>4</v>
      </c>
      <c r="O94" s="147">
        <v>1</v>
      </c>
      <c r="P94" s="147">
        <v>1</v>
      </c>
      <c r="Q94" s="147">
        <v>1</v>
      </c>
      <c r="R94" s="147">
        <v>1</v>
      </c>
      <c r="S94" s="147">
        <v>1</v>
      </c>
      <c r="T94" s="147">
        <v>1</v>
      </c>
      <c r="U94" s="147">
        <v>1</v>
      </c>
      <c r="V94" s="147">
        <v>1</v>
      </c>
      <c r="W94" s="147">
        <v>1</v>
      </c>
      <c r="X94" s="147">
        <v>1</v>
      </c>
      <c r="Y94" s="147">
        <v>1</v>
      </c>
      <c r="Z94" s="147">
        <v>1</v>
      </c>
      <c r="AA94" s="147">
        <v>1</v>
      </c>
      <c r="AB94" s="147">
        <v>6</v>
      </c>
      <c r="AC94" s="147">
        <v>1</v>
      </c>
      <c r="AD94" s="1466">
        <v>5</v>
      </c>
      <c r="AE94" s="1466">
        <v>1</v>
      </c>
      <c r="AF94" s="147">
        <v>1</v>
      </c>
      <c r="AG94" s="147">
        <v>1</v>
      </c>
      <c r="AH94" s="147">
        <v>1</v>
      </c>
      <c r="AI94" s="147">
        <v>1</v>
      </c>
      <c r="AJ94" s="147">
        <v>1</v>
      </c>
      <c r="AK94" s="147">
        <v>1</v>
      </c>
      <c r="AL94" s="147">
        <v>4</v>
      </c>
      <c r="AM94" s="828">
        <v>0</v>
      </c>
      <c r="AN94" s="147" t="b">
        <v>0</v>
      </c>
      <c r="AO94" s="147" t="b">
        <v>1</v>
      </c>
    </row>
    <row r="95" spans="1:41" x14ac:dyDescent="0.35">
      <c r="A95" s="620">
        <v>94</v>
      </c>
      <c r="B95" s="617">
        <v>2</v>
      </c>
      <c r="C95" s="147">
        <v>7</v>
      </c>
      <c r="D95" s="147">
        <v>1</v>
      </c>
      <c r="E95" s="147">
        <v>1</v>
      </c>
      <c r="F95" s="147">
        <v>8</v>
      </c>
      <c r="G95" s="147">
        <v>6</v>
      </c>
      <c r="H95" s="147">
        <v>2</v>
      </c>
      <c r="I95" s="147">
        <v>1</v>
      </c>
      <c r="J95" s="147">
        <v>1</v>
      </c>
      <c r="K95" s="147">
        <v>1</v>
      </c>
      <c r="L95" s="147">
        <v>2</v>
      </c>
      <c r="M95" s="147">
        <v>1</v>
      </c>
      <c r="N95" s="147">
        <v>8</v>
      </c>
      <c r="O95" s="147">
        <v>1</v>
      </c>
      <c r="P95" s="147">
        <v>1</v>
      </c>
      <c r="Q95" s="147">
        <v>1</v>
      </c>
      <c r="R95" s="147">
        <v>1</v>
      </c>
      <c r="S95" s="147">
        <v>1</v>
      </c>
      <c r="T95" s="147">
        <v>1</v>
      </c>
      <c r="U95" s="147">
        <v>1</v>
      </c>
      <c r="V95" s="147">
        <v>1</v>
      </c>
      <c r="W95" s="147">
        <v>1</v>
      </c>
      <c r="X95" s="147">
        <v>1</v>
      </c>
      <c r="Y95" s="147">
        <v>1</v>
      </c>
      <c r="Z95" s="147">
        <v>1</v>
      </c>
      <c r="AA95" s="147">
        <v>1</v>
      </c>
      <c r="AB95" s="147">
        <v>1</v>
      </c>
      <c r="AC95" s="147">
        <v>4</v>
      </c>
      <c r="AD95" s="1466">
        <v>10</v>
      </c>
      <c r="AE95" s="1466">
        <v>1</v>
      </c>
      <c r="AF95" s="147">
        <v>1</v>
      </c>
      <c r="AG95" s="147">
        <v>1</v>
      </c>
      <c r="AH95" s="147">
        <v>1</v>
      </c>
      <c r="AI95" s="147">
        <v>1</v>
      </c>
      <c r="AJ95" s="147">
        <v>1</v>
      </c>
      <c r="AK95" s="147">
        <v>1</v>
      </c>
      <c r="AL95" s="147">
        <v>5</v>
      </c>
      <c r="AM95" s="828">
        <v>0</v>
      </c>
      <c r="AN95" s="147" t="b">
        <v>0</v>
      </c>
      <c r="AO95" s="147" t="b">
        <v>0</v>
      </c>
    </row>
    <row r="96" spans="1:41" x14ac:dyDescent="0.35">
      <c r="A96" s="620">
        <v>95</v>
      </c>
      <c r="B96" s="617">
        <v>2</v>
      </c>
      <c r="C96" s="147">
        <v>12</v>
      </c>
      <c r="D96" s="147">
        <v>1</v>
      </c>
      <c r="E96" s="147">
        <v>1</v>
      </c>
      <c r="F96" s="147">
        <v>1</v>
      </c>
      <c r="G96" s="147">
        <v>3</v>
      </c>
      <c r="H96" s="147">
        <v>1</v>
      </c>
      <c r="I96" s="147">
        <v>1</v>
      </c>
      <c r="J96" s="147">
        <v>1</v>
      </c>
      <c r="K96" s="147">
        <v>1</v>
      </c>
      <c r="L96" s="147">
        <v>2</v>
      </c>
      <c r="M96" s="147">
        <v>1</v>
      </c>
      <c r="N96" s="147">
        <v>1</v>
      </c>
      <c r="O96" s="147">
        <v>1</v>
      </c>
      <c r="P96" s="147">
        <v>1</v>
      </c>
      <c r="Q96" s="147">
        <v>1</v>
      </c>
      <c r="R96" s="147">
        <v>1</v>
      </c>
      <c r="S96" s="147">
        <v>1</v>
      </c>
      <c r="T96" s="147">
        <v>1</v>
      </c>
      <c r="U96" s="147">
        <v>1</v>
      </c>
      <c r="V96" s="147">
        <v>1</v>
      </c>
      <c r="W96" s="147">
        <v>1</v>
      </c>
      <c r="X96" s="147">
        <v>1</v>
      </c>
      <c r="Y96" s="147">
        <v>1</v>
      </c>
      <c r="Z96" s="147">
        <v>1</v>
      </c>
      <c r="AA96" s="147">
        <v>1</v>
      </c>
      <c r="AB96" s="147">
        <v>1</v>
      </c>
      <c r="AC96" s="147">
        <v>5</v>
      </c>
      <c r="AD96" s="1466">
        <v>7</v>
      </c>
      <c r="AE96" s="1466">
        <v>1</v>
      </c>
      <c r="AF96" s="147">
        <v>4</v>
      </c>
      <c r="AG96" s="147">
        <v>1</v>
      </c>
      <c r="AH96" s="147">
        <v>1</v>
      </c>
      <c r="AI96" s="147">
        <v>1</v>
      </c>
      <c r="AJ96" s="147">
        <v>1</v>
      </c>
      <c r="AK96" s="147">
        <v>1</v>
      </c>
      <c r="AL96" s="147">
        <v>5</v>
      </c>
      <c r="AM96" s="828">
        <v>0</v>
      </c>
      <c r="AN96" s="147" t="b">
        <v>0</v>
      </c>
      <c r="AO96" s="147" t="b">
        <v>0</v>
      </c>
    </row>
    <row r="97" spans="1:41" x14ac:dyDescent="0.35">
      <c r="A97" s="620">
        <v>96</v>
      </c>
      <c r="B97" s="617">
        <v>2</v>
      </c>
      <c r="C97" s="147">
        <v>12</v>
      </c>
      <c r="D97" s="147">
        <v>1</v>
      </c>
      <c r="E97" s="147">
        <v>1</v>
      </c>
      <c r="F97" s="147">
        <v>1</v>
      </c>
      <c r="G97" s="147">
        <v>4</v>
      </c>
      <c r="H97" s="147">
        <v>1</v>
      </c>
      <c r="I97" s="147">
        <v>1</v>
      </c>
      <c r="J97" s="147">
        <v>1</v>
      </c>
      <c r="K97" s="147">
        <v>1</v>
      </c>
      <c r="L97" s="147">
        <v>2</v>
      </c>
      <c r="M97" s="147">
        <v>1</v>
      </c>
      <c r="N97" s="147">
        <v>3</v>
      </c>
      <c r="O97" s="147">
        <v>5</v>
      </c>
      <c r="P97" s="147">
        <v>1</v>
      </c>
      <c r="Q97" s="147">
        <v>1</v>
      </c>
      <c r="R97" s="147">
        <v>1</v>
      </c>
      <c r="S97" s="147">
        <v>7</v>
      </c>
      <c r="T97" s="147">
        <v>1</v>
      </c>
      <c r="U97" s="147">
        <v>1</v>
      </c>
      <c r="V97" s="147">
        <v>1</v>
      </c>
      <c r="W97" s="147">
        <v>1</v>
      </c>
      <c r="X97" s="147">
        <v>1</v>
      </c>
      <c r="Y97" s="147">
        <v>1</v>
      </c>
      <c r="Z97" s="147">
        <v>1</v>
      </c>
      <c r="AA97" s="147">
        <v>1</v>
      </c>
      <c r="AB97" s="147">
        <v>1</v>
      </c>
      <c r="AC97" s="147">
        <v>5</v>
      </c>
      <c r="AD97" s="1466">
        <v>7</v>
      </c>
      <c r="AE97" s="1466">
        <v>1</v>
      </c>
      <c r="AF97" s="147">
        <v>4</v>
      </c>
      <c r="AG97" s="147">
        <v>1</v>
      </c>
      <c r="AH97" s="147">
        <v>1</v>
      </c>
      <c r="AI97" s="147">
        <v>4</v>
      </c>
      <c r="AJ97" s="147">
        <v>1</v>
      </c>
      <c r="AK97" s="147">
        <v>1</v>
      </c>
      <c r="AL97" s="147">
        <v>5</v>
      </c>
      <c r="AM97" s="828">
        <v>0</v>
      </c>
      <c r="AN97" s="147" t="b">
        <v>0</v>
      </c>
      <c r="AO97" s="147" t="b">
        <v>0</v>
      </c>
    </row>
    <row r="98" spans="1:41" x14ac:dyDescent="0.35">
      <c r="A98" s="620">
        <v>97</v>
      </c>
      <c r="B98" s="617">
        <v>2</v>
      </c>
      <c r="C98" s="147">
        <v>8</v>
      </c>
      <c r="D98" s="147">
        <v>1</v>
      </c>
      <c r="E98" s="147">
        <v>1</v>
      </c>
      <c r="F98" s="147">
        <v>1</v>
      </c>
      <c r="G98" s="147">
        <v>1</v>
      </c>
      <c r="H98" s="147">
        <v>1</v>
      </c>
      <c r="I98" s="147">
        <v>6</v>
      </c>
      <c r="J98" s="147">
        <v>1</v>
      </c>
      <c r="K98" s="147">
        <v>1</v>
      </c>
      <c r="L98" s="147">
        <v>2</v>
      </c>
      <c r="M98" s="147">
        <v>1</v>
      </c>
      <c r="N98" s="147">
        <v>1</v>
      </c>
      <c r="O98" s="147">
        <v>1</v>
      </c>
      <c r="P98" s="147">
        <v>1</v>
      </c>
      <c r="Q98" s="147">
        <v>1</v>
      </c>
      <c r="R98" s="147">
        <v>1</v>
      </c>
      <c r="S98" s="147">
        <v>1</v>
      </c>
      <c r="T98" s="147">
        <v>1</v>
      </c>
      <c r="U98" s="147">
        <v>1</v>
      </c>
      <c r="V98" s="147">
        <v>4</v>
      </c>
      <c r="W98" s="147">
        <v>6</v>
      </c>
      <c r="X98" s="147">
        <v>1</v>
      </c>
      <c r="Y98" s="147">
        <v>1</v>
      </c>
      <c r="Z98" s="147">
        <v>1</v>
      </c>
      <c r="AA98" s="147">
        <v>1</v>
      </c>
      <c r="AB98" s="147">
        <v>1</v>
      </c>
      <c r="AC98" s="147">
        <v>1</v>
      </c>
      <c r="AD98" s="1466">
        <v>1</v>
      </c>
      <c r="AE98" s="1466">
        <v>1</v>
      </c>
      <c r="AF98" s="147">
        <v>1</v>
      </c>
      <c r="AG98" s="147">
        <v>1</v>
      </c>
      <c r="AH98" s="147">
        <v>1</v>
      </c>
      <c r="AI98" s="147">
        <v>1</v>
      </c>
      <c r="AJ98" s="147">
        <v>1</v>
      </c>
      <c r="AK98" s="147">
        <v>3</v>
      </c>
      <c r="AL98" s="147">
        <v>5</v>
      </c>
      <c r="AM98" s="828">
        <v>0</v>
      </c>
      <c r="AN98" s="147" t="b">
        <v>0</v>
      </c>
      <c r="AO98" s="147" t="b">
        <v>0</v>
      </c>
    </row>
    <row r="99" spans="1:41" x14ac:dyDescent="0.35">
      <c r="A99" s="620">
        <v>98</v>
      </c>
      <c r="B99" s="617">
        <v>2</v>
      </c>
      <c r="C99" s="147">
        <v>1</v>
      </c>
      <c r="D99" s="147">
        <v>1</v>
      </c>
      <c r="E99" s="147">
        <v>1</v>
      </c>
      <c r="F99" s="147">
        <v>1</v>
      </c>
      <c r="G99" s="147">
        <v>8</v>
      </c>
      <c r="H99" s="147">
        <v>1</v>
      </c>
      <c r="I99" s="147">
        <v>1</v>
      </c>
      <c r="J99" s="147">
        <v>1</v>
      </c>
      <c r="K99" s="147">
        <v>1</v>
      </c>
      <c r="L99" s="147">
        <v>2</v>
      </c>
      <c r="M99" s="147">
        <v>1</v>
      </c>
      <c r="N99" s="147">
        <v>5</v>
      </c>
      <c r="O99" s="147">
        <v>1</v>
      </c>
      <c r="P99" s="147">
        <v>1</v>
      </c>
      <c r="Q99" s="147">
        <v>1</v>
      </c>
      <c r="R99" s="147">
        <v>1</v>
      </c>
      <c r="S99" s="147">
        <v>4</v>
      </c>
      <c r="T99" s="147">
        <v>1</v>
      </c>
      <c r="U99" s="147">
        <v>1</v>
      </c>
      <c r="V99" s="147">
        <v>1</v>
      </c>
      <c r="W99" s="147">
        <v>1</v>
      </c>
      <c r="X99" s="147">
        <v>1</v>
      </c>
      <c r="Y99" s="147">
        <v>1</v>
      </c>
      <c r="Z99" s="147">
        <v>7</v>
      </c>
      <c r="AA99" s="147">
        <v>1</v>
      </c>
      <c r="AB99" s="147">
        <v>1</v>
      </c>
      <c r="AC99" s="147">
        <v>1</v>
      </c>
      <c r="AD99" s="1466">
        <v>5</v>
      </c>
      <c r="AE99" s="1466">
        <v>1</v>
      </c>
      <c r="AF99" s="147">
        <v>6</v>
      </c>
      <c r="AG99" s="147">
        <v>1</v>
      </c>
      <c r="AH99" s="147">
        <v>1</v>
      </c>
      <c r="AI99" s="147">
        <v>3</v>
      </c>
      <c r="AJ99" s="147">
        <v>1</v>
      </c>
      <c r="AK99" s="147">
        <v>1</v>
      </c>
      <c r="AL99" s="147">
        <v>7</v>
      </c>
      <c r="AM99" s="828">
        <v>0</v>
      </c>
      <c r="AN99" s="147" t="b">
        <v>0</v>
      </c>
      <c r="AO99" s="147" t="b">
        <v>0</v>
      </c>
    </row>
    <row r="100" spans="1:41" x14ac:dyDescent="0.35">
      <c r="A100" s="620">
        <v>99</v>
      </c>
      <c r="B100" s="617">
        <v>2</v>
      </c>
      <c r="C100" s="147">
        <v>1</v>
      </c>
      <c r="D100" s="147">
        <v>1</v>
      </c>
      <c r="E100" s="147">
        <v>1</v>
      </c>
      <c r="F100" s="147">
        <v>1</v>
      </c>
      <c r="G100" s="147">
        <v>3</v>
      </c>
      <c r="H100" s="147">
        <v>1</v>
      </c>
      <c r="I100" s="147">
        <v>1</v>
      </c>
      <c r="J100" s="147">
        <v>1</v>
      </c>
      <c r="K100" s="147">
        <v>1</v>
      </c>
      <c r="L100" s="147">
        <v>2</v>
      </c>
      <c r="M100" s="147">
        <v>1</v>
      </c>
      <c r="N100" s="147">
        <v>6</v>
      </c>
      <c r="O100" s="147">
        <v>1</v>
      </c>
      <c r="P100" s="147">
        <v>1</v>
      </c>
      <c r="Q100" s="147">
        <v>1</v>
      </c>
      <c r="R100" s="147">
        <v>1</v>
      </c>
      <c r="S100" s="147">
        <v>1</v>
      </c>
      <c r="T100" s="147">
        <v>1</v>
      </c>
      <c r="U100" s="147">
        <v>1</v>
      </c>
      <c r="V100" s="147">
        <v>4</v>
      </c>
      <c r="W100" s="147">
        <v>1</v>
      </c>
      <c r="X100" s="147">
        <v>1</v>
      </c>
      <c r="Y100" s="147">
        <v>5</v>
      </c>
      <c r="Z100" s="147">
        <v>1</v>
      </c>
      <c r="AA100" s="147">
        <v>1</v>
      </c>
      <c r="AB100" s="147">
        <v>2</v>
      </c>
      <c r="AC100" s="147">
        <v>1</v>
      </c>
      <c r="AD100" s="1466">
        <v>5</v>
      </c>
      <c r="AE100" s="1466">
        <v>1</v>
      </c>
      <c r="AF100" s="147">
        <v>1</v>
      </c>
      <c r="AG100" s="147">
        <v>1</v>
      </c>
      <c r="AH100" s="147">
        <v>1</v>
      </c>
      <c r="AI100" s="147">
        <v>1</v>
      </c>
      <c r="AJ100" s="147">
        <v>1</v>
      </c>
      <c r="AK100" s="147">
        <v>1</v>
      </c>
      <c r="AL100" s="147">
        <v>4</v>
      </c>
      <c r="AM100" s="828">
        <v>0</v>
      </c>
      <c r="AN100" s="147" t="b">
        <v>0</v>
      </c>
      <c r="AO100" s="147" t="b">
        <v>0</v>
      </c>
    </row>
    <row r="101" spans="1:41" x14ac:dyDescent="0.35">
      <c r="A101" s="620">
        <v>100</v>
      </c>
      <c r="B101" s="617">
        <v>2</v>
      </c>
      <c r="C101" s="147">
        <v>4</v>
      </c>
      <c r="D101" s="147">
        <v>5</v>
      </c>
      <c r="E101" s="147">
        <v>1</v>
      </c>
      <c r="F101" s="147">
        <v>1</v>
      </c>
      <c r="G101" s="147">
        <v>1</v>
      </c>
      <c r="H101" s="147">
        <v>1</v>
      </c>
      <c r="I101" s="147">
        <v>1</v>
      </c>
      <c r="J101" s="147">
        <v>1</v>
      </c>
      <c r="K101" s="147">
        <v>1</v>
      </c>
      <c r="L101" s="147">
        <v>2</v>
      </c>
      <c r="M101" s="147">
        <v>1</v>
      </c>
      <c r="N101" s="147">
        <v>4</v>
      </c>
      <c r="O101" s="147">
        <v>1</v>
      </c>
      <c r="P101" s="147">
        <v>1</v>
      </c>
      <c r="Q101" s="147">
        <v>1</v>
      </c>
      <c r="R101" s="147">
        <v>1</v>
      </c>
      <c r="S101" s="147">
        <v>1</v>
      </c>
      <c r="T101" s="147">
        <v>1</v>
      </c>
      <c r="U101" s="147">
        <v>1</v>
      </c>
      <c r="V101" s="147">
        <v>6</v>
      </c>
      <c r="W101" s="147">
        <v>1</v>
      </c>
      <c r="X101" s="147">
        <v>1</v>
      </c>
      <c r="Y101" s="147">
        <v>1</v>
      </c>
      <c r="Z101" s="147">
        <v>1</v>
      </c>
      <c r="AA101" s="147">
        <v>1</v>
      </c>
      <c r="AB101" s="147">
        <v>1</v>
      </c>
      <c r="AC101" s="147">
        <v>1</v>
      </c>
      <c r="AD101" s="1466">
        <v>1</v>
      </c>
      <c r="AE101" s="1466">
        <v>1</v>
      </c>
      <c r="AF101" s="147">
        <v>5</v>
      </c>
      <c r="AG101" s="147">
        <v>1</v>
      </c>
      <c r="AH101" s="147">
        <v>1</v>
      </c>
      <c r="AI101" s="147">
        <v>1</v>
      </c>
      <c r="AJ101" s="147">
        <v>1</v>
      </c>
      <c r="AK101" s="147">
        <v>1</v>
      </c>
      <c r="AL101" s="147">
        <v>4</v>
      </c>
      <c r="AM101" s="828">
        <v>0</v>
      </c>
      <c r="AN101" s="147" t="b">
        <v>0</v>
      </c>
      <c r="AO101" s="147" t="b">
        <v>0</v>
      </c>
    </row>
    <row r="102" spans="1:41" x14ac:dyDescent="0.35">
      <c r="A102" s="620">
        <v>101</v>
      </c>
      <c r="B102" s="617">
        <v>2</v>
      </c>
      <c r="C102" s="147">
        <v>3</v>
      </c>
      <c r="D102" s="147">
        <v>1</v>
      </c>
      <c r="E102" s="147">
        <v>1</v>
      </c>
      <c r="F102" s="147">
        <v>1</v>
      </c>
      <c r="G102" s="147">
        <v>1</v>
      </c>
      <c r="H102" s="147">
        <v>1</v>
      </c>
      <c r="I102" s="147">
        <v>1</v>
      </c>
      <c r="J102" s="147">
        <v>1</v>
      </c>
      <c r="K102" s="147">
        <v>1</v>
      </c>
      <c r="L102" s="147">
        <v>2</v>
      </c>
      <c r="M102" s="147">
        <v>1</v>
      </c>
      <c r="N102" s="147">
        <v>3</v>
      </c>
      <c r="O102" s="147">
        <v>1</v>
      </c>
      <c r="P102" s="147">
        <v>1</v>
      </c>
      <c r="Q102" s="147">
        <v>4</v>
      </c>
      <c r="R102" s="147">
        <v>1</v>
      </c>
      <c r="S102" s="147">
        <v>1</v>
      </c>
      <c r="T102" s="147">
        <v>1</v>
      </c>
      <c r="U102" s="147">
        <v>1</v>
      </c>
      <c r="V102" s="147">
        <v>2</v>
      </c>
      <c r="W102" s="147">
        <v>1</v>
      </c>
      <c r="X102" s="147">
        <v>1</v>
      </c>
      <c r="Y102" s="147">
        <v>1</v>
      </c>
      <c r="Z102" s="147">
        <v>1</v>
      </c>
      <c r="AA102" s="147">
        <v>1</v>
      </c>
      <c r="AB102" s="147">
        <v>1</v>
      </c>
      <c r="AC102" s="147">
        <v>1</v>
      </c>
      <c r="AD102" s="1466">
        <v>1</v>
      </c>
      <c r="AE102" s="1466">
        <v>1</v>
      </c>
      <c r="AF102" s="147">
        <v>1</v>
      </c>
      <c r="AG102" s="147">
        <v>1</v>
      </c>
      <c r="AH102" s="147">
        <v>1</v>
      </c>
      <c r="AI102" s="147">
        <v>1</v>
      </c>
      <c r="AJ102" s="147">
        <v>1</v>
      </c>
      <c r="AK102" s="147">
        <v>1</v>
      </c>
      <c r="AL102" s="147">
        <v>5</v>
      </c>
      <c r="AM102" s="828">
        <v>0</v>
      </c>
      <c r="AN102" s="147" t="b">
        <v>0</v>
      </c>
      <c r="AO102" s="147" t="b">
        <v>0</v>
      </c>
    </row>
    <row r="103" spans="1:41" x14ac:dyDescent="0.35">
      <c r="A103" s="620">
        <v>102</v>
      </c>
      <c r="B103" s="617">
        <v>2</v>
      </c>
      <c r="C103" s="147">
        <v>2</v>
      </c>
      <c r="D103" s="147">
        <v>1</v>
      </c>
      <c r="E103" s="147">
        <v>1</v>
      </c>
      <c r="F103" s="147">
        <v>3</v>
      </c>
      <c r="G103" s="147">
        <v>1</v>
      </c>
      <c r="H103" s="147">
        <v>1</v>
      </c>
      <c r="I103" s="147">
        <v>1</v>
      </c>
      <c r="J103" s="147">
        <v>1</v>
      </c>
      <c r="K103" s="147">
        <v>1</v>
      </c>
      <c r="L103" s="147">
        <v>2</v>
      </c>
      <c r="M103" s="147">
        <v>1</v>
      </c>
      <c r="N103" s="147">
        <v>5</v>
      </c>
      <c r="O103" s="147">
        <v>1</v>
      </c>
      <c r="P103" s="147">
        <v>1</v>
      </c>
      <c r="Q103" s="147">
        <v>1</v>
      </c>
      <c r="R103" s="147">
        <v>1</v>
      </c>
      <c r="S103" s="147">
        <v>1</v>
      </c>
      <c r="T103" s="147">
        <v>1</v>
      </c>
      <c r="U103" s="147">
        <v>1</v>
      </c>
      <c r="V103" s="147">
        <v>1</v>
      </c>
      <c r="W103" s="147">
        <v>1</v>
      </c>
      <c r="X103" s="147">
        <v>1</v>
      </c>
      <c r="Y103" s="147">
        <v>1</v>
      </c>
      <c r="Z103" s="147">
        <v>1</v>
      </c>
      <c r="AA103" s="147">
        <v>1</v>
      </c>
      <c r="AB103" s="147">
        <v>4</v>
      </c>
      <c r="AC103" s="147">
        <v>1</v>
      </c>
      <c r="AD103" s="1466">
        <v>5</v>
      </c>
      <c r="AE103" s="1466">
        <v>1</v>
      </c>
      <c r="AF103" s="147">
        <v>1</v>
      </c>
      <c r="AG103" s="147">
        <v>1</v>
      </c>
      <c r="AH103" s="147">
        <v>1</v>
      </c>
      <c r="AI103" s="147">
        <v>3</v>
      </c>
      <c r="AJ103" s="147">
        <v>1</v>
      </c>
      <c r="AK103" s="147">
        <v>1</v>
      </c>
      <c r="AL103" s="147">
        <v>5</v>
      </c>
      <c r="AM103" s="828">
        <v>0</v>
      </c>
      <c r="AN103" s="147" t="b">
        <v>0</v>
      </c>
      <c r="AO103" s="147" t="b">
        <v>0</v>
      </c>
    </row>
    <row r="104" spans="1:41" x14ac:dyDescent="0.35">
      <c r="A104" s="620">
        <v>103</v>
      </c>
      <c r="B104" s="617">
        <v>2</v>
      </c>
      <c r="C104" s="147">
        <v>1</v>
      </c>
      <c r="D104" s="147">
        <v>3</v>
      </c>
      <c r="E104" s="147">
        <v>1</v>
      </c>
      <c r="F104" s="147">
        <v>1</v>
      </c>
      <c r="G104" s="147">
        <v>1</v>
      </c>
      <c r="H104" s="147">
        <v>1</v>
      </c>
      <c r="I104" s="147">
        <v>1</v>
      </c>
      <c r="J104" s="147">
        <v>1</v>
      </c>
      <c r="K104" s="147">
        <v>1</v>
      </c>
      <c r="L104" s="147">
        <v>2</v>
      </c>
      <c r="M104" s="147">
        <v>3</v>
      </c>
      <c r="N104" s="147">
        <v>1</v>
      </c>
      <c r="O104" s="147">
        <v>4</v>
      </c>
      <c r="P104" s="147">
        <v>1</v>
      </c>
      <c r="Q104" s="147">
        <v>1</v>
      </c>
      <c r="R104" s="147">
        <v>1</v>
      </c>
      <c r="S104" s="147">
        <v>5</v>
      </c>
      <c r="T104" s="147">
        <v>1</v>
      </c>
      <c r="U104" s="147">
        <v>1</v>
      </c>
      <c r="V104" s="147">
        <v>1</v>
      </c>
      <c r="W104" s="147">
        <v>1</v>
      </c>
      <c r="X104" s="147">
        <v>1</v>
      </c>
      <c r="Y104" s="147">
        <v>1</v>
      </c>
      <c r="Z104" s="147">
        <v>1</v>
      </c>
      <c r="AA104" s="147">
        <v>1</v>
      </c>
      <c r="AB104" s="147">
        <v>1</v>
      </c>
      <c r="AC104" s="147">
        <v>10</v>
      </c>
      <c r="AD104" s="1466">
        <v>1</v>
      </c>
      <c r="AE104" s="1466">
        <v>1</v>
      </c>
      <c r="AF104" s="147">
        <v>5</v>
      </c>
      <c r="AG104" s="147">
        <v>1</v>
      </c>
      <c r="AH104" s="147">
        <v>2</v>
      </c>
      <c r="AI104" s="147">
        <v>1</v>
      </c>
      <c r="AJ104" s="147">
        <v>1</v>
      </c>
      <c r="AK104" s="147">
        <v>1</v>
      </c>
      <c r="AL104" s="147">
        <v>3</v>
      </c>
      <c r="AM104" s="828">
        <v>0</v>
      </c>
      <c r="AN104" s="147" t="b">
        <v>1</v>
      </c>
      <c r="AO104" s="147" t="b">
        <v>0</v>
      </c>
    </row>
    <row r="105" spans="1:41" x14ac:dyDescent="0.35">
      <c r="A105" s="620">
        <v>104</v>
      </c>
      <c r="B105" s="617">
        <v>2</v>
      </c>
      <c r="C105" s="147">
        <v>1</v>
      </c>
      <c r="D105" s="147">
        <v>3</v>
      </c>
      <c r="E105" s="147">
        <v>1</v>
      </c>
      <c r="F105" s="147">
        <v>1</v>
      </c>
      <c r="G105" s="147">
        <v>1</v>
      </c>
      <c r="H105" s="147">
        <v>1</v>
      </c>
      <c r="I105" s="147">
        <v>1</v>
      </c>
      <c r="J105" s="147">
        <v>1</v>
      </c>
      <c r="K105" s="147">
        <v>1</v>
      </c>
      <c r="L105" s="147">
        <v>2</v>
      </c>
      <c r="M105" s="147">
        <v>1</v>
      </c>
      <c r="N105" s="147">
        <v>1</v>
      </c>
      <c r="O105" s="147">
        <v>4</v>
      </c>
      <c r="P105" s="147">
        <v>1</v>
      </c>
      <c r="Q105" s="147">
        <v>1</v>
      </c>
      <c r="R105" s="147">
        <v>1</v>
      </c>
      <c r="S105" s="147">
        <v>5</v>
      </c>
      <c r="T105" s="147">
        <v>1</v>
      </c>
      <c r="U105" s="147">
        <v>1</v>
      </c>
      <c r="V105" s="147">
        <v>9</v>
      </c>
      <c r="W105" s="147">
        <v>1</v>
      </c>
      <c r="X105" s="147">
        <v>1</v>
      </c>
      <c r="Y105" s="147">
        <v>1</v>
      </c>
      <c r="Z105" s="147">
        <v>1</v>
      </c>
      <c r="AA105" s="147">
        <v>1</v>
      </c>
      <c r="AB105" s="147">
        <v>1</v>
      </c>
      <c r="AC105" s="147">
        <v>1</v>
      </c>
      <c r="AD105" s="1466">
        <v>1</v>
      </c>
      <c r="AE105" s="1466">
        <v>1</v>
      </c>
      <c r="AF105" s="147">
        <v>7</v>
      </c>
      <c r="AG105" s="147">
        <v>3</v>
      </c>
      <c r="AH105" s="147">
        <v>1</v>
      </c>
      <c r="AI105" s="147">
        <v>1</v>
      </c>
      <c r="AJ105" s="147">
        <v>1</v>
      </c>
      <c r="AK105" s="147">
        <v>1</v>
      </c>
      <c r="AL105" s="147">
        <v>3</v>
      </c>
      <c r="AM105" s="828">
        <v>0</v>
      </c>
      <c r="AN105" s="147" t="b">
        <v>1</v>
      </c>
      <c r="AO105" s="147" t="b">
        <v>0</v>
      </c>
    </row>
    <row r="106" spans="1:41" x14ac:dyDescent="0.35">
      <c r="A106" s="620">
        <v>105</v>
      </c>
      <c r="B106" s="617">
        <v>2</v>
      </c>
      <c r="C106" s="147">
        <v>1</v>
      </c>
      <c r="D106" s="147">
        <v>1</v>
      </c>
      <c r="E106" s="147">
        <v>1</v>
      </c>
      <c r="F106" s="147">
        <v>4</v>
      </c>
      <c r="G106" s="147">
        <v>3</v>
      </c>
      <c r="H106" s="147">
        <v>1</v>
      </c>
      <c r="I106" s="147">
        <v>14</v>
      </c>
      <c r="J106" s="147">
        <v>1</v>
      </c>
      <c r="K106" s="147">
        <v>1</v>
      </c>
      <c r="L106" s="147">
        <v>2</v>
      </c>
      <c r="M106" s="147">
        <v>1</v>
      </c>
      <c r="N106" s="147">
        <v>1</v>
      </c>
      <c r="O106" s="147">
        <v>1</v>
      </c>
      <c r="P106" s="147">
        <v>1</v>
      </c>
      <c r="Q106" s="147">
        <v>1</v>
      </c>
      <c r="R106" s="147">
        <v>1</v>
      </c>
      <c r="S106" s="147">
        <v>4</v>
      </c>
      <c r="T106" s="147">
        <v>1</v>
      </c>
      <c r="U106" s="147">
        <v>1</v>
      </c>
      <c r="V106" s="147">
        <v>1</v>
      </c>
      <c r="W106" s="147">
        <v>1</v>
      </c>
      <c r="X106" s="147">
        <v>1</v>
      </c>
      <c r="Y106" s="147">
        <v>1</v>
      </c>
      <c r="Z106" s="147">
        <v>7</v>
      </c>
      <c r="AA106" s="147">
        <v>1</v>
      </c>
      <c r="AB106" s="147">
        <v>1</v>
      </c>
      <c r="AC106" s="147">
        <v>4</v>
      </c>
      <c r="AD106" s="1466">
        <v>10</v>
      </c>
      <c r="AE106" s="1466">
        <v>1</v>
      </c>
      <c r="AF106" s="147">
        <v>1</v>
      </c>
      <c r="AG106" s="147">
        <v>1</v>
      </c>
      <c r="AH106" s="147">
        <v>4</v>
      </c>
      <c r="AI106" s="147">
        <v>5</v>
      </c>
      <c r="AJ106" s="147">
        <v>1</v>
      </c>
      <c r="AK106" s="147">
        <v>1</v>
      </c>
      <c r="AL106" s="147">
        <v>5</v>
      </c>
      <c r="AM106" s="828">
        <v>0</v>
      </c>
      <c r="AN106" s="147" t="b">
        <v>0</v>
      </c>
      <c r="AO106" s="147" t="b">
        <v>0</v>
      </c>
    </row>
    <row r="107" spans="1:41" x14ac:dyDescent="0.35">
      <c r="A107" s="620">
        <v>106</v>
      </c>
      <c r="B107" s="617">
        <v>2</v>
      </c>
      <c r="C107" s="147">
        <v>1</v>
      </c>
      <c r="D107" s="147">
        <v>1</v>
      </c>
      <c r="E107" s="147">
        <v>1</v>
      </c>
      <c r="F107" s="147">
        <v>1</v>
      </c>
      <c r="G107" s="147">
        <v>1</v>
      </c>
      <c r="H107" s="147">
        <v>1</v>
      </c>
      <c r="I107" s="147">
        <v>1</v>
      </c>
      <c r="J107" s="147">
        <v>1</v>
      </c>
      <c r="K107" s="147">
        <v>1</v>
      </c>
      <c r="L107" s="147">
        <v>2</v>
      </c>
      <c r="M107" s="147">
        <v>1</v>
      </c>
      <c r="N107" s="147">
        <v>1</v>
      </c>
      <c r="O107" s="147">
        <v>1</v>
      </c>
      <c r="P107" s="147">
        <v>1</v>
      </c>
      <c r="Q107" s="147">
        <v>1</v>
      </c>
      <c r="R107" s="147">
        <v>1</v>
      </c>
      <c r="S107" s="147">
        <v>1</v>
      </c>
      <c r="T107" s="147">
        <v>1</v>
      </c>
      <c r="U107" s="147">
        <v>1</v>
      </c>
      <c r="V107" s="147">
        <v>3</v>
      </c>
      <c r="W107" s="147">
        <v>1</v>
      </c>
      <c r="X107" s="147">
        <v>2</v>
      </c>
      <c r="Y107" s="147">
        <v>1</v>
      </c>
      <c r="Z107" s="147">
        <v>1</v>
      </c>
      <c r="AA107" s="147">
        <v>1</v>
      </c>
      <c r="AB107" s="147">
        <v>1</v>
      </c>
      <c r="AC107" s="147">
        <v>1</v>
      </c>
      <c r="AD107" s="1466">
        <v>1</v>
      </c>
      <c r="AE107" s="1466">
        <v>1</v>
      </c>
      <c r="AF107" s="147">
        <v>1</v>
      </c>
      <c r="AG107" s="147">
        <v>1</v>
      </c>
      <c r="AH107" s="147">
        <v>3</v>
      </c>
      <c r="AI107" s="147">
        <v>1</v>
      </c>
      <c r="AJ107" s="147">
        <v>1</v>
      </c>
      <c r="AK107" s="147">
        <v>6</v>
      </c>
      <c r="AL107" s="147">
        <v>4</v>
      </c>
      <c r="AM107" s="828">
        <v>0</v>
      </c>
      <c r="AN107" s="147" t="b">
        <v>0</v>
      </c>
      <c r="AO107" s="147" t="b">
        <v>0</v>
      </c>
    </row>
    <row r="108" spans="1:41" x14ac:dyDescent="0.35">
      <c r="A108" s="620">
        <v>107</v>
      </c>
      <c r="B108" s="617">
        <v>2</v>
      </c>
      <c r="C108" s="147">
        <v>4</v>
      </c>
      <c r="D108" s="147">
        <v>1</v>
      </c>
      <c r="E108" s="147">
        <v>1</v>
      </c>
      <c r="F108" s="147">
        <v>1</v>
      </c>
      <c r="G108" s="147">
        <v>1</v>
      </c>
      <c r="H108" s="147">
        <v>1</v>
      </c>
      <c r="I108" s="147">
        <v>1</v>
      </c>
      <c r="J108" s="147">
        <v>1</v>
      </c>
      <c r="K108" s="147">
        <v>1</v>
      </c>
      <c r="L108" s="147">
        <v>2</v>
      </c>
      <c r="M108" s="147">
        <v>1</v>
      </c>
      <c r="N108" s="147">
        <v>1</v>
      </c>
      <c r="O108" s="147">
        <v>1</v>
      </c>
      <c r="P108" s="147">
        <v>1</v>
      </c>
      <c r="Q108" s="147">
        <v>3</v>
      </c>
      <c r="R108" s="147">
        <v>1</v>
      </c>
      <c r="S108" s="147">
        <v>1</v>
      </c>
      <c r="T108" s="147">
        <v>1</v>
      </c>
      <c r="U108" s="147">
        <v>1</v>
      </c>
      <c r="V108" s="147">
        <v>7</v>
      </c>
      <c r="W108" s="147">
        <v>6</v>
      </c>
      <c r="X108" s="147">
        <v>1</v>
      </c>
      <c r="Y108" s="147">
        <v>1</v>
      </c>
      <c r="Z108" s="147">
        <v>1</v>
      </c>
      <c r="AA108" s="147">
        <v>1</v>
      </c>
      <c r="AB108" s="147">
        <v>1</v>
      </c>
      <c r="AC108" s="147">
        <v>1</v>
      </c>
      <c r="AD108" s="1466">
        <v>1</v>
      </c>
      <c r="AE108" s="1466">
        <v>1</v>
      </c>
      <c r="AF108" s="147">
        <v>7</v>
      </c>
      <c r="AG108" s="147">
        <v>1</v>
      </c>
      <c r="AH108" s="147">
        <v>1</v>
      </c>
      <c r="AI108" s="147">
        <v>1</v>
      </c>
      <c r="AJ108" s="147">
        <v>1</v>
      </c>
      <c r="AK108" s="147">
        <v>6</v>
      </c>
      <c r="AL108" s="147">
        <v>7</v>
      </c>
      <c r="AM108" s="828">
        <v>0</v>
      </c>
      <c r="AN108" s="147" t="b">
        <v>0</v>
      </c>
      <c r="AO108" s="147" t="b">
        <v>0</v>
      </c>
    </row>
    <row r="109" spans="1:41" x14ac:dyDescent="0.35">
      <c r="A109" s="620">
        <v>108</v>
      </c>
      <c r="B109" s="617">
        <v>2</v>
      </c>
      <c r="C109" s="147">
        <v>5</v>
      </c>
      <c r="D109" s="147">
        <v>1</v>
      </c>
      <c r="E109" s="147">
        <v>5</v>
      </c>
      <c r="F109" s="147">
        <v>1</v>
      </c>
      <c r="G109" s="147">
        <v>6</v>
      </c>
      <c r="H109" s="147">
        <v>1</v>
      </c>
      <c r="I109" s="147">
        <v>1</v>
      </c>
      <c r="J109" s="147">
        <v>1</v>
      </c>
      <c r="K109" s="147">
        <v>1</v>
      </c>
      <c r="L109" s="147">
        <v>2</v>
      </c>
      <c r="M109" s="147">
        <v>1</v>
      </c>
      <c r="N109" s="147">
        <v>1</v>
      </c>
      <c r="O109" s="147">
        <v>1</v>
      </c>
      <c r="P109" s="147">
        <v>1</v>
      </c>
      <c r="Q109" s="147">
        <v>1</v>
      </c>
      <c r="R109" s="147">
        <v>1</v>
      </c>
      <c r="S109" s="147">
        <v>1</v>
      </c>
      <c r="T109" s="147">
        <v>1</v>
      </c>
      <c r="U109" s="147">
        <v>1</v>
      </c>
      <c r="V109" s="147">
        <v>1</v>
      </c>
      <c r="W109" s="147">
        <v>1</v>
      </c>
      <c r="X109" s="147">
        <v>1</v>
      </c>
      <c r="Y109" s="147">
        <v>1</v>
      </c>
      <c r="Z109" s="147">
        <v>1</v>
      </c>
      <c r="AA109" s="147">
        <v>1</v>
      </c>
      <c r="AB109" s="147">
        <v>2</v>
      </c>
      <c r="AC109" s="147">
        <v>4</v>
      </c>
      <c r="AD109" s="1466">
        <v>10</v>
      </c>
      <c r="AE109" s="1466">
        <v>1</v>
      </c>
      <c r="AF109" s="147">
        <v>6</v>
      </c>
      <c r="AG109" s="147">
        <v>5</v>
      </c>
      <c r="AH109" s="147">
        <v>6</v>
      </c>
      <c r="AI109" s="147">
        <v>5</v>
      </c>
      <c r="AJ109" s="147">
        <v>1</v>
      </c>
      <c r="AK109" s="147">
        <v>1</v>
      </c>
      <c r="AL109" s="147">
        <v>5</v>
      </c>
      <c r="AM109" s="828">
        <v>0</v>
      </c>
      <c r="AN109" s="147" t="b">
        <v>0</v>
      </c>
      <c r="AO109" s="147" t="b">
        <v>0</v>
      </c>
    </row>
    <row r="110" spans="1:41" x14ac:dyDescent="0.35">
      <c r="A110" s="620">
        <v>109</v>
      </c>
      <c r="B110" s="617">
        <v>2</v>
      </c>
      <c r="C110" s="147">
        <v>1</v>
      </c>
      <c r="D110" s="147">
        <v>1</v>
      </c>
      <c r="E110" s="147">
        <v>1</v>
      </c>
      <c r="F110" s="147">
        <v>1</v>
      </c>
      <c r="G110" s="147">
        <v>1</v>
      </c>
      <c r="H110" s="147">
        <v>1</v>
      </c>
      <c r="I110" s="147">
        <v>1</v>
      </c>
      <c r="J110" s="147">
        <v>1</v>
      </c>
      <c r="K110" s="147">
        <v>1</v>
      </c>
      <c r="L110" s="147">
        <v>2</v>
      </c>
      <c r="M110" s="147">
        <v>1</v>
      </c>
      <c r="N110" s="147">
        <v>1</v>
      </c>
      <c r="O110" s="147">
        <v>1</v>
      </c>
      <c r="P110" s="147">
        <v>4</v>
      </c>
      <c r="Q110" s="147">
        <v>1</v>
      </c>
      <c r="R110" s="147">
        <v>1</v>
      </c>
      <c r="S110" s="147">
        <v>1</v>
      </c>
      <c r="T110" s="147">
        <v>1</v>
      </c>
      <c r="U110" s="147">
        <v>1</v>
      </c>
      <c r="V110" s="147">
        <v>1</v>
      </c>
      <c r="W110" s="147">
        <v>1</v>
      </c>
      <c r="X110" s="147">
        <v>1</v>
      </c>
      <c r="Y110" s="147">
        <v>5</v>
      </c>
      <c r="Z110" s="147">
        <v>1</v>
      </c>
      <c r="AA110" s="147">
        <v>1</v>
      </c>
      <c r="AB110" s="147">
        <v>1</v>
      </c>
      <c r="AC110" s="147">
        <v>1</v>
      </c>
      <c r="AD110" s="1466">
        <v>5</v>
      </c>
      <c r="AE110" s="1466">
        <v>1</v>
      </c>
      <c r="AF110" s="147">
        <v>1</v>
      </c>
      <c r="AG110" s="147">
        <v>1</v>
      </c>
      <c r="AH110" s="147">
        <v>1</v>
      </c>
      <c r="AI110" s="147">
        <v>1</v>
      </c>
      <c r="AJ110" s="147">
        <v>1</v>
      </c>
      <c r="AK110" s="147">
        <v>1</v>
      </c>
      <c r="AL110" s="147">
        <v>5</v>
      </c>
      <c r="AM110" s="828">
        <v>0</v>
      </c>
      <c r="AN110" s="147" t="b">
        <v>0</v>
      </c>
      <c r="AO110" s="147" t="b">
        <v>0</v>
      </c>
    </row>
    <row r="111" spans="1:41" x14ac:dyDescent="0.35">
      <c r="A111" s="620">
        <v>110</v>
      </c>
      <c r="B111" s="617">
        <v>2</v>
      </c>
      <c r="C111" s="147">
        <v>1</v>
      </c>
      <c r="D111" s="147">
        <v>4</v>
      </c>
      <c r="E111" s="147">
        <v>1</v>
      </c>
      <c r="F111" s="147">
        <v>1</v>
      </c>
      <c r="G111" s="147">
        <v>1</v>
      </c>
      <c r="H111" s="147">
        <v>1</v>
      </c>
      <c r="I111" s="147">
        <v>1</v>
      </c>
      <c r="J111" s="147">
        <v>1</v>
      </c>
      <c r="K111" s="147">
        <v>1</v>
      </c>
      <c r="L111" s="147">
        <v>2</v>
      </c>
      <c r="M111" s="147">
        <v>1</v>
      </c>
      <c r="N111" s="147">
        <v>1</v>
      </c>
      <c r="O111" s="147">
        <v>1</v>
      </c>
      <c r="P111" s="147">
        <v>1</v>
      </c>
      <c r="Q111" s="147">
        <v>1</v>
      </c>
      <c r="R111" s="147">
        <v>1</v>
      </c>
      <c r="S111" s="147">
        <v>1</v>
      </c>
      <c r="T111" s="147">
        <v>1</v>
      </c>
      <c r="U111" s="147">
        <v>1</v>
      </c>
      <c r="V111" s="147">
        <v>1</v>
      </c>
      <c r="W111" s="147">
        <v>1</v>
      </c>
      <c r="X111" s="147">
        <v>1</v>
      </c>
      <c r="Y111" s="147">
        <v>4</v>
      </c>
      <c r="Z111" s="147">
        <v>5</v>
      </c>
      <c r="AA111" s="147">
        <v>1</v>
      </c>
      <c r="AB111" s="147">
        <v>1</v>
      </c>
      <c r="AC111" s="147">
        <v>1</v>
      </c>
      <c r="AD111" s="1466">
        <v>5</v>
      </c>
      <c r="AE111" s="1466">
        <v>1</v>
      </c>
      <c r="AF111" s="147">
        <v>1</v>
      </c>
      <c r="AG111" s="147">
        <v>1</v>
      </c>
      <c r="AH111" s="147">
        <v>1</v>
      </c>
      <c r="AI111" s="147">
        <v>6</v>
      </c>
      <c r="AJ111" s="147">
        <v>1</v>
      </c>
      <c r="AK111" s="147">
        <v>1</v>
      </c>
      <c r="AL111" s="147">
        <v>5</v>
      </c>
      <c r="AM111" s="828">
        <v>0</v>
      </c>
      <c r="AN111" s="147" t="b">
        <v>0</v>
      </c>
      <c r="AO111" s="147" t="b">
        <v>0</v>
      </c>
    </row>
    <row r="112" spans="1:41" x14ac:dyDescent="0.35">
      <c r="A112" s="620">
        <v>111</v>
      </c>
      <c r="B112" s="617">
        <v>2</v>
      </c>
      <c r="C112" s="147">
        <v>3</v>
      </c>
      <c r="D112" s="147">
        <v>1</v>
      </c>
      <c r="E112" s="147">
        <v>1</v>
      </c>
      <c r="F112" s="147">
        <v>1</v>
      </c>
      <c r="G112" s="147">
        <v>1</v>
      </c>
      <c r="H112" s="147">
        <v>1</v>
      </c>
      <c r="I112" s="147">
        <v>1</v>
      </c>
      <c r="J112" s="147">
        <v>1</v>
      </c>
      <c r="K112" s="147">
        <v>1</v>
      </c>
      <c r="L112" s="147">
        <v>2</v>
      </c>
      <c r="M112" s="147">
        <v>1</v>
      </c>
      <c r="N112" s="147">
        <v>1</v>
      </c>
      <c r="O112" s="147">
        <v>1</v>
      </c>
      <c r="P112" s="147">
        <v>1</v>
      </c>
      <c r="Q112" s="147">
        <v>3</v>
      </c>
      <c r="R112" s="147">
        <v>1</v>
      </c>
      <c r="S112" s="147">
        <v>1</v>
      </c>
      <c r="T112" s="147">
        <v>1</v>
      </c>
      <c r="U112" s="147">
        <v>1</v>
      </c>
      <c r="V112" s="147">
        <v>5</v>
      </c>
      <c r="W112" s="147">
        <v>1</v>
      </c>
      <c r="X112" s="147">
        <v>1</v>
      </c>
      <c r="Y112" s="147">
        <v>1</v>
      </c>
      <c r="Z112" s="147">
        <v>1</v>
      </c>
      <c r="AA112" s="147">
        <v>2</v>
      </c>
      <c r="AB112" s="147">
        <v>1</v>
      </c>
      <c r="AC112" s="147">
        <v>1</v>
      </c>
      <c r="AD112" s="1466">
        <v>5</v>
      </c>
      <c r="AE112" s="1466">
        <v>1</v>
      </c>
      <c r="AF112" s="147">
        <v>1</v>
      </c>
      <c r="AG112" s="147">
        <v>1</v>
      </c>
      <c r="AH112" s="147">
        <v>1</v>
      </c>
      <c r="AI112" s="147">
        <v>1</v>
      </c>
      <c r="AJ112" s="147">
        <v>1</v>
      </c>
      <c r="AK112" s="147">
        <v>1</v>
      </c>
      <c r="AL112" s="147">
        <v>7</v>
      </c>
      <c r="AM112" s="828">
        <v>0</v>
      </c>
      <c r="AN112" s="147" t="b">
        <v>0</v>
      </c>
      <c r="AO112" s="147" t="b">
        <v>1</v>
      </c>
    </row>
    <row r="113" spans="1:41" x14ac:dyDescent="0.35">
      <c r="A113" s="620">
        <v>112</v>
      </c>
      <c r="B113" s="617">
        <v>2</v>
      </c>
      <c r="C113" s="147">
        <v>4</v>
      </c>
      <c r="D113" s="147">
        <v>1</v>
      </c>
      <c r="E113" s="147">
        <v>1</v>
      </c>
      <c r="F113" s="147">
        <v>1</v>
      </c>
      <c r="G113" s="147">
        <v>1</v>
      </c>
      <c r="H113" s="147">
        <v>1</v>
      </c>
      <c r="I113" s="147">
        <v>1</v>
      </c>
      <c r="J113" s="147">
        <v>1</v>
      </c>
      <c r="K113" s="147">
        <v>1</v>
      </c>
      <c r="L113" s="147">
        <v>2</v>
      </c>
      <c r="M113" s="147">
        <v>1</v>
      </c>
      <c r="N113" s="147">
        <v>1</v>
      </c>
      <c r="O113" s="147">
        <v>1</v>
      </c>
      <c r="P113" s="147">
        <v>1</v>
      </c>
      <c r="Q113" s="147">
        <v>1</v>
      </c>
      <c r="R113" s="147">
        <v>1</v>
      </c>
      <c r="S113" s="147">
        <v>1</v>
      </c>
      <c r="T113" s="147">
        <v>1</v>
      </c>
      <c r="U113" s="147">
        <v>1</v>
      </c>
      <c r="V113" s="147">
        <v>1</v>
      </c>
      <c r="W113" s="147">
        <v>1</v>
      </c>
      <c r="X113" s="147">
        <v>1</v>
      </c>
      <c r="Y113" s="147">
        <v>1</v>
      </c>
      <c r="Z113" s="147">
        <v>1</v>
      </c>
      <c r="AA113" s="147">
        <v>7</v>
      </c>
      <c r="AB113" s="147">
        <v>1</v>
      </c>
      <c r="AC113" s="147">
        <v>1</v>
      </c>
      <c r="AD113" s="1466">
        <v>5</v>
      </c>
      <c r="AE113" s="1466">
        <v>1</v>
      </c>
      <c r="AF113" s="147">
        <v>1</v>
      </c>
      <c r="AG113" s="147">
        <v>1</v>
      </c>
      <c r="AH113" s="147">
        <v>5</v>
      </c>
      <c r="AI113" s="147">
        <v>1</v>
      </c>
      <c r="AJ113" s="147">
        <v>1</v>
      </c>
      <c r="AK113" s="147">
        <v>1</v>
      </c>
      <c r="AL113" s="147">
        <v>4</v>
      </c>
      <c r="AM113" s="828">
        <v>0</v>
      </c>
      <c r="AN113" s="147" t="b">
        <v>0</v>
      </c>
      <c r="AO113" s="147" t="b">
        <v>0</v>
      </c>
    </row>
    <row r="114" spans="1:41" x14ac:dyDescent="0.35">
      <c r="A114" s="620">
        <v>113</v>
      </c>
      <c r="B114" s="617">
        <v>2</v>
      </c>
      <c r="C114" s="147">
        <v>3</v>
      </c>
      <c r="D114" s="147">
        <v>1</v>
      </c>
      <c r="E114" s="147">
        <v>1</v>
      </c>
      <c r="F114" s="147">
        <v>1</v>
      </c>
      <c r="G114" s="147">
        <v>1</v>
      </c>
      <c r="H114" s="147">
        <v>1</v>
      </c>
      <c r="I114" s="147">
        <v>1</v>
      </c>
      <c r="J114" s="147">
        <v>1</v>
      </c>
      <c r="K114" s="147">
        <v>1</v>
      </c>
      <c r="L114" s="147">
        <v>2</v>
      </c>
      <c r="M114" s="147">
        <v>1</v>
      </c>
      <c r="N114" s="147">
        <v>1</v>
      </c>
      <c r="O114" s="147">
        <v>1</v>
      </c>
      <c r="P114" s="147">
        <v>1</v>
      </c>
      <c r="Q114" s="147">
        <v>1</v>
      </c>
      <c r="R114" s="147">
        <v>1</v>
      </c>
      <c r="S114" s="147">
        <v>1</v>
      </c>
      <c r="T114" s="147">
        <v>1</v>
      </c>
      <c r="U114" s="147">
        <v>1</v>
      </c>
      <c r="V114" s="147">
        <v>1</v>
      </c>
      <c r="W114" s="147">
        <v>1</v>
      </c>
      <c r="X114" s="147">
        <v>1</v>
      </c>
      <c r="Y114" s="147">
        <v>1</v>
      </c>
      <c r="Z114" s="147">
        <v>1</v>
      </c>
      <c r="AA114" s="147">
        <v>1</v>
      </c>
      <c r="AB114" s="147">
        <v>1</v>
      </c>
      <c r="AC114" s="147">
        <v>1</v>
      </c>
      <c r="AD114" s="1466">
        <v>1</v>
      </c>
      <c r="AE114" s="1466">
        <v>1</v>
      </c>
      <c r="AF114" s="147">
        <v>4</v>
      </c>
      <c r="AG114" s="147">
        <v>1</v>
      </c>
      <c r="AH114" s="147">
        <v>5</v>
      </c>
      <c r="AI114" s="147">
        <v>1</v>
      </c>
      <c r="AJ114" s="147">
        <v>1</v>
      </c>
      <c r="AK114" s="147">
        <v>1</v>
      </c>
      <c r="AL114" s="147">
        <v>5</v>
      </c>
      <c r="AM114" s="828">
        <v>0</v>
      </c>
      <c r="AN114" s="147" t="b">
        <v>0</v>
      </c>
      <c r="AO114" s="147" t="b">
        <v>0</v>
      </c>
    </row>
    <row r="115" spans="1:41" x14ac:dyDescent="0.35">
      <c r="A115" s="620">
        <v>114</v>
      </c>
      <c r="B115" s="617">
        <v>2</v>
      </c>
      <c r="C115" s="147">
        <v>3</v>
      </c>
      <c r="D115" s="147">
        <v>1</v>
      </c>
      <c r="E115" s="147">
        <v>1</v>
      </c>
      <c r="F115" s="147">
        <v>1</v>
      </c>
      <c r="G115" s="147">
        <v>1</v>
      </c>
      <c r="H115" s="147">
        <v>2</v>
      </c>
      <c r="I115" s="147">
        <v>1</v>
      </c>
      <c r="J115" s="147">
        <v>1</v>
      </c>
      <c r="K115" s="147">
        <v>1</v>
      </c>
      <c r="L115" s="147">
        <v>2</v>
      </c>
      <c r="M115" s="147">
        <v>1</v>
      </c>
      <c r="N115" s="147">
        <v>1</v>
      </c>
      <c r="O115" s="147">
        <v>1</v>
      </c>
      <c r="P115" s="147">
        <v>1</v>
      </c>
      <c r="Q115" s="147">
        <v>1</v>
      </c>
      <c r="R115" s="147">
        <v>1</v>
      </c>
      <c r="S115" s="147">
        <v>1</v>
      </c>
      <c r="T115" s="147">
        <v>2</v>
      </c>
      <c r="U115" s="147">
        <v>1</v>
      </c>
      <c r="V115" s="147">
        <v>1</v>
      </c>
      <c r="W115" s="147">
        <v>1</v>
      </c>
      <c r="X115" s="147">
        <v>1</v>
      </c>
      <c r="Y115" s="147">
        <v>1</v>
      </c>
      <c r="Z115" s="147">
        <v>1</v>
      </c>
      <c r="AA115" s="147">
        <v>1</v>
      </c>
      <c r="AB115" s="147">
        <v>1</v>
      </c>
      <c r="AC115" s="147">
        <v>1</v>
      </c>
      <c r="AD115" s="1466">
        <v>1</v>
      </c>
      <c r="AE115" s="1466">
        <v>1</v>
      </c>
      <c r="AF115" s="147">
        <v>1</v>
      </c>
      <c r="AG115" s="147">
        <v>1</v>
      </c>
      <c r="AH115" s="147">
        <v>1</v>
      </c>
      <c r="AI115" s="147">
        <v>1</v>
      </c>
      <c r="AJ115" s="147">
        <v>4</v>
      </c>
      <c r="AK115" s="147">
        <v>1</v>
      </c>
      <c r="AL115" s="147">
        <v>1</v>
      </c>
      <c r="AM115" s="828">
        <v>0</v>
      </c>
      <c r="AN115" s="147" t="b">
        <v>1</v>
      </c>
      <c r="AO115" s="147" t="b">
        <v>0</v>
      </c>
    </row>
    <row r="116" spans="1:41" x14ac:dyDescent="0.35">
      <c r="A116" s="620">
        <v>115</v>
      </c>
      <c r="B116" s="617">
        <v>2</v>
      </c>
      <c r="C116" s="147">
        <v>12</v>
      </c>
      <c r="D116" s="147">
        <v>1</v>
      </c>
      <c r="E116" s="147">
        <v>1</v>
      </c>
      <c r="F116" s="147">
        <v>1</v>
      </c>
      <c r="G116" s="147">
        <v>1</v>
      </c>
      <c r="H116" s="147">
        <v>1</v>
      </c>
      <c r="I116" s="147">
        <v>1</v>
      </c>
      <c r="J116" s="147">
        <v>1</v>
      </c>
      <c r="K116" s="147">
        <v>1</v>
      </c>
      <c r="L116" s="147">
        <v>2</v>
      </c>
      <c r="M116" s="147">
        <v>1</v>
      </c>
      <c r="N116" s="147">
        <v>1</v>
      </c>
      <c r="O116" s="147">
        <v>1</v>
      </c>
      <c r="P116" s="147">
        <v>1</v>
      </c>
      <c r="Q116" s="147">
        <v>1</v>
      </c>
      <c r="R116" s="147">
        <v>1</v>
      </c>
      <c r="S116" s="147">
        <v>1</v>
      </c>
      <c r="T116" s="147">
        <v>1</v>
      </c>
      <c r="U116" s="147">
        <v>1</v>
      </c>
      <c r="V116" s="147">
        <v>7</v>
      </c>
      <c r="W116" s="147">
        <v>1</v>
      </c>
      <c r="X116" s="147">
        <v>1</v>
      </c>
      <c r="Y116" s="147">
        <v>1</v>
      </c>
      <c r="Z116" s="147">
        <v>1</v>
      </c>
      <c r="AA116" s="147">
        <v>1</v>
      </c>
      <c r="AB116" s="147">
        <v>1</v>
      </c>
      <c r="AC116" s="147">
        <v>1</v>
      </c>
      <c r="AD116" s="1466">
        <v>1</v>
      </c>
      <c r="AE116" s="1466">
        <v>1</v>
      </c>
      <c r="AF116" s="147">
        <v>1</v>
      </c>
      <c r="AG116" s="147">
        <v>7</v>
      </c>
      <c r="AH116" s="147">
        <v>1</v>
      </c>
      <c r="AI116" s="147">
        <v>1</v>
      </c>
      <c r="AJ116" s="147">
        <v>6</v>
      </c>
      <c r="AK116" s="147">
        <v>1</v>
      </c>
      <c r="AL116" s="147">
        <v>7</v>
      </c>
      <c r="AM116" s="828">
        <v>0</v>
      </c>
      <c r="AN116" s="147" t="b">
        <v>0</v>
      </c>
      <c r="AO116" s="147" t="b">
        <v>0</v>
      </c>
    </row>
    <row r="117" spans="1:41" x14ac:dyDescent="0.35">
      <c r="A117" s="620">
        <v>116</v>
      </c>
      <c r="B117" s="617">
        <v>2</v>
      </c>
      <c r="C117" s="147">
        <v>4</v>
      </c>
      <c r="D117" s="147">
        <v>1</v>
      </c>
      <c r="E117" s="147">
        <v>1</v>
      </c>
      <c r="F117" s="147">
        <v>1</v>
      </c>
      <c r="G117" s="147">
        <v>1</v>
      </c>
      <c r="H117" s="147">
        <v>1</v>
      </c>
      <c r="I117" s="147">
        <v>4</v>
      </c>
      <c r="J117" s="147">
        <v>1</v>
      </c>
      <c r="K117" s="147">
        <v>1</v>
      </c>
      <c r="L117" s="147">
        <v>2</v>
      </c>
      <c r="M117" s="147">
        <v>1</v>
      </c>
      <c r="N117" s="147">
        <v>1</v>
      </c>
      <c r="O117" s="147">
        <v>1</v>
      </c>
      <c r="P117" s="147">
        <v>1</v>
      </c>
      <c r="Q117" s="147">
        <v>1</v>
      </c>
      <c r="R117" s="147">
        <v>1</v>
      </c>
      <c r="S117" s="147">
        <v>1</v>
      </c>
      <c r="T117" s="147">
        <v>1</v>
      </c>
      <c r="U117" s="147">
        <v>1</v>
      </c>
      <c r="V117" s="147">
        <v>4</v>
      </c>
      <c r="W117" s="147">
        <v>1</v>
      </c>
      <c r="X117" s="147">
        <v>1</v>
      </c>
      <c r="Y117" s="147">
        <v>1</v>
      </c>
      <c r="Z117" s="147">
        <v>1</v>
      </c>
      <c r="AA117" s="147">
        <v>1</v>
      </c>
      <c r="AB117" s="147">
        <v>2</v>
      </c>
      <c r="AC117" s="147">
        <v>1</v>
      </c>
      <c r="AD117" s="1466">
        <v>7</v>
      </c>
      <c r="AE117" s="1466">
        <v>1</v>
      </c>
      <c r="AF117" s="147">
        <v>1</v>
      </c>
      <c r="AG117" s="147">
        <v>1</v>
      </c>
      <c r="AH117" s="147">
        <v>1</v>
      </c>
      <c r="AI117" s="147">
        <v>1</v>
      </c>
      <c r="AJ117" s="147">
        <v>1</v>
      </c>
      <c r="AK117" s="147">
        <v>1</v>
      </c>
      <c r="AL117" s="147">
        <v>5</v>
      </c>
      <c r="AM117" s="828">
        <v>0</v>
      </c>
      <c r="AN117" s="147" t="b">
        <v>0</v>
      </c>
      <c r="AO117" s="147" t="b">
        <v>0</v>
      </c>
    </row>
    <row r="118" spans="1:41" x14ac:dyDescent="0.35">
      <c r="A118" s="620">
        <v>117</v>
      </c>
      <c r="B118" s="617">
        <v>2</v>
      </c>
      <c r="C118" s="147">
        <v>1</v>
      </c>
      <c r="D118" s="147">
        <v>8</v>
      </c>
      <c r="E118" s="147">
        <v>1</v>
      </c>
      <c r="F118" s="147">
        <v>1</v>
      </c>
      <c r="G118" s="147">
        <v>1</v>
      </c>
      <c r="H118" s="147">
        <v>1</v>
      </c>
      <c r="I118" s="147">
        <v>3</v>
      </c>
      <c r="J118" s="147">
        <v>1</v>
      </c>
      <c r="K118" s="147">
        <v>1</v>
      </c>
      <c r="L118" s="147">
        <v>2</v>
      </c>
      <c r="M118" s="147">
        <v>1</v>
      </c>
      <c r="N118" s="147">
        <v>1</v>
      </c>
      <c r="O118" s="147">
        <v>1</v>
      </c>
      <c r="P118" s="147">
        <v>3</v>
      </c>
      <c r="Q118" s="147">
        <v>1</v>
      </c>
      <c r="R118" s="147">
        <v>1</v>
      </c>
      <c r="S118" s="147">
        <v>1</v>
      </c>
      <c r="T118" s="147">
        <v>1</v>
      </c>
      <c r="U118" s="147">
        <v>1</v>
      </c>
      <c r="V118" s="147">
        <v>3</v>
      </c>
      <c r="W118" s="147">
        <v>1</v>
      </c>
      <c r="X118" s="147">
        <v>1</v>
      </c>
      <c r="Y118" s="147">
        <v>1</v>
      </c>
      <c r="Z118" s="147">
        <v>1</v>
      </c>
      <c r="AA118" s="147">
        <v>1</v>
      </c>
      <c r="AB118" s="147">
        <v>1</v>
      </c>
      <c r="AC118" s="147">
        <v>1</v>
      </c>
      <c r="AD118" s="1466">
        <v>1</v>
      </c>
      <c r="AE118" s="1466">
        <v>1</v>
      </c>
      <c r="AF118" s="147">
        <v>1</v>
      </c>
      <c r="AG118" s="147">
        <v>1</v>
      </c>
      <c r="AH118" s="147">
        <v>1</v>
      </c>
      <c r="AI118" s="147">
        <v>1</v>
      </c>
      <c r="AJ118" s="147">
        <v>1</v>
      </c>
      <c r="AK118" s="147">
        <v>1</v>
      </c>
      <c r="AL118" s="147">
        <v>7</v>
      </c>
      <c r="AM118" s="828">
        <v>0</v>
      </c>
      <c r="AN118" s="147" t="b">
        <v>0</v>
      </c>
      <c r="AO118" s="147" t="b">
        <v>0</v>
      </c>
    </row>
    <row r="119" spans="1:41" x14ac:dyDescent="0.35">
      <c r="A119" s="620">
        <v>118</v>
      </c>
      <c r="B119" s="617">
        <v>2</v>
      </c>
      <c r="C119" s="147">
        <v>5</v>
      </c>
      <c r="D119" s="147">
        <v>6</v>
      </c>
      <c r="E119" s="147">
        <v>1</v>
      </c>
      <c r="F119" s="147">
        <v>1</v>
      </c>
      <c r="G119" s="147">
        <v>1</v>
      </c>
      <c r="H119" s="147">
        <v>1</v>
      </c>
      <c r="I119" s="147">
        <v>1</v>
      </c>
      <c r="J119" s="147">
        <v>1</v>
      </c>
      <c r="K119" s="147">
        <v>1</v>
      </c>
      <c r="L119" s="147">
        <v>2</v>
      </c>
      <c r="M119" s="147">
        <v>1</v>
      </c>
      <c r="N119" s="147">
        <v>1</v>
      </c>
      <c r="O119" s="147">
        <v>1</v>
      </c>
      <c r="P119" s="147">
        <v>1</v>
      </c>
      <c r="Q119" s="147">
        <v>1</v>
      </c>
      <c r="R119" s="147">
        <v>1</v>
      </c>
      <c r="S119" s="147">
        <v>1</v>
      </c>
      <c r="T119" s="147">
        <v>4</v>
      </c>
      <c r="U119" s="147">
        <v>8</v>
      </c>
      <c r="V119" s="147">
        <v>1</v>
      </c>
      <c r="W119" s="147">
        <v>1</v>
      </c>
      <c r="X119" s="147">
        <v>1</v>
      </c>
      <c r="Y119" s="147">
        <v>1</v>
      </c>
      <c r="Z119" s="147">
        <v>1</v>
      </c>
      <c r="AA119" s="147">
        <v>1</v>
      </c>
      <c r="AB119" s="147">
        <v>1</v>
      </c>
      <c r="AC119" s="147">
        <v>1</v>
      </c>
      <c r="AD119" s="1466">
        <v>1</v>
      </c>
      <c r="AE119" s="1466">
        <v>1</v>
      </c>
      <c r="AF119" s="147">
        <v>7</v>
      </c>
      <c r="AG119" s="147">
        <v>1</v>
      </c>
      <c r="AH119" s="147">
        <v>1</v>
      </c>
      <c r="AI119" s="147">
        <v>1</v>
      </c>
      <c r="AJ119" s="147">
        <v>1</v>
      </c>
      <c r="AK119" s="147">
        <v>1</v>
      </c>
      <c r="AL119" s="147">
        <v>4</v>
      </c>
      <c r="AM119" s="828">
        <v>0</v>
      </c>
      <c r="AN119" s="147" t="b">
        <v>0</v>
      </c>
      <c r="AO119" s="147" t="b">
        <v>0</v>
      </c>
    </row>
    <row r="120" spans="1:41" x14ac:dyDescent="0.35">
      <c r="A120" s="620">
        <v>119</v>
      </c>
      <c r="B120" s="617">
        <v>2</v>
      </c>
      <c r="C120" s="147">
        <v>8</v>
      </c>
      <c r="D120" s="147">
        <v>1</v>
      </c>
      <c r="E120" s="147">
        <v>1</v>
      </c>
      <c r="F120" s="147">
        <v>1</v>
      </c>
      <c r="G120" s="147">
        <v>1</v>
      </c>
      <c r="H120" s="147">
        <v>1</v>
      </c>
      <c r="I120" s="147">
        <v>1</v>
      </c>
      <c r="J120" s="147">
        <v>1</v>
      </c>
      <c r="K120" s="147">
        <v>1</v>
      </c>
      <c r="L120" s="147">
        <v>2</v>
      </c>
      <c r="M120" s="147">
        <v>1</v>
      </c>
      <c r="N120" s="147">
        <v>1</v>
      </c>
      <c r="O120" s="147">
        <v>1</v>
      </c>
      <c r="P120" s="147">
        <v>1</v>
      </c>
      <c r="Q120" s="147">
        <v>1</v>
      </c>
      <c r="R120" s="147">
        <v>1</v>
      </c>
      <c r="S120" s="147">
        <v>1</v>
      </c>
      <c r="T120" s="147">
        <v>5</v>
      </c>
      <c r="U120" s="147">
        <v>1</v>
      </c>
      <c r="V120" s="147">
        <v>1</v>
      </c>
      <c r="W120" s="147">
        <v>1</v>
      </c>
      <c r="X120" s="147">
        <v>1</v>
      </c>
      <c r="Y120" s="147">
        <v>3</v>
      </c>
      <c r="Z120" s="147">
        <v>1</v>
      </c>
      <c r="AA120" s="147">
        <v>1</v>
      </c>
      <c r="AB120" s="147">
        <v>1</v>
      </c>
      <c r="AC120" s="147">
        <v>1</v>
      </c>
      <c r="AD120" s="1466">
        <v>6</v>
      </c>
      <c r="AE120" s="1466">
        <v>1</v>
      </c>
      <c r="AF120" s="147">
        <v>1</v>
      </c>
      <c r="AG120" s="147">
        <v>1</v>
      </c>
      <c r="AH120" s="147">
        <v>1</v>
      </c>
      <c r="AI120" s="147">
        <v>1</v>
      </c>
      <c r="AJ120" s="147">
        <v>1</v>
      </c>
      <c r="AK120" s="147">
        <v>1</v>
      </c>
      <c r="AL120" s="147">
        <v>1</v>
      </c>
      <c r="AM120" s="828">
        <v>0</v>
      </c>
      <c r="AN120" s="147" t="b">
        <v>1</v>
      </c>
      <c r="AO120" s="147" t="b">
        <v>0</v>
      </c>
    </row>
    <row r="121" spans="1:41" x14ac:dyDescent="0.35">
      <c r="A121" s="620">
        <v>120</v>
      </c>
      <c r="B121" s="617">
        <v>2</v>
      </c>
      <c r="C121" s="147">
        <v>5</v>
      </c>
      <c r="D121" s="147">
        <v>1</v>
      </c>
      <c r="E121" s="147">
        <v>1</v>
      </c>
      <c r="F121" s="147">
        <v>1</v>
      </c>
      <c r="G121" s="147">
        <v>1</v>
      </c>
      <c r="H121" s="147">
        <v>1</v>
      </c>
      <c r="I121" s="147">
        <v>1</v>
      </c>
      <c r="J121" s="147">
        <v>1</v>
      </c>
      <c r="K121" s="147">
        <v>1</v>
      </c>
      <c r="L121" s="147">
        <v>2</v>
      </c>
      <c r="M121" s="147">
        <v>1</v>
      </c>
      <c r="N121" s="147">
        <v>1</v>
      </c>
      <c r="O121" s="147">
        <v>2</v>
      </c>
      <c r="P121" s="147">
        <v>1</v>
      </c>
      <c r="Q121" s="147">
        <v>1</v>
      </c>
      <c r="R121" s="147">
        <v>1</v>
      </c>
      <c r="S121" s="147">
        <v>1</v>
      </c>
      <c r="T121" s="147">
        <v>3</v>
      </c>
      <c r="U121" s="147">
        <v>1</v>
      </c>
      <c r="V121" s="147">
        <v>1</v>
      </c>
      <c r="W121" s="147">
        <v>1</v>
      </c>
      <c r="X121" s="147">
        <v>1</v>
      </c>
      <c r="Y121" s="147">
        <v>1</v>
      </c>
      <c r="Z121" s="147">
        <v>1</v>
      </c>
      <c r="AA121" s="147">
        <v>1</v>
      </c>
      <c r="AB121" s="147">
        <v>1</v>
      </c>
      <c r="AC121" s="147">
        <v>1</v>
      </c>
      <c r="AD121" s="1466">
        <v>1</v>
      </c>
      <c r="AE121" s="1466">
        <v>1</v>
      </c>
      <c r="AF121" s="147">
        <v>1</v>
      </c>
      <c r="AG121" s="147">
        <v>1</v>
      </c>
      <c r="AH121" s="147">
        <v>1</v>
      </c>
      <c r="AI121" s="147">
        <v>1</v>
      </c>
      <c r="AJ121" s="147">
        <v>1</v>
      </c>
      <c r="AK121" s="147">
        <v>1</v>
      </c>
      <c r="AL121" s="147">
        <v>3</v>
      </c>
      <c r="AM121" s="828">
        <v>0</v>
      </c>
      <c r="AN121" s="147" t="b">
        <v>1</v>
      </c>
      <c r="AO121" s="147" t="b">
        <v>0</v>
      </c>
    </row>
    <row r="122" spans="1:41" x14ac:dyDescent="0.35">
      <c r="A122" s="620">
        <v>121</v>
      </c>
      <c r="B122" s="617">
        <v>2</v>
      </c>
      <c r="C122" s="147">
        <v>1</v>
      </c>
      <c r="D122" s="147">
        <v>2</v>
      </c>
      <c r="E122" s="147">
        <v>3</v>
      </c>
      <c r="F122" s="147">
        <v>1</v>
      </c>
      <c r="G122" s="147">
        <v>1</v>
      </c>
      <c r="H122" s="147">
        <v>1</v>
      </c>
      <c r="I122" s="147">
        <v>1</v>
      </c>
      <c r="J122" s="147">
        <v>1</v>
      </c>
      <c r="K122" s="147">
        <v>1</v>
      </c>
      <c r="L122" s="147">
        <v>2</v>
      </c>
      <c r="M122" s="147">
        <v>1</v>
      </c>
      <c r="N122" s="147">
        <v>1</v>
      </c>
      <c r="O122" s="147">
        <v>1</v>
      </c>
      <c r="P122" s="147">
        <v>3</v>
      </c>
      <c r="Q122" s="147">
        <v>1</v>
      </c>
      <c r="R122" s="147">
        <v>1</v>
      </c>
      <c r="S122" s="147">
        <v>1</v>
      </c>
      <c r="T122" s="147">
        <v>6</v>
      </c>
      <c r="U122" s="147">
        <v>1</v>
      </c>
      <c r="V122" s="147">
        <v>1</v>
      </c>
      <c r="W122" s="147">
        <v>1</v>
      </c>
      <c r="X122" s="147">
        <v>1</v>
      </c>
      <c r="Y122" s="147">
        <v>1</v>
      </c>
      <c r="Z122" s="147">
        <v>1</v>
      </c>
      <c r="AA122" s="147">
        <v>1</v>
      </c>
      <c r="AB122" s="147">
        <v>1</v>
      </c>
      <c r="AC122" s="147">
        <v>1</v>
      </c>
      <c r="AD122" s="1466">
        <v>1</v>
      </c>
      <c r="AE122" s="1466">
        <v>1</v>
      </c>
      <c r="AF122" s="147">
        <v>1</v>
      </c>
      <c r="AG122" s="147">
        <v>1</v>
      </c>
      <c r="AH122" s="147">
        <v>1</v>
      </c>
      <c r="AI122" s="147">
        <v>1</v>
      </c>
      <c r="AJ122" s="147">
        <v>1</v>
      </c>
      <c r="AK122" s="147">
        <v>1</v>
      </c>
      <c r="AL122" s="147">
        <v>1</v>
      </c>
      <c r="AM122" s="828">
        <v>0</v>
      </c>
      <c r="AN122" s="147" t="b">
        <v>0</v>
      </c>
      <c r="AO122" s="147" t="b">
        <v>0</v>
      </c>
    </row>
    <row r="123" spans="1:41" x14ac:dyDescent="0.35">
      <c r="A123" s="620">
        <v>122</v>
      </c>
      <c r="B123" s="617">
        <v>2</v>
      </c>
      <c r="C123" s="147">
        <v>1</v>
      </c>
      <c r="D123" s="147">
        <v>3</v>
      </c>
      <c r="E123" s="147">
        <v>1</v>
      </c>
      <c r="F123" s="147">
        <v>1</v>
      </c>
      <c r="G123" s="147">
        <v>1</v>
      </c>
      <c r="H123" s="147">
        <v>1</v>
      </c>
      <c r="I123" s="147">
        <v>1</v>
      </c>
      <c r="J123" s="147">
        <v>1</v>
      </c>
      <c r="K123" s="147">
        <v>1</v>
      </c>
      <c r="L123" s="147">
        <v>2</v>
      </c>
      <c r="M123" s="147">
        <v>1</v>
      </c>
      <c r="N123" s="147">
        <v>1</v>
      </c>
      <c r="O123" s="147">
        <v>1</v>
      </c>
      <c r="P123" s="147">
        <v>1</v>
      </c>
      <c r="Q123" s="147">
        <v>1</v>
      </c>
      <c r="R123" s="147">
        <v>1</v>
      </c>
      <c r="S123" s="147">
        <v>1</v>
      </c>
      <c r="T123" s="147">
        <v>1</v>
      </c>
      <c r="U123" s="147">
        <v>1</v>
      </c>
      <c r="V123" s="147">
        <v>1</v>
      </c>
      <c r="W123" s="147">
        <v>1</v>
      </c>
      <c r="X123" s="147">
        <v>5</v>
      </c>
      <c r="Y123" s="147">
        <v>1</v>
      </c>
      <c r="Z123" s="147">
        <v>1</v>
      </c>
      <c r="AA123" s="147">
        <v>1</v>
      </c>
      <c r="AB123" s="147">
        <v>1</v>
      </c>
      <c r="AC123" s="147">
        <v>1</v>
      </c>
      <c r="AD123" s="1466">
        <v>1</v>
      </c>
      <c r="AE123" s="1466">
        <v>1</v>
      </c>
      <c r="AF123" s="147">
        <v>1</v>
      </c>
      <c r="AG123" s="147">
        <v>1</v>
      </c>
      <c r="AH123" s="147">
        <v>1</v>
      </c>
      <c r="AI123" s="147">
        <v>1</v>
      </c>
      <c r="AJ123" s="147">
        <v>1</v>
      </c>
      <c r="AK123" s="147">
        <v>1</v>
      </c>
      <c r="AL123" s="147">
        <v>7</v>
      </c>
      <c r="AM123" s="828">
        <v>0</v>
      </c>
      <c r="AN123" s="147" t="b">
        <v>0</v>
      </c>
      <c r="AO123" s="147" t="b">
        <v>0</v>
      </c>
    </row>
    <row r="124" spans="1:41" x14ac:dyDescent="0.35">
      <c r="A124" s="620">
        <v>123</v>
      </c>
      <c r="B124" s="617">
        <v>2</v>
      </c>
      <c r="C124" s="147">
        <v>3</v>
      </c>
      <c r="D124" s="147">
        <v>1</v>
      </c>
      <c r="E124" s="147">
        <v>1</v>
      </c>
      <c r="F124" s="147">
        <v>1</v>
      </c>
      <c r="G124" s="147">
        <v>4</v>
      </c>
      <c r="H124" s="147">
        <v>1</v>
      </c>
      <c r="I124" s="147">
        <v>1</v>
      </c>
      <c r="J124" s="147">
        <v>1</v>
      </c>
      <c r="K124" s="147">
        <v>1</v>
      </c>
      <c r="L124" s="147">
        <v>2</v>
      </c>
      <c r="M124" s="147">
        <v>1</v>
      </c>
      <c r="N124" s="147">
        <v>1</v>
      </c>
      <c r="O124" s="147">
        <v>1</v>
      </c>
      <c r="P124" s="147">
        <v>1</v>
      </c>
      <c r="Q124" s="147">
        <v>1</v>
      </c>
      <c r="R124" s="147">
        <v>1</v>
      </c>
      <c r="S124" s="147">
        <v>1</v>
      </c>
      <c r="T124" s="147">
        <v>1</v>
      </c>
      <c r="U124" s="147">
        <v>1</v>
      </c>
      <c r="V124" s="147">
        <v>1</v>
      </c>
      <c r="W124" s="147">
        <v>1</v>
      </c>
      <c r="X124" s="147">
        <v>2</v>
      </c>
      <c r="Y124" s="147">
        <v>1</v>
      </c>
      <c r="Z124" s="147">
        <v>1</v>
      </c>
      <c r="AA124" s="147">
        <v>1</v>
      </c>
      <c r="AB124" s="147">
        <v>1</v>
      </c>
      <c r="AC124" s="147">
        <v>1</v>
      </c>
      <c r="AD124" s="1466">
        <v>1</v>
      </c>
      <c r="AE124" s="1466">
        <v>1</v>
      </c>
      <c r="AF124" s="147">
        <v>1</v>
      </c>
      <c r="AG124" s="147">
        <v>1</v>
      </c>
      <c r="AH124" s="147">
        <v>1</v>
      </c>
      <c r="AI124" s="147">
        <v>1</v>
      </c>
      <c r="AJ124" s="147">
        <v>1</v>
      </c>
      <c r="AK124" s="147">
        <v>1</v>
      </c>
      <c r="AL124" s="147">
        <v>4</v>
      </c>
      <c r="AM124" s="828">
        <v>0</v>
      </c>
      <c r="AN124" s="147" t="b">
        <v>0</v>
      </c>
      <c r="AO124" s="147" t="b">
        <v>0</v>
      </c>
    </row>
    <row r="125" spans="1:41" x14ac:dyDescent="0.35">
      <c r="A125" s="620">
        <v>124</v>
      </c>
      <c r="B125" s="617">
        <v>2</v>
      </c>
      <c r="C125" s="147">
        <v>9</v>
      </c>
      <c r="D125" s="147">
        <v>1</v>
      </c>
      <c r="E125" s="147">
        <v>4</v>
      </c>
      <c r="F125" s="147">
        <v>1</v>
      </c>
      <c r="G125" s="147">
        <v>1</v>
      </c>
      <c r="H125" s="147">
        <v>1</v>
      </c>
      <c r="I125" s="147">
        <v>1</v>
      </c>
      <c r="J125" s="147">
        <v>1</v>
      </c>
      <c r="K125" s="147">
        <v>1</v>
      </c>
      <c r="L125" s="147">
        <v>2</v>
      </c>
      <c r="M125" s="147">
        <v>1</v>
      </c>
      <c r="N125" s="147">
        <v>1</v>
      </c>
      <c r="O125" s="147">
        <v>1</v>
      </c>
      <c r="P125" s="147">
        <v>1</v>
      </c>
      <c r="Q125" s="147">
        <v>1</v>
      </c>
      <c r="R125" s="147">
        <v>1</v>
      </c>
      <c r="S125" s="147">
        <v>1</v>
      </c>
      <c r="T125" s="147">
        <v>1</v>
      </c>
      <c r="U125" s="147">
        <v>1</v>
      </c>
      <c r="V125" s="147">
        <v>1</v>
      </c>
      <c r="W125" s="147">
        <v>1</v>
      </c>
      <c r="X125" s="147">
        <v>3</v>
      </c>
      <c r="Y125" s="147">
        <v>1</v>
      </c>
      <c r="Z125" s="147">
        <v>1</v>
      </c>
      <c r="AA125" s="147">
        <v>1</v>
      </c>
      <c r="AB125" s="147">
        <v>1</v>
      </c>
      <c r="AC125" s="147">
        <v>1</v>
      </c>
      <c r="AD125" s="1466">
        <v>1</v>
      </c>
      <c r="AE125" s="1466">
        <v>1</v>
      </c>
      <c r="AF125" s="147">
        <v>1</v>
      </c>
      <c r="AG125" s="147">
        <v>1</v>
      </c>
      <c r="AH125" s="147">
        <v>1</v>
      </c>
      <c r="AI125" s="147">
        <v>1</v>
      </c>
      <c r="AJ125" s="147">
        <v>1</v>
      </c>
      <c r="AK125" s="147">
        <v>1</v>
      </c>
      <c r="AL125" s="147">
        <v>7</v>
      </c>
      <c r="AM125" s="828">
        <v>0</v>
      </c>
      <c r="AN125" s="147" t="b">
        <v>0</v>
      </c>
      <c r="AO125" s="147" t="b">
        <v>0</v>
      </c>
    </row>
    <row r="126" spans="1:41" x14ac:dyDescent="0.35">
      <c r="A126" s="620">
        <v>125</v>
      </c>
      <c r="B126" s="617">
        <v>2</v>
      </c>
      <c r="C126" s="147">
        <v>1</v>
      </c>
      <c r="D126" s="147">
        <v>1</v>
      </c>
      <c r="E126" s="147">
        <v>1</v>
      </c>
      <c r="F126" s="147">
        <v>1</v>
      </c>
      <c r="G126" s="147">
        <v>1</v>
      </c>
      <c r="H126" s="147">
        <v>1</v>
      </c>
      <c r="I126" s="147">
        <v>1</v>
      </c>
      <c r="J126" s="147">
        <v>1</v>
      </c>
      <c r="K126" s="147">
        <v>1</v>
      </c>
      <c r="L126" s="147">
        <v>2</v>
      </c>
      <c r="M126" s="147">
        <v>1</v>
      </c>
      <c r="N126" s="147">
        <v>1</v>
      </c>
      <c r="O126" s="147">
        <v>1</v>
      </c>
      <c r="P126" s="147">
        <v>1</v>
      </c>
      <c r="Q126" s="147">
        <v>1</v>
      </c>
      <c r="R126" s="147">
        <v>1</v>
      </c>
      <c r="S126" s="147">
        <v>1</v>
      </c>
      <c r="T126" s="147">
        <v>1</v>
      </c>
      <c r="U126" s="147">
        <v>1</v>
      </c>
      <c r="V126" s="147">
        <v>2</v>
      </c>
      <c r="W126" s="147">
        <v>1</v>
      </c>
      <c r="X126" s="147">
        <v>1</v>
      </c>
      <c r="Y126" s="147">
        <v>7</v>
      </c>
      <c r="Z126" s="147">
        <v>1</v>
      </c>
      <c r="AA126" s="147">
        <v>1</v>
      </c>
      <c r="AB126" s="147">
        <v>1</v>
      </c>
      <c r="AC126" s="147">
        <v>1</v>
      </c>
      <c r="AD126" s="1466">
        <v>2</v>
      </c>
      <c r="AE126" s="1466">
        <v>1</v>
      </c>
      <c r="AF126" s="147">
        <v>1</v>
      </c>
      <c r="AG126" s="147">
        <v>1</v>
      </c>
      <c r="AH126" s="147">
        <v>1</v>
      </c>
      <c r="AI126" s="147">
        <v>6</v>
      </c>
      <c r="AJ126" s="147">
        <v>1</v>
      </c>
      <c r="AK126" s="147">
        <v>1</v>
      </c>
      <c r="AL126" s="147">
        <v>5</v>
      </c>
      <c r="AM126" s="828">
        <v>0</v>
      </c>
      <c r="AN126" s="147" t="b">
        <v>1</v>
      </c>
      <c r="AO126" s="147" t="b">
        <v>0</v>
      </c>
    </row>
    <row r="127" spans="1:41" x14ac:dyDescent="0.35">
      <c r="A127" s="620">
        <v>126</v>
      </c>
      <c r="B127" s="617">
        <v>2</v>
      </c>
      <c r="C127" s="147">
        <v>1</v>
      </c>
      <c r="D127" s="147">
        <v>1</v>
      </c>
      <c r="E127" s="147">
        <v>5</v>
      </c>
      <c r="F127" s="147">
        <v>1</v>
      </c>
      <c r="G127" s="147">
        <v>1</v>
      </c>
      <c r="H127" s="147">
        <v>1</v>
      </c>
      <c r="I127" s="147">
        <v>1</v>
      </c>
      <c r="J127" s="147">
        <v>1</v>
      </c>
      <c r="K127" s="147">
        <v>1</v>
      </c>
      <c r="L127" s="147">
        <v>2</v>
      </c>
      <c r="M127" s="147">
        <v>1</v>
      </c>
      <c r="N127" s="147">
        <v>1</v>
      </c>
      <c r="O127" s="147">
        <v>1</v>
      </c>
      <c r="P127" s="147">
        <v>1</v>
      </c>
      <c r="Q127" s="147">
        <v>1</v>
      </c>
      <c r="R127" s="147">
        <v>1</v>
      </c>
      <c r="S127" s="147">
        <v>1</v>
      </c>
      <c r="T127" s="147">
        <v>1</v>
      </c>
      <c r="U127" s="147">
        <v>1</v>
      </c>
      <c r="V127" s="147">
        <v>2</v>
      </c>
      <c r="W127" s="147">
        <v>5</v>
      </c>
      <c r="X127" s="147">
        <v>1</v>
      </c>
      <c r="Y127" s="147">
        <v>8</v>
      </c>
      <c r="Z127" s="147">
        <v>1</v>
      </c>
      <c r="AA127" s="147">
        <v>1</v>
      </c>
      <c r="AB127" s="147">
        <v>1</v>
      </c>
      <c r="AC127" s="147">
        <v>1</v>
      </c>
      <c r="AD127" s="1466">
        <v>5</v>
      </c>
      <c r="AE127" s="1466">
        <v>1</v>
      </c>
      <c r="AF127" s="147">
        <v>1</v>
      </c>
      <c r="AG127" s="147">
        <v>1</v>
      </c>
      <c r="AH127" s="147">
        <v>1</v>
      </c>
      <c r="AI127" s="147">
        <v>11</v>
      </c>
      <c r="AJ127" s="147">
        <v>1</v>
      </c>
      <c r="AK127" s="147">
        <v>1</v>
      </c>
      <c r="AL127" s="147">
        <v>7</v>
      </c>
      <c r="AM127" s="828">
        <v>0</v>
      </c>
      <c r="AN127" s="147" t="b">
        <v>0</v>
      </c>
      <c r="AO127" s="147" t="b">
        <v>1</v>
      </c>
    </row>
    <row r="128" spans="1:41" x14ac:dyDescent="0.35">
      <c r="A128" s="620">
        <v>127</v>
      </c>
      <c r="B128" s="617">
        <v>2</v>
      </c>
      <c r="C128" s="147">
        <v>8</v>
      </c>
      <c r="D128" s="147">
        <v>1</v>
      </c>
      <c r="E128" s="147">
        <v>1</v>
      </c>
      <c r="F128" s="147">
        <v>1</v>
      </c>
      <c r="G128" s="147">
        <v>1</v>
      </c>
      <c r="H128" s="147">
        <v>1</v>
      </c>
      <c r="I128" s="147">
        <v>1</v>
      </c>
      <c r="J128" s="147">
        <v>1</v>
      </c>
      <c r="K128" s="147">
        <v>1</v>
      </c>
      <c r="L128" s="147">
        <v>2</v>
      </c>
      <c r="M128" s="147">
        <v>1</v>
      </c>
      <c r="N128" s="147">
        <v>1</v>
      </c>
      <c r="O128" s="147">
        <v>1</v>
      </c>
      <c r="P128" s="147">
        <v>1</v>
      </c>
      <c r="Q128" s="147">
        <v>1</v>
      </c>
      <c r="R128" s="147">
        <v>1</v>
      </c>
      <c r="S128" s="147">
        <v>1</v>
      </c>
      <c r="T128" s="147">
        <v>1</v>
      </c>
      <c r="U128" s="147">
        <v>1</v>
      </c>
      <c r="V128" s="147">
        <v>1</v>
      </c>
      <c r="W128" s="147">
        <v>1</v>
      </c>
      <c r="X128" s="147">
        <v>1</v>
      </c>
      <c r="Y128" s="147">
        <v>1</v>
      </c>
      <c r="Z128" s="147">
        <v>8</v>
      </c>
      <c r="AA128" s="147">
        <v>1</v>
      </c>
      <c r="AB128" s="147">
        <v>1</v>
      </c>
      <c r="AC128" s="147">
        <v>1</v>
      </c>
      <c r="AD128" s="1466">
        <v>5</v>
      </c>
      <c r="AE128" s="1466">
        <v>1</v>
      </c>
      <c r="AF128" s="147">
        <v>1</v>
      </c>
      <c r="AG128" s="147">
        <v>1</v>
      </c>
      <c r="AH128" s="147">
        <v>1</v>
      </c>
      <c r="AI128" s="147">
        <v>1</v>
      </c>
      <c r="AJ128" s="147">
        <v>1</v>
      </c>
      <c r="AK128" s="147">
        <v>1</v>
      </c>
      <c r="AL128" s="147">
        <v>7</v>
      </c>
      <c r="AM128" s="828">
        <v>0</v>
      </c>
      <c r="AN128" s="147" t="b">
        <v>0</v>
      </c>
      <c r="AO128" s="147" t="b">
        <v>0</v>
      </c>
    </row>
    <row r="129" spans="1:41" x14ac:dyDescent="0.35">
      <c r="A129" s="620">
        <v>128</v>
      </c>
      <c r="B129" s="617">
        <v>2</v>
      </c>
      <c r="C129" s="147">
        <v>1</v>
      </c>
      <c r="D129" s="147">
        <v>1</v>
      </c>
      <c r="E129" s="147">
        <v>1</v>
      </c>
      <c r="F129" s="147">
        <v>1</v>
      </c>
      <c r="G129" s="147">
        <v>1</v>
      </c>
      <c r="H129" s="147">
        <v>1</v>
      </c>
      <c r="I129" s="147">
        <v>1</v>
      </c>
      <c r="J129" s="147">
        <v>1</v>
      </c>
      <c r="K129" s="147">
        <v>1</v>
      </c>
      <c r="L129" s="147">
        <v>2</v>
      </c>
      <c r="M129" s="147">
        <v>1</v>
      </c>
      <c r="N129" s="147">
        <v>1</v>
      </c>
      <c r="O129" s="147">
        <v>1</v>
      </c>
      <c r="P129" s="147">
        <v>1</v>
      </c>
      <c r="Q129" s="147">
        <v>1</v>
      </c>
      <c r="R129" s="147">
        <v>1</v>
      </c>
      <c r="S129" s="147">
        <v>1</v>
      </c>
      <c r="T129" s="147">
        <v>1</v>
      </c>
      <c r="U129" s="147">
        <v>1</v>
      </c>
      <c r="V129" s="147">
        <v>5</v>
      </c>
      <c r="W129" s="147">
        <v>1</v>
      </c>
      <c r="X129" s="147">
        <v>1</v>
      </c>
      <c r="Y129" s="147">
        <v>1</v>
      </c>
      <c r="Z129" s="147">
        <v>9</v>
      </c>
      <c r="AA129" s="147">
        <v>1</v>
      </c>
      <c r="AB129" s="147">
        <v>1</v>
      </c>
      <c r="AC129" s="147">
        <v>1</v>
      </c>
      <c r="AD129" s="1466">
        <v>5</v>
      </c>
      <c r="AE129" s="1466">
        <v>1</v>
      </c>
      <c r="AF129" s="147">
        <v>1</v>
      </c>
      <c r="AG129" s="147">
        <v>1</v>
      </c>
      <c r="AH129" s="147">
        <v>1</v>
      </c>
      <c r="AI129" s="147">
        <v>6</v>
      </c>
      <c r="AJ129" s="147">
        <v>1</v>
      </c>
      <c r="AK129" s="147">
        <v>1</v>
      </c>
      <c r="AL129" s="147">
        <v>5</v>
      </c>
      <c r="AM129" s="828">
        <v>0</v>
      </c>
      <c r="AN129" s="147" t="b">
        <v>0</v>
      </c>
      <c r="AO129" s="147" t="b">
        <v>1</v>
      </c>
    </row>
    <row r="130" spans="1:41" x14ac:dyDescent="0.35">
      <c r="A130" s="620">
        <v>129</v>
      </c>
      <c r="B130" s="617">
        <v>2</v>
      </c>
      <c r="C130" s="147">
        <v>5</v>
      </c>
      <c r="D130" s="147">
        <v>1</v>
      </c>
      <c r="E130" s="147">
        <v>1</v>
      </c>
      <c r="F130" s="147">
        <v>1</v>
      </c>
      <c r="G130" s="147">
        <v>1</v>
      </c>
      <c r="H130" s="147">
        <v>1</v>
      </c>
      <c r="I130" s="147">
        <v>1</v>
      </c>
      <c r="J130" s="147">
        <v>1</v>
      </c>
      <c r="K130" s="147">
        <v>1</v>
      </c>
      <c r="L130" s="147">
        <v>2</v>
      </c>
      <c r="M130" s="147">
        <v>1</v>
      </c>
      <c r="N130" s="147">
        <v>1</v>
      </c>
      <c r="O130" s="147">
        <v>1</v>
      </c>
      <c r="P130" s="147">
        <v>1</v>
      </c>
      <c r="Q130" s="147">
        <v>1</v>
      </c>
      <c r="R130" s="147">
        <v>1</v>
      </c>
      <c r="S130" s="147">
        <v>1</v>
      </c>
      <c r="T130" s="147">
        <v>1</v>
      </c>
      <c r="U130" s="147">
        <v>1</v>
      </c>
      <c r="V130" s="147">
        <v>5</v>
      </c>
      <c r="W130" s="147">
        <v>1</v>
      </c>
      <c r="X130" s="147">
        <v>1</v>
      </c>
      <c r="Y130" s="147">
        <v>1</v>
      </c>
      <c r="Z130" s="147">
        <v>1</v>
      </c>
      <c r="AA130" s="147">
        <v>1</v>
      </c>
      <c r="AB130" s="147">
        <v>1</v>
      </c>
      <c r="AC130" s="147">
        <v>6</v>
      </c>
      <c r="AD130" s="1466">
        <v>5</v>
      </c>
      <c r="AE130" s="1466">
        <v>1</v>
      </c>
      <c r="AF130" s="147">
        <v>1</v>
      </c>
      <c r="AG130" s="147">
        <v>1</v>
      </c>
      <c r="AH130" s="147">
        <v>1</v>
      </c>
      <c r="AI130" s="147">
        <v>8</v>
      </c>
      <c r="AJ130" s="147">
        <v>1</v>
      </c>
      <c r="AK130" s="147">
        <v>1</v>
      </c>
      <c r="AL130" s="147">
        <v>7</v>
      </c>
      <c r="AM130" s="828">
        <v>0</v>
      </c>
      <c r="AN130" s="147" t="b">
        <v>0</v>
      </c>
      <c r="AO130" s="147" t="b">
        <v>0</v>
      </c>
    </row>
    <row r="131" spans="1:41" x14ac:dyDescent="0.35">
      <c r="A131" s="620">
        <v>130</v>
      </c>
      <c r="B131" s="617">
        <v>2</v>
      </c>
      <c r="C131" s="147">
        <v>1</v>
      </c>
      <c r="D131" s="147">
        <v>1</v>
      </c>
      <c r="E131" s="147">
        <v>1</v>
      </c>
      <c r="F131" s="147">
        <v>1</v>
      </c>
      <c r="G131" s="147">
        <v>1</v>
      </c>
      <c r="H131" s="147">
        <v>1</v>
      </c>
      <c r="I131" s="147">
        <v>1</v>
      </c>
      <c r="J131" s="147">
        <v>1</v>
      </c>
      <c r="K131" s="147">
        <v>1</v>
      </c>
      <c r="L131" s="147">
        <v>2</v>
      </c>
      <c r="M131" s="147">
        <v>1</v>
      </c>
      <c r="N131" s="147">
        <v>1</v>
      </c>
      <c r="O131" s="147">
        <v>1</v>
      </c>
      <c r="P131" s="147">
        <v>1</v>
      </c>
      <c r="Q131" s="147">
        <v>1</v>
      </c>
      <c r="R131" s="147">
        <v>1</v>
      </c>
      <c r="S131" s="147">
        <v>1</v>
      </c>
      <c r="T131" s="147">
        <v>1</v>
      </c>
      <c r="U131" s="147">
        <v>1</v>
      </c>
      <c r="V131" s="147">
        <v>7</v>
      </c>
      <c r="W131" s="147">
        <v>1</v>
      </c>
      <c r="X131" s="147">
        <v>1</v>
      </c>
      <c r="Y131" s="147">
        <v>1</v>
      </c>
      <c r="Z131" s="147">
        <v>4</v>
      </c>
      <c r="AA131" s="147">
        <v>1</v>
      </c>
      <c r="AB131" s="147">
        <v>1</v>
      </c>
      <c r="AC131" s="147">
        <v>7</v>
      </c>
      <c r="AD131" s="1466">
        <v>8</v>
      </c>
      <c r="AE131" s="1466">
        <v>1</v>
      </c>
      <c r="AF131" s="147">
        <v>1</v>
      </c>
      <c r="AG131" s="147">
        <v>1</v>
      </c>
      <c r="AH131" s="147">
        <v>1</v>
      </c>
      <c r="AI131" s="147">
        <v>1</v>
      </c>
      <c r="AJ131" s="147">
        <v>1</v>
      </c>
      <c r="AK131" s="147">
        <v>1</v>
      </c>
      <c r="AL131" s="147">
        <v>3</v>
      </c>
      <c r="AM131" s="828">
        <v>0</v>
      </c>
      <c r="AN131" s="147" t="b">
        <v>1</v>
      </c>
      <c r="AO131" s="147" t="b">
        <v>0</v>
      </c>
    </row>
    <row r="132" spans="1:41" x14ac:dyDescent="0.35">
      <c r="A132" s="620">
        <v>131</v>
      </c>
      <c r="B132" s="617">
        <v>2</v>
      </c>
      <c r="C132" s="147">
        <v>1</v>
      </c>
      <c r="D132" s="147">
        <v>1</v>
      </c>
      <c r="E132" s="147">
        <v>1</v>
      </c>
      <c r="F132" s="147">
        <v>1</v>
      </c>
      <c r="G132" s="147">
        <v>1</v>
      </c>
      <c r="H132" s="147">
        <v>1</v>
      </c>
      <c r="I132" s="147">
        <v>1</v>
      </c>
      <c r="J132" s="147">
        <v>1</v>
      </c>
      <c r="K132" s="147">
        <v>1</v>
      </c>
      <c r="L132" s="147">
        <v>2</v>
      </c>
      <c r="M132" s="147">
        <v>1</v>
      </c>
      <c r="N132" s="147">
        <v>4</v>
      </c>
      <c r="O132" s="147">
        <v>1</v>
      </c>
      <c r="P132" s="147">
        <v>1</v>
      </c>
      <c r="Q132" s="147">
        <v>1</v>
      </c>
      <c r="R132" s="147">
        <v>1</v>
      </c>
      <c r="S132" s="147">
        <v>1</v>
      </c>
      <c r="T132" s="147">
        <v>1</v>
      </c>
      <c r="U132" s="147">
        <v>1</v>
      </c>
      <c r="V132" s="147">
        <v>4</v>
      </c>
      <c r="W132" s="147">
        <v>1</v>
      </c>
      <c r="X132" s="147">
        <v>1</v>
      </c>
      <c r="Y132" s="147">
        <v>1</v>
      </c>
      <c r="Z132" s="147">
        <v>1</v>
      </c>
      <c r="AA132" s="147">
        <v>1</v>
      </c>
      <c r="AB132" s="147">
        <v>1</v>
      </c>
      <c r="AC132" s="147">
        <v>1</v>
      </c>
      <c r="AD132" s="1466">
        <v>1</v>
      </c>
      <c r="AE132" s="1466">
        <v>1</v>
      </c>
      <c r="AF132" s="147">
        <v>9</v>
      </c>
      <c r="AG132" s="147">
        <v>1</v>
      </c>
      <c r="AH132" s="147">
        <v>1</v>
      </c>
      <c r="AI132" s="147">
        <v>1</v>
      </c>
      <c r="AJ132" s="147">
        <v>1</v>
      </c>
      <c r="AK132" s="147">
        <v>1</v>
      </c>
      <c r="AL132" s="147">
        <v>4</v>
      </c>
      <c r="AM132" s="828">
        <v>0</v>
      </c>
      <c r="AN132" s="147" t="b">
        <v>0</v>
      </c>
      <c r="AO132" s="147" t="b">
        <v>0</v>
      </c>
    </row>
    <row r="133" spans="1:41" x14ac:dyDescent="0.35">
      <c r="A133" s="620">
        <v>132</v>
      </c>
      <c r="B133" s="617">
        <v>2</v>
      </c>
      <c r="C133" s="147">
        <v>6</v>
      </c>
      <c r="D133" s="147">
        <v>1</v>
      </c>
      <c r="E133" s="147">
        <v>1</v>
      </c>
      <c r="F133" s="147">
        <v>1</v>
      </c>
      <c r="G133" s="147">
        <v>1</v>
      </c>
      <c r="H133" s="147">
        <v>1</v>
      </c>
      <c r="I133" s="147">
        <v>4</v>
      </c>
      <c r="J133" s="147">
        <v>1</v>
      </c>
      <c r="K133" s="147">
        <v>1</v>
      </c>
      <c r="L133" s="147">
        <v>2</v>
      </c>
      <c r="M133" s="147">
        <v>1</v>
      </c>
      <c r="N133" s="147">
        <v>1</v>
      </c>
      <c r="O133" s="147">
        <v>1</v>
      </c>
      <c r="P133" s="147">
        <v>1</v>
      </c>
      <c r="Q133" s="147">
        <v>1</v>
      </c>
      <c r="R133" s="147">
        <v>1</v>
      </c>
      <c r="S133" s="147">
        <v>1</v>
      </c>
      <c r="T133" s="147">
        <v>1</v>
      </c>
      <c r="U133" s="147">
        <v>1</v>
      </c>
      <c r="V133" s="147">
        <v>4</v>
      </c>
      <c r="W133" s="147">
        <v>1</v>
      </c>
      <c r="X133" s="147">
        <v>1</v>
      </c>
      <c r="Y133" s="147">
        <v>1</v>
      </c>
      <c r="Z133" s="147">
        <v>1</v>
      </c>
      <c r="AA133" s="147">
        <v>1</v>
      </c>
      <c r="AB133" s="147">
        <v>1</v>
      </c>
      <c r="AC133" s="147">
        <v>1</v>
      </c>
      <c r="AD133" s="1466">
        <v>1</v>
      </c>
      <c r="AE133" s="1466">
        <v>1</v>
      </c>
      <c r="AF133" s="147">
        <v>1</v>
      </c>
      <c r="AG133" s="147">
        <v>1</v>
      </c>
      <c r="AH133" s="147">
        <v>1</v>
      </c>
      <c r="AI133" s="147">
        <v>1</v>
      </c>
      <c r="AJ133" s="147">
        <v>1</v>
      </c>
      <c r="AK133" s="147">
        <v>1</v>
      </c>
      <c r="AL133" s="147">
        <v>5</v>
      </c>
      <c r="AM133" s="828">
        <v>0</v>
      </c>
      <c r="AN133" s="147" t="b">
        <v>0</v>
      </c>
      <c r="AO133" s="147" t="b">
        <v>0</v>
      </c>
    </row>
    <row r="134" spans="1:41" x14ac:dyDescent="0.35">
      <c r="A134" s="620">
        <v>133</v>
      </c>
      <c r="B134" s="617">
        <v>2</v>
      </c>
      <c r="C134" s="147">
        <v>1</v>
      </c>
      <c r="D134" s="147">
        <v>11</v>
      </c>
      <c r="E134" s="147">
        <v>7</v>
      </c>
      <c r="F134" s="147">
        <v>1</v>
      </c>
      <c r="G134" s="147">
        <v>1</v>
      </c>
      <c r="H134" s="147">
        <v>1</v>
      </c>
      <c r="I134" s="147">
        <v>3</v>
      </c>
      <c r="J134" s="147">
        <v>1</v>
      </c>
      <c r="K134" s="147">
        <v>1</v>
      </c>
      <c r="L134" s="147">
        <v>2</v>
      </c>
      <c r="M134" s="147">
        <v>1</v>
      </c>
      <c r="N134" s="147">
        <v>1</v>
      </c>
      <c r="O134" s="147">
        <v>1</v>
      </c>
      <c r="P134" s="147">
        <v>1</v>
      </c>
      <c r="Q134" s="147">
        <v>1</v>
      </c>
      <c r="R134" s="147">
        <v>1</v>
      </c>
      <c r="S134" s="147">
        <v>1</v>
      </c>
      <c r="T134" s="147">
        <v>1</v>
      </c>
      <c r="U134" s="147">
        <v>1</v>
      </c>
      <c r="V134" s="147">
        <v>3</v>
      </c>
      <c r="W134" s="147">
        <v>1</v>
      </c>
      <c r="X134" s="147">
        <v>1</v>
      </c>
      <c r="Y134" s="147">
        <v>1</v>
      </c>
      <c r="Z134" s="147">
        <v>1</v>
      </c>
      <c r="AA134" s="147">
        <v>1</v>
      </c>
      <c r="AB134" s="147">
        <v>1</v>
      </c>
      <c r="AC134" s="147">
        <v>1</v>
      </c>
      <c r="AD134" s="1466">
        <v>1</v>
      </c>
      <c r="AE134" s="1466">
        <v>1</v>
      </c>
      <c r="AF134" s="147">
        <v>1</v>
      </c>
      <c r="AG134" s="147">
        <v>1</v>
      </c>
      <c r="AH134" s="147">
        <v>1</v>
      </c>
      <c r="AI134" s="147">
        <v>1</v>
      </c>
      <c r="AJ134" s="147">
        <v>1</v>
      </c>
      <c r="AK134" s="147">
        <v>1</v>
      </c>
      <c r="AL134" s="147">
        <v>7</v>
      </c>
      <c r="AM134" s="828">
        <v>0</v>
      </c>
      <c r="AN134" s="147" t="b">
        <v>0</v>
      </c>
      <c r="AO134" s="147" t="b">
        <v>0</v>
      </c>
    </row>
    <row r="135" spans="1:41" x14ac:dyDescent="0.35">
      <c r="A135" s="620">
        <v>134</v>
      </c>
      <c r="B135" s="617">
        <v>2</v>
      </c>
      <c r="C135" s="147">
        <v>1</v>
      </c>
      <c r="D135" s="147">
        <v>1</v>
      </c>
      <c r="E135" s="147">
        <v>1</v>
      </c>
      <c r="F135" s="147">
        <v>1</v>
      </c>
      <c r="G135" s="147">
        <v>1</v>
      </c>
      <c r="H135" s="147">
        <v>1</v>
      </c>
      <c r="I135" s="147">
        <v>1</v>
      </c>
      <c r="J135" s="147">
        <v>1</v>
      </c>
      <c r="K135" s="147">
        <v>1</v>
      </c>
      <c r="L135" s="147">
        <v>2</v>
      </c>
      <c r="M135" s="147">
        <v>1</v>
      </c>
      <c r="N135" s="147">
        <v>1</v>
      </c>
      <c r="O135" s="147">
        <v>1</v>
      </c>
      <c r="P135" s="147">
        <v>1</v>
      </c>
      <c r="Q135" s="147">
        <v>1</v>
      </c>
      <c r="R135" s="147">
        <v>1</v>
      </c>
      <c r="S135" s="147">
        <v>1</v>
      </c>
      <c r="T135" s="147">
        <v>1</v>
      </c>
      <c r="U135" s="147">
        <v>9</v>
      </c>
      <c r="V135" s="147">
        <v>1</v>
      </c>
      <c r="W135" s="147">
        <v>1</v>
      </c>
      <c r="X135" s="147">
        <v>1</v>
      </c>
      <c r="Y135" s="147">
        <v>1</v>
      </c>
      <c r="Z135" s="147">
        <v>3</v>
      </c>
      <c r="AA135" s="147">
        <v>1</v>
      </c>
      <c r="AB135" s="147">
        <v>1</v>
      </c>
      <c r="AC135" s="147">
        <v>1</v>
      </c>
      <c r="AD135" s="1466">
        <v>5</v>
      </c>
      <c r="AE135" s="1466">
        <v>1</v>
      </c>
      <c r="AF135" s="147">
        <v>1</v>
      </c>
      <c r="AG135" s="147">
        <v>1</v>
      </c>
      <c r="AH135" s="147">
        <v>1</v>
      </c>
      <c r="AI135" s="147">
        <v>1</v>
      </c>
      <c r="AJ135" s="147">
        <v>1</v>
      </c>
      <c r="AK135" s="147">
        <v>1</v>
      </c>
      <c r="AL135" s="147">
        <v>7</v>
      </c>
      <c r="AM135" s="828">
        <v>0</v>
      </c>
      <c r="AN135" s="147" t="b">
        <v>0</v>
      </c>
      <c r="AO135" s="147" t="b">
        <v>0</v>
      </c>
    </row>
    <row r="136" spans="1:41" x14ac:dyDescent="0.35">
      <c r="A136" s="620">
        <v>135</v>
      </c>
      <c r="B136" s="617">
        <v>2</v>
      </c>
      <c r="C136" s="147">
        <v>1</v>
      </c>
      <c r="D136" s="147">
        <v>1</v>
      </c>
      <c r="E136" s="147">
        <v>1</v>
      </c>
      <c r="F136" s="147">
        <v>1</v>
      </c>
      <c r="G136" s="147">
        <v>1</v>
      </c>
      <c r="H136" s="147">
        <v>1</v>
      </c>
      <c r="I136" s="147">
        <v>1</v>
      </c>
      <c r="J136" s="147">
        <v>1</v>
      </c>
      <c r="K136" s="147">
        <v>1</v>
      </c>
      <c r="L136" s="147">
        <v>2</v>
      </c>
      <c r="M136" s="147">
        <v>1</v>
      </c>
      <c r="N136" s="147">
        <v>1</v>
      </c>
      <c r="O136" s="147">
        <v>1</v>
      </c>
      <c r="P136" s="147">
        <v>1</v>
      </c>
      <c r="Q136" s="147">
        <v>1</v>
      </c>
      <c r="R136" s="147">
        <v>1</v>
      </c>
      <c r="S136" s="147">
        <v>1</v>
      </c>
      <c r="T136" s="147">
        <v>1</v>
      </c>
      <c r="U136" s="147">
        <v>9</v>
      </c>
      <c r="V136" s="147">
        <v>1</v>
      </c>
      <c r="W136" s="147">
        <v>1</v>
      </c>
      <c r="X136" s="147">
        <v>1</v>
      </c>
      <c r="Y136" s="147">
        <v>7</v>
      </c>
      <c r="Z136" s="147">
        <v>1</v>
      </c>
      <c r="AA136" s="147">
        <v>1</v>
      </c>
      <c r="AB136" s="147">
        <v>1</v>
      </c>
      <c r="AC136" s="147">
        <v>1</v>
      </c>
      <c r="AD136" s="1466">
        <v>5</v>
      </c>
      <c r="AE136" s="1466">
        <v>1</v>
      </c>
      <c r="AF136" s="147">
        <v>4</v>
      </c>
      <c r="AG136" s="147">
        <v>1</v>
      </c>
      <c r="AH136" s="147">
        <v>1</v>
      </c>
      <c r="AI136" s="147">
        <v>1</v>
      </c>
      <c r="AJ136" s="147">
        <v>1</v>
      </c>
      <c r="AK136" s="147">
        <v>1</v>
      </c>
      <c r="AL136" s="147">
        <v>7</v>
      </c>
      <c r="AM136" s="828">
        <v>0</v>
      </c>
      <c r="AN136" s="147" t="b">
        <v>0</v>
      </c>
      <c r="AO136" s="147" t="b">
        <v>1</v>
      </c>
    </row>
    <row r="137" spans="1:41" x14ac:dyDescent="0.35">
      <c r="A137" s="620">
        <v>136</v>
      </c>
      <c r="B137" s="617">
        <v>2</v>
      </c>
      <c r="C137" s="147">
        <v>1</v>
      </c>
      <c r="D137" s="147">
        <v>1</v>
      </c>
      <c r="E137" s="147">
        <v>1</v>
      </c>
      <c r="F137" s="147">
        <v>1</v>
      </c>
      <c r="G137" s="147">
        <v>1</v>
      </c>
      <c r="H137" s="147">
        <v>1</v>
      </c>
      <c r="I137" s="147">
        <v>1</v>
      </c>
      <c r="J137" s="147">
        <v>1</v>
      </c>
      <c r="K137" s="147">
        <v>1</v>
      </c>
      <c r="L137" s="147">
        <v>2</v>
      </c>
      <c r="M137" s="147">
        <v>1</v>
      </c>
      <c r="N137" s="147">
        <v>1</v>
      </c>
      <c r="O137" s="147">
        <v>1</v>
      </c>
      <c r="P137" s="147">
        <v>1</v>
      </c>
      <c r="Q137" s="147">
        <v>1</v>
      </c>
      <c r="R137" s="147">
        <v>1</v>
      </c>
      <c r="S137" s="147">
        <v>1</v>
      </c>
      <c r="T137" s="147">
        <v>1</v>
      </c>
      <c r="U137" s="147">
        <v>10</v>
      </c>
      <c r="V137" s="3724">
        <v>12</v>
      </c>
      <c r="W137" s="147">
        <v>1</v>
      </c>
      <c r="X137" s="147">
        <v>1</v>
      </c>
      <c r="Y137" s="147">
        <v>1</v>
      </c>
      <c r="Z137" s="147">
        <v>1</v>
      </c>
      <c r="AA137" s="147">
        <v>1</v>
      </c>
      <c r="AB137" s="147">
        <v>1</v>
      </c>
      <c r="AC137" s="147">
        <v>1</v>
      </c>
      <c r="AD137" s="1466">
        <v>1</v>
      </c>
      <c r="AE137" s="1466">
        <v>1</v>
      </c>
      <c r="AF137" s="147">
        <v>1</v>
      </c>
      <c r="AG137" s="147">
        <v>5</v>
      </c>
      <c r="AH137" s="147">
        <v>1</v>
      </c>
      <c r="AI137" s="147">
        <v>1</v>
      </c>
      <c r="AJ137" s="147">
        <v>1</v>
      </c>
      <c r="AK137" s="147">
        <v>1</v>
      </c>
      <c r="AL137" s="147">
        <v>7</v>
      </c>
      <c r="AM137" s="828">
        <v>0</v>
      </c>
      <c r="AN137" s="147" t="b">
        <v>0</v>
      </c>
      <c r="AO137" s="147" t="b">
        <v>0</v>
      </c>
    </row>
    <row r="138" spans="1:41" x14ac:dyDescent="0.35">
      <c r="A138" s="620">
        <v>137</v>
      </c>
      <c r="B138" s="617">
        <v>2</v>
      </c>
      <c r="C138" s="147">
        <v>1</v>
      </c>
      <c r="D138" s="147">
        <v>1</v>
      </c>
      <c r="E138" s="147">
        <v>1</v>
      </c>
      <c r="F138" s="147">
        <v>1</v>
      </c>
      <c r="G138" s="147">
        <v>1</v>
      </c>
      <c r="H138" s="147">
        <v>1</v>
      </c>
      <c r="I138" s="147">
        <v>1</v>
      </c>
      <c r="J138" s="147">
        <v>1</v>
      </c>
      <c r="K138" s="147">
        <v>1</v>
      </c>
      <c r="L138" s="147">
        <v>2</v>
      </c>
      <c r="M138" s="147">
        <v>1</v>
      </c>
      <c r="N138" s="147">
        <v>1</v>
      </c>
      <c r="O138" s="147">
        <v>1</v>
      </c>
      <c r="P138" s="147">
        <v>1</v>
      </c>
      <c r="Q138" s="147">
        <v>1</v>
      </c>
      <c r="R138" s="147">
        <v>1</v>
      </c>
      <c r="S138" s="147">
        <v>1</v>
      </c>
      <c r="T138" s="147">
        <v>1</v>
      </c>
      <c r="U138" s="147">
        <v>2</v>
      </c>
      <c r="V138" s="147">
        <v>7</v>
      </c>
      <c r="W138" s="147">
        <v>1</v>
      </c>
      <c r="X138" s="147">
        <v>1</v>
      </c>
      <c r="Y138" s="147">
        <v>1</v>
      </c>
      <c r="Z138" s="147">
        <v>1</v>
      </c>
      <c r="AA138" s="147">
        <v>1</v>
      </c>
      <c r="AB138" s="147">
        <v>1</v>
      </c>
      <c r="AC138" s="147">
        <v>1</v>
      </c>
      <c r="AD138" s="1466">
        <v>1</v>
      </c>
      <c r="AE138" s="1466">
        <v>1</v>
      </c>
      <c r="AF138" s="147">
        <v>1</v>
      </c>
      <c r="AG138" s="147">
        <v>1</v>
      </c>
      <c r="AH138" s="147">
        <v>1</v>
      </c>
      <c r="AI138" s="147">
        <v>1</v>
      </c>
      <c r="AJ138" s="147">
        <v>1</v>
      </c>
      <c r="AK138" s="147">
        <v>1</v>
      </c>
      <c r="AL138" s="147">
        <v>7</v>
      </c>
      <c r="AM138" s="828">
        <v>0</v>
      </c>
      <c r="AN138" s="147" t="b">
        <v>0</v>
      </c>
      <c r="AO138" s="147" t="b">
        <v>0</v>
      </c>
    </row>
    <row r="139" spans="1:41" x14ac:dyDescent="0.35">
      <c r="A139" s="620">
        <v>138</v>
      </c>
      <c r="B139" s="617">
        <v>2</v>
      </c>
      <c r="C139" s="147">
        <v>4</v>
      </c>
      <c r="D139" s="147">
        <v>1</v>
      </c>
      <c r="E139" s="147">
        <v>1</v>
      </c>
      <c r="F139" s="147">
        <v>1</v>
      </c>
      <c r="G139" s="147">
        <v>1</v>
      </c>
      <c r="H139" s="147">
        <v>1</v>
      </c>
      <c r="I139" s="147">
        <v>1</v>
      </c>
      <c r="J139" s="147">
        <v>1</v>
      </c>
      <c r="K139" s="147">
        <v>1</v>
      </c>
      <c r="L139" s="147">
        <v>2</v>
      </c>
      <c r="M139" s="147">
        <v>1</v>
      </c>
      <c r="N139" s="147">
        <v>1</v>
      </c>
      <c r="O139" s="147">
        <v>1</v>
      </c>
      <c r="P139" s="147">
        <v>1</v>
      </c>
      <c r="Q139" s="147">
        <v>1</v>
      </c>
      <c r="R139" s="147">
        <v>1</v>
      </c>
      <c r="S139" s="147">
        <v>1</v>
      </c>
      <c r="T139" s="147">
        <v>1</v>
      </c>
      <c r="U139" s="147">
        <v>1</v>
      </c>
      <c r="V139" s="147">
        <v>1</v>
      </c>
      <c r="W139" s="147">
        <v>1</v>
      </c>
      <c r="X139" s="147">
        <v>1</v>
      </c>
      <c r="Y139" s="147">
        <v>1</v>
      </c>
      <c r="Z139" s="147">
        <v>1</v>
      </c>
      <c r="AA139" s="147">
        <v>4</v>
      </c>
      <c r="AB139" s="147">
        <v>1</v>
      </c>
      <c r="AC139" s="147">
        <v>1</v>
      </c>
      <c r="AD139" s="1466">
        <v>6</v>
      </c>
      <c r="AE139" s="1466">
        <v>1</v>
      </c>
      <c r="AF139" s="147">
        <v>1</v>
      </c>
      <c r="AG139" s="147">
        <v>1</v>
      </c>
      <c r="AH139" s="147">
        <v>1</v>
      </c>
      <c r="AI139" s="147">
        <v>1</v>
      </c>
      <c r="AJ139" s="147">
        <v>1</v>
      </c>
      <c r="AK139" s="147">
        <v>1</v>
      </c>
      <c r="AL139" s="147">
        <v>7</v>
      </c>
      <c r="AM139" s="828">
        <v>0</v>
      </c>
      <c r="AN139" s="147" t="b">
        <v>0</v>
      </c>
      <c r="AO139" s="147" t="b">
        <v>0</v>
      </c>
    </row>
    <row r="140" spans="1:41" x14ac:dyDescent="0.35">
      <c r="A140" s="620">
        <v>139</v>
      </c>
      <c r="B140" s="617">
        <v>2</v>
      </c>
      <c r="C140" s="147">
        <v>1</v>
      </c>
      <c r="D140" s="147">
        <v>1</v>
      </c>
      <c r="E140" s="147">
        <v>1</v>
      </c>
      <c r="F140" s="147">
        <v>1</v>
      </c>
      <c r="G140" s="147">
        <v>1</v>
      </c>
      <c r="H140" s="147">
        <v>1</v>
      </c>
      <c r="I140" s="147">
        <v>1</v>
      </c>
      <c r="J140" s="147">
        <v>1</v>
      </c>
      <c r="K140" s="147">
        <v>1</v>
      </c>
      <c r="L140" s="147">
        <v>2</v>
      </c>
      <c r="M140" s="147">
        <v>1</v>
      </c>
      <c r="N140" s="147">
        <v>1</v>
      </c>
      <c r="O140" s="147">
        <v>1</v>
      </c>
      <c r="P140" s="147">
        <v>1</v>
      </c>
      <c r="Q140" s="147">
        <v>1</v>
      </c>
      <c r="R140" s="147">
        <v>1</v>
      </c>
      <c r="S140" s="147">
        <v>1</v>
      </c>
      <c r="T140" s="147">
        <v>1</v>
      </c>
      <c r="U140" s="147">
        <v>1</v>
      </c>
      <c r="V140" s="147">
        <v>1</v>
      </c>
      <c r="W140" s="147">
        <v>1</v>
      </c>
      <c r="X140" s="147">
        <v>1</v>
      </c>
      <c r="Y140" s="147">
        <v>1</v>
      </c>
      <c r="Z140" s="147">
        <v>1</v>
      </c>
      <c r="AA140" s="147">
        <v>7</v>
      </c>
      <c r="AB140" s="147">
        <v>1</v>
      </c>
      <c r="AC140" s="147">
        <v>1</v>
      </c>
      <c r="AD140" s="1466">
        <v>5</v>
      </c>
      <c r="AE140" s="1466">
        <v>1</v>
      </c>
      <c r="AF140" s="147">
        <v>1</v>
      </c>
      <c r="AG140" s="147">
        <v>1</v>
      </c>
      <c r="AH140" s="147">
        <v>1</v>
      </c>
      <c r="AI140" s="147">
        <v>6</v>
      </c>
      <c r="AJ140" s="147">
        <v>1</v>
      </c>
      <c r="AK140" s="147">
        <v>1</v>
      </c>
      <c r="AL140" s="147">
        <v>7</v>
      </c>
      <c r="AM140" s="828">
        <v>0</v>
      </c>
      <c r="AN140" s="147" t="b">
        <v>0</v>
      </c>
      <c r="AO140" s="147" t="b">
        <v>0</v>
      </c>
    </row>
    <row r="141" spans="1:41" x14ac:dyDescent="0.35">
      <c r="A141" s="620">
        <v>140</v>
      </c>
      <c r="B141" s="617">
        <v>2</v>
      </c>
      <c r="C141" s="147">
        <v>1</v>
      </c>
      <c r="D141" s="147">
        <v>1</v>
      </c>
      <c r="E141" s="147">
        <v>1</v>
      </c>
      <c r="F141" s="147">
        <v>1</v>
      </c>
      <c r="G141" s="147">
        <v>1</v>
      </c>
      <c r="H141" s="147">
        <v>1</v>
      </c>
      <c r="I141" s="147">
        <v>1</v>
      </c>
      <c r="J141" s="147">
        <v>1</v>
      </c>
      <c r="K141" s="147">
        <v>1</v>
      </c>
      <c r="L141" s="147">
        <v>2</v>
      </c>
      <c r="M141" s="147">
        <v>1</v>
      </c>
      <c r="N141" s="147">
        <v>1</v>
      </c>
      <c r="O141" s="147">
        <v>1</v>
      </c>
      <c r="P141" s="147">
        <v>1</v>
      </c>
      <c r="Q141" s="147">
        <v>1</v>
      </c>
      <c r="R141" s="147">
        <v>1</v>
      </c>
      <c r="S141" s="147">
        <v>1</v>
      </c>
      <c r="T141" s="147">
        <v>1</v>
      </c>
      <c r="U141" s="147">
        <v>1</v>
      </c>
      <c r="V141" s="147">
        <v>1</v>
      </c>
      <c r="W141" s="147">
        <v>1</v>
      </c>
      <c r="X141" s="147">
        <v>1</v>
      </c>
      <c r="Y141" s="147">
        <v>1</v>
      </c>
      <c r="Z141" s="147">
        <v>1</v>
      </c>
      <c r="AA141" s="147">
        <v>7</v>
      </c>
      <c r="AB141" s="147">
        <v>1</v>
      </c>
      <c r="AC141" s="147">
        <v>1</v>
      </c>
      <c r="AD141" s="1466">
        <v>2</v>
      </c>
      <c r="AE141" s="1466">
        <v>1</v>
      </c>
      <c r="AF141" s="147">
        <v>1</v>
      </c>
      <c r="AG141" s="147">
        <v>1</v>
      </c>
      <c r="AH141" s="147">
        <v>1</v>
      </c>
      <c r="AI141" s="147">
        <v>1</v>
      </c>
      <c r="AJ141" s="147">
        <v>1</v>
      </c>
      <c r="AK141" s="147">
        <v>1</v>
      </c>
      <c r="AL141" s="147">
        <v>3</v>
      </c>
      <c r="AM141" s="828">
        <v>0</v>
      </c>
      <c r="AN141" s="147" t="b">
        <v>1</v>
      </c>
      <c r="AO141" s="147" t="b">
        <v>0</v>
      </c>
    </row>
    <row r="142" spans="1:41" x14ac:dyDescent="0.35">
      <c r="A142" s="620">
        <v>141</v>
      </c>
      <c r="B142" s="617">
        <v>2</v>
      </c>
      <c r="C142" s="147">
        <v>1</v>
      </c>
      <c r="D142" s="147">
        <v>10</v>
      </c>
      <c r="E142" s="147">
        <v>1</v>
      </c>
      <c r="F142" s="147">
        <v>1</v>
      </c>
      <c r="G142" s="147">
        <v>1</v>
      </c>
      <c r="H142" s="147">
        <v>1</v>
      </c>
      <c r="I142" s="147">
        <v>1</v>
      </c>
      <c r="J142" s="147">
        <v>1</v>
      </c>
      <c r="K142" s="147">
        <v>1</v>
      </c>
      <c r="L142" s="147">
        <v>2</v>
      </c>
      <c r="M142" s="147">
        <v>1</v>
      </c>
      <c r="N142" s="147">
        <v>3</v>
      </c>
      <c r="O142" s="147">
        <v>1</v>
      </c>
      <c r="P142" s="147">
        <v>1</v>
      </c>
      <c r="Q142" s="147">
        <v>1</v>
      </c>
      <c r="R142" s="147">
        <v>1</v>
      </c>
      <c r="S142" s="147">
        <v>1</v>
      </c>
      <c r="T142" s="147">
        <v>1</v>
      </c>
      <c r="U142" s="147">
        <v>1</v>
      </c>
      <c r="V142" s="147">
        <v>1</v>
      </c>
      <c r="W142" s="147">
        <v>1</v>
      </c>
      <c r="X142" s="147">
        <v>1</v>
      </c>
      <c r="Y142" s="147">
        <v>1</v>
      </c>
      <c r="Z142" s="147">
        <v>1</v>
      </c>
      <c r="AA142" s="147">
        <v>7</v>
      </c>
      <c r="AB142" s="147">
        <v>1</v>
      </c>
      <c r="AC142" s="147">
        <v>1</v>
      </c>
      <c r="AD142" s="1466">
        <v>2</v>
      </c>
      <c r="AE142" s="1466">
        <v>1</v>
      </c>
      <c r="AF142" s="147">
        <v>1</v>
      </c>
      <c r="AG142" s="147">
        <v>1</v>
      </c>
      <c r="AH142" s="147">
        <v>1</v>
      </c>
      <c r="AI142" s="147">
        <v>1</v>
      </c>
      <c r="AJ142" s="147">
        <v>1</v>
      </c>
      <c r="AK142" s="147">
        <v>1</v>
      </c>
      <c r="AL142" s="147">
        <v>3</v>
      </c>
      <c r="AM142" s="828">
        <v>0</v>
      </c>
      <c r="AN142" s="147" t="b">
        <v>1</v>
      </c>
      <c r="AO142" s="147" t="b">
        <v>0</v>
      </c>
    </row>
    <row r="143" spans="1:41" x14ac:dyDescent="0.35">
      <c r="A143" s="620">
        <v>142</v>
      </c>
      <c r="B143" s="617">
        <v>2</v>
      </c>
      <c r="C143" s="147">
        <v>1</v>
      </c>
      <c r="D143" s="147">
        <v>1</v>
      </c>
      <c r="E143" s="147">
        <v>1</v>
      </c>
      <c r="F143" s="147">
        <v>1</v>
      </c>
      <c r="G143" s="147">
        <v>1</v>
      </c>
      <c r="H143" s="147">
        <v>1</v>
      </c>
      <c r="I143" s="147">
        <v>1</v>
      </c>
      <c r="J143" s="147">
        <v>1</v>
      </c>
      <c r="K143" s="147">
        <v>1</v>
      </c>
      <c r="L143" s="147">
        <v>2</v>
      </c>
      <c r="M143" s="147">
        <v>1</v>
      </c>
      <c r="N143" s="147">
        <v>1</v>
      </c>
      <c r="O143" s="147">
        <v>1</v>
      </c>
      <c r="P143" s="147">
        <v>1</v>
      </c>
      <c r="Q143" s="147">
        <v>1</v>
      </c>
      <c r="R143" s="147">
        <v>1</v>
      </c>
      <c r="S143" s="147">
        <v>1</v>
      </c>
      <c r="T143" s="147">
        <v>1</v>
      </c>
      <c r="U143" s="147">
        <v>1</v>
      </c>
      <c r="V143" s="147">
        <v>1</v>
      </c>
      <c r="W143" s="147">
        <v>1</v>
      </c>
      <c r="X143" s="147">
        <v>1</v>
      </c>
      <c r="Y143" s="147">
        <v>1</v>
      </c>
      <c r="Z143" s="147">
        <v>1</v>
      </c>
      <c r="AA143" s="147">
        <v>2</v>
      </c>
      <c r="AB143" s="147">
        <v>1</v>
      </c>
      <c r="AC143" s="147">
        <v>1</v>
      </c>
      <c r="AD143" s="1466">
        <v>5</v>
      </c>
      <c r="AE143" s="1466">
        <v>1</v>
      </c>
      <c r="AF143" s="147">
        <v>8</v>
      </c>
      <c r="AG143" s="147">
        <v>1</v>
      </c>
      <c r="AH143" s="147">
        <v>1</v>
      </c>
      <c r="AI143" s="147">
        <v>1</v>
      </c>
      <c r="AJ143" s="147">
        <v>1</v>
      </c>
      <c r="AK143" s="147">
        <v>1</v>
      </c>
      <c r="AL143" s="147">
        <v>5</v>
      </c>
      <c r="AM143" s="828">
        <v>0</v>
      </c>
      <c r="AN143" s="147" t="b">
        <v>0</v>
      </c>
      <c r="AO143" s="147" t="b">
        <v>1</v>
      </c>
    </row>
    <row r="144" spans="1:41" x14ac:dyDescent="0.35">
      <c r="A144" s="620">
        <v>143</v>
      </c>
      <c r="B144" s="617">
        <v>2</v>
      </c>
      <c r="C144" s="147">
        <v>1</v>
      </c>
      <c r="D144" s="147">
        <v>1</v>
      </c>
      <c r="E144" s="147">
        <v>1</v>
      </c>
      <c r="F144" s="147">
        <v>1</v>
      </c>
      <c r="G144" s="147">
        <v>1</v>
      </c>
      <c r="H144" s="147">
        <v>1</v>
      </c>
      <c r="I144" s="147">
        <v>1</v>
      </c>
      <c r="J144" s="147">
        <v>1</v>
      </c>
      <c r="K144" s="147">
        <v>1</v>
      </c>
      <c r="L144" s="147">
        <v>2</v>
      </c>
      <c r="M144" s="147">
        <v>1</v>
      </c>
      <c r="N144" s="147">
        <v>1</v>
      </c>
      <c r="O144" s="147">
        <v>1</v>
      </c>
      <c r="P144" s="147">
        <v>1</v>
      </c>
      <c r="Q144" s="147">
        <v>1</v>
      </c>
      <c r="R144" s="147">
        <v>1</v>
      </c>
      <c r="S144" s="147">
        <v>1</v>
      </c>
      <c r="T144" s="147">
        <v>1</v>
      </c>
      <c r="U144" s="147">
        <v>10</v>
      </c>
      <c r="V144" s="147">
        <v>1</v>
      </c>
      <c r="W144" s="147">
        <v>1</v>
      </c>
      <c r="X144" s="147">
        <v>1</v>
      </c>
      <c r="Y144" s="147">
        <v>1</v>
      </c>
      <c r="Z144" s="147">
        <v>1</v>
      </c>
      <c r="AA144" s="147">
        <v>5</v>
      </c>
      <c r="AB144" s="147">
        <v>1</v>
      </c>
      <c r="AC144" s="147">
        <v>1</v>
      </c>
      <c r="AD144" s="1466">
        <v>2</v>
      </c>
      <c r="AE144" s="1466">
        <v>1</v>
      </c>
      <c r="AF144" s="147">
        <v>1</v>
      </c>
      <c r="AG144" s="147">
        <v>1</v>
      </c>
      <c r="AH144" s="147">
        <v>1</v>
      </c>
      <c r="AI144" s="147">
        <v>2</v>
      </c>
      <c r="AJ144" s="147">
        <v>1</v>
      </c>
      <c r="AK144" s="147">
        <v>1</v>
      </c>
      <c r="AL144" s="147">
        <v>3</v>
      </c>
      <c r="AM144" s="828">
        <v>0</v>
      </c>
      <c r="AN144" s="147" t="b">
        <v>1</v>
      </c>
      <c r="AO144" s="147" t="b">
        <v>0</v>
      </c>
    </row>
    <row r="145" spans="1:41" x14ac:dyDescent="0.35">
      <c r="A145" s="620">
        <v>144</v>
      </c>
      <c r="B145" s="617">
        <v>2</v>
      </c>
      <c r="C145" s="147">
        <v>1</v>
      </c>
      <c r="D145" s="147">
        <v>1</v>
      </c>
      <c r="E145" s="147">
        <v>1</v>
      </c>
      <c r="F145" s="147">
        <v>1</v>
      </c>
      <c r="G145" s="147">
        <v>1</v>
      </c>
      <c r="H145" s="147">
        <v>1</v>
      </c>
      <c r="I145" s="147">
        <v>13</v>
      </c>
      <c r="J145" s="147">
        <v>1</v>
      </c>
      <c r="K145" s="147">
        <v>1</v>
      </c>
      <c r="L145" s="147">
        <v>2</v>
      </c>
      <c r="M145" s="147">
        <v>1</v>
      </c>
      <c r="N145" s="147">
        <v>1</v>
      </c>
      <c r="O145" s="147">
        <v>1</v>
      </c>
      <c r="P145" s="147">
        <v>1</v>
      </c>
      <c r="Q145" s="147">
        <v>1</v>
      </c>
      <c r="R145" s="147">
        <v>1</v>
      </c>
      <c r="S145" s="147">
        <v>1</v>
      </c>
      <c r="T145" s="147">
        <v>1</v>
      </c>
      <c r="U145" s="147">
        <v>1</v>
      </c>
      <c r="V145" s="147">
        <v>1</v>
      </c>
      <c r="W145" s="147">
        <v>1</v>
      </c>
      <c r="X145" s="147">
        <v>1</v>
      </c>
      <c r="Y145" s="147">
        <v>1</v>
      </c>
      <c r="Z145" s="147">
        <v>1</v>
      </c>
      <c r="AA145" s="147">
        <v>4</v>
      </c>
      <c r="AB145" s="147">
        <v>1</v>
      </c>
      <c r="AC145" s="147">
        <v>1</v>
      </c>
      <c r="AD145" s="1466">
        <v>6</v>
      </c>
      <c r="AE145" s="1466">
        <v>1</v>
      </c>
      <c r="AF145" s="147">
        <v>1</v>
      </c>
      <c r="AG145" s="147">
        <v>1</v>
      </c>
      <c r="AH145" s="147">
        <v>3</v>
      </c>
      <c r="AI145" s="147">
        <v>1</v>
      </c>
      <c r="AJ145" s="147">
        <v>1</v>
      </c>
      <c r="AK145" s="147">
        <v>1</v>
      </c>
      <c r="AL145" s="147">
        <v>7</v>
      </c>
      <c r="AM145" s="828">
        <v>0</v>
      </c>
      <c r="AN145" s="147" t="b">
        <v>0</v>
      </c>
      <c r="AO145" s="147" t="b">
        <v>0</v>
      </c>
    </row>
    <row r="146" spans="1:41" x14ac:dyDescent="0.35">
      <c r="A146" s="620">
        <v>145</v>
      </c>
      <c r="B146" s="617">
        <v>2</v>
      </c>
      <c r="C146" s="147">
        <v>1</v>
      </c>
      <c r="D146" s="147">
        <v>1</v>
      </c>
      <c r="E146" s="147">
        <v>1</v>
      </c>
      <c r="F146" s="147">
        <v>1</v>
      </c>
      <c r="G146" s="147">
        <v>1</v>
      </c>
      <c r="H146" s="147">
        <v>1</v>
      </c>
      <c r="I146" s="147">
        <v>1</v>
      </c>
      <c r="J146" s="147">
        <v>1</v>
      </c>
      <c r="K146" s="147">
        <v>1</v>
      </c>
      <c r="L146" s="147">
        <v>2</v>
      </c>
      <c r="M146" s="147">
        <v>1</v>
      </c>
      <c r="N146" s="147">
        <v>1</v>
      </c>
      <c r="O146" s="147">
        <v>1</v>
      </c>
      <c r="P146" s="147">
        <v>1</v>
      </c>
      <c r="Q146" s="147">
        <v>1</v>
      </c>
      <c r="R146" s="147">
        <v>1</v>
      </c>
      <c r="S146" s="147">
        <v>1</v>
      </c>
      <c r="T146" s="147">
        <v>1</v>
      </c>
      <c r="U146" s="147">
        <v>1</v>
      </c>
      <c r="V146" s="147">
        <v>1</v>
      </c>
      <c r="W146" s="147">
        <v>1</v>
      </c>
      <c r="X146" s="147">
        <v>1</v>
      </c>
      <c r="Y146" s="147">
        <v>1</v>
      </c>
      <c r="Z146" s="147">
        <v>1</v>
      </c>
      <c r="AA146" s="147">
        <v>7</v>
      </c>
      <c r="AB146" s="147">
        <v>1</v>
      </c>
      <c r="AC146" s="147">
        <v>1</v>
      </c>
      <c r="AD146" s="1466">
        <v>5</v>
      </c>
      <c r="AE146" s="1466">
        <v>1</v>
      </c>
      <c r="AF146" s="147">
        <v>1</v>
      </c>
      <c r="AG146" s="147">
        <v>6</v>
      </c>
      <c r="AH146" s="147">
        <v>1</v>
      </c>
      <c r="AI146" s="147">
        <v>1</v>
      </c>
      <c r="AJ146" s="147">
        <v>1</v>
      </c>
      <c r="AK146" s="147">
        <v>1</v>
      </c>
      <c r="AL146" s="147">
        <v>7</v>
      </c>
      <c r="AM146" s="828">
        <v>0</v>
      </c>
      <c r="AN146" s="147" t="b">
        <v>0</v>
      </c>
      <c r="AO146" s="147" t="b">
        <v>0</v>
      </c>
    </row>
    <row r="147" spans="1:41" x14ac:dyDescent="0.35">
      <c r="A147" s="620">
        <v>146</v>
      </c>
      <c r="B147" s="617">
        <v>2</v>
      </c>
      <c r="C147" s="147">
        <v>1</v>
      </c>
      <c r="D147" s="147">
        <v>1</v>
      </c>
      <c r="E147" s="147">
        <v>1</v>
      </c>
      <c r="F147" s="147">
        <v>1</v>
      </c>
      <c r="G147" s="147">
        <v>1</v>
      </c>
      <c r="H147" s="147">
        <v>1</v>
      </c>
      <c r="I147" s="147">
        <v>1</v>
      </c>
      <c r="J147" s="147">
        <v>1</v>
      </c>
      <c r="K147" s="147">
        <v>1</v>
      </c>
      <c r="L147" s="147">
        <v>2</v>
      </c>
      <c r="M147" s="147">
        <v>1</v>
      </c>
      <c r="N147" s="147">
        <v>1</v>
      </c>
      <c r="O147" s="147">
        <v>1</v>
      </c>
      <c r="P147" s="147">
        <v>1</v>
      </c>
      <c r="Q147" s="147">
        <v>1</v>
      </c>
      <c r="R147" s="147">
        <v>1</v>
      </c>
      <c r="S147" s="147">
        <v>1</v>
      </c>
      <c r="T147" s="147">
        <v>1</v>
      </c>
      <c r="U147" s="147">
        <v>1</v>
      </c>
      <c r="V147" s="147">
        <v>1</v>
      </c>
      <c r="W147" s="147">
        <v>1</v>
      </c>
      <c r="X147" s="147">
        <v>1</v>
      </c>
      <c r="Y147" s="147">
        <v>1</v>
      </c>
      <c r="Z147" s="147">
        <v>3</v>
      </c>
      <c r="AA147" s="147">
        <v>5</v>
      </c>
      <c r="AB147" s="147">
        <v>1</v>
      </c>
      <c r="AC147" s="147">
        <v>1</v>
      </c>
      <c r="AD147" s="1466">
        <v>5</v>
      </c>
      <c r="AE147" s="1466">
        <v>1</v>
      </c>
      <c r="AF147" s="147">
        <v>1</v>
      </c>
      <c r="AG147" s="147">
        <v>1</v>
      </c>
      <c r="AH147" s="147">
        <v>1</v>
      </c>
      <c r="AI147" s="147">
        <v>5</v>
      </c>
      <c r="AJ147" s="147">
        <v>1</v>
      </c>
      <c r="AK147" s="147">
        <v>1</v>
      </c>
      <c r="AL147" s="147">
        <v>7</v>
      </c>
      <c r="AM147" s="828">
        <v>0</v>
      </c>
      <c r="AN147" s="147" t="b">
        <v>0</v>
      </c>
      <c r="AO147" s="147" t="b">
        <v>0</v>
      </c>
    </row>
    <row r="148" spans="1:41" x14ac:dyDescent="0.35">
      <c r="A148" s="620">
        <v>147</v>
      </c>
      <c r="B148" s="617">
        <v>2</v>
      </c>
      <c r="C148" s="147">
        <v>1</v>
      </c>
      <c r="D148" s="147">
        <v>1</v>
      </c>
      <c r="E148" s="147">
        <v>1</v>
      </c>
      <c r="F148" s="147">
        <v>1</v>
      </c>
      <c r="G148" s="147">
        <v>1</v>
      </c>
      <c r="H148" s="147">
        <v>1</v>
      </c>
      <c r="I148" s="147">
        <v>1</v>
      </c>
      <c r="J148" s="147">
        <v>1</v>
      </c>
      <c r="K148" s="147">
        <v>1</v>
      </c>
      <c r="L148" s="147">
        <v>2</v>
      </c>
      <c r="M148" s="147">
        <v>1</v>
      </c>
      <c r="N148" s="147">
        <v>1</v>
      </c>
      <c r="O148" s="147">
        <v>1</v>
      </c>
      <c r="P148" s="147">
        <v>1</v>
      </c>
      <c r="Q148" s="147">
        <v>1</v>
      </c>
      <c r="R148" s="147">
        <v>1</v>
      </c>
      <c r="S148" s="147">
        <v>1</v>
      </c>
      <c r="T148" s="147">
        <v>1</v>
      </c>
      <c r="U148" s="147">
        <v>1</v>
      </c>
      <c r="V148" s="147">
        <v>6</v>
      </c>
      <c r="W148" s="147">
        <v>1</v>
      </c>
      <c r="X148" s="147">
        <v>1</v>
      </c>
      <c r="Y148" s="147">
        <v>1</v>
      </c>
      <c r="Z148" s="147">
        <v>1</v>
      </c>
      <c r="AA148" s="147">
        <v>5</v>
      </c>
      <c r="AB148" s="147">
        <v>1</v>
      </c>
      <c r="AC148" s="147">
        <v>1</v>
      </c>
      <c r="AD148" s="1466">
        <v>5</v>
      </c>
      <c r="AE148" s="1466">
        <v>1</v>
      </c>
      <c r="AF148" s="147">
        <v>1</v>
      </c>
      <c r="AG148" s="147">
        <v>1</v>
      </c>
      <c r="AH148" s="147">
        <v>1</v>
      </c>
      <c r="AI148" s="147">
        <v>1</v>
      </c>
      <c r="AJ148" s="147">
        <v>1</v>
      </c>
      <c r="AK148" s="147">
        <v>1</v>
      </c>
      <c r="AL148" s="147">
        <v>4</v>
      </c>
      <c r="AM148" s="828">
        <v>0</v>
      </c>
      <c r="AN148" s="147" t="b">
        <v>0</v>
      </c>
      <c r="AO148" s="147" t="b">
        <v>0</v>
      </c>
    </row>
    <row r="149" spans="1:41" x14ac:dyDescent="0.35">
      <c r="A149" s="620">
        <v>148</v>
      </c>
      <c r="B149" s="617">
        <v>2</v>
      </c>
      <c r="C149" s="147">
        <v>6</v>
      </c>
      <c r="D149" s="147">
        <v>1</v>
      </c>
      <c r="E149" s="147">
        <v>5</v>
      </c>
      <c r="F149" s="147">
        <v>3</v>
      </c>
      <c r="G149" s="147">
        <v>1</v>
      </c>
      <c r="H149" s="147">
        <v>1</v>
      </c>
      <c r="I149" s="147">
        <v>1</v>
      </c>
      <c r="J149" s="147">
        <v>1</v>
      </c>
      <c r="K149" s="147">
        <v>1</v>
      </c>
      <c r="L149" s="147">
        <v>2</v>
      </c>
      <c r="M149" s="147">
        <v>1</v>
      </c>
      <c r="N149" s="147">
        <v>1</v>
      </c>
      <c r="O149" s="147">
        <v>1</v>
      </c>
      <c r="P149" s="147">
        <v>1</v>
      </c>
      <c r="Q149" s="147">
        <v>4</v>
      </c>
      <c r="R149" s="147">
        <v>1</v>
      </c>
      <c r="S149" s="147">
        <v>1</v>
      </c>
      <c r="T149" s="147">
        <v>1</v>
      </c>
      <c r="U149" s="147">
        <v>1</v>
      </c>
      <c r="V149" s="147">
        <v>1</v>
      </c>
      <c r="W149" s="147">
        <v>1</v>
      </c>
      <c r="X149" s="147">
        <v>1</v>
      </c>
      <c r="Y149" s="147">
        <v>1</v>
      </c>
      <c r="Z149" s="147">
        <v>1</v>
      </c>
      <c r="AA149" s="147">
        <v>7</v>
      </c>
      <c r="AB149" s="147">
        <v>1</v>
      </c>
      <c r="AC149" s="147">
        <v>4</v>
      </c>
      <c r="AD149" s="1466">
        <v>10</v>
      </c>
      <c r="AE149" s="1466">
        <v>1</v>
      </c>
      <c r="AF149" s="147">
        <v>1</v>
      </c>
      <c r="AG149" s="147">
        <v>1</v>
      </c>
      <c r="AH149" s="147">
        <v>1</v>
      </c>
      <c r="AI149" s="147">
        <v>1</v>
      </c>
      <c r="AJ149" s="147">
        <v>1</v>
      </c>
      <c r="AK149" s="147">
        <v>1</v>
      </c>
      <c r="AL149" s="147">
        <v>5</v>
      </c>
      <c r="AM149" s="828">
        <v>0</v>
      </c>
      <c r="AN149" s="147" t="b">
        <v>0</v>
      </c>
      <c r="AO149" s="147" t="b">
        <v>0</v>
      </c>
    </row>
    <row r="150" spans="1:41" x14ac:dyDescent="0.35">
      <c r="A150" s="620">
        <v>149</v>
      </c>
      <c r="B150" s="617">
        <v>2</v>
      </c>
      <c r="C150" s="147">
        <v>1</v>
      </c>
      <c r="D150" s="147">
        <v>10</v>
      </c>
      <c r="E150" s="147">
        <v>1</v>
      </c>
      <c r="F150" s="147">
        <v>1</v>
      </c>
      <c r="G150" s="147">
        <v>1</v>
      </c>
      <c r="H150" s="147">
        <v>1</v>
      </c>
      <c r="I150" s="147">
        <v>1</v>
      </c>
      <c r="J150" s="147">
        <v>1</v>
      </c>
      <c r="K150" s="147">
        <v>1</v>
      </c>
      <c r="L150" s="147">
        <v>2</v>
      </c>
      <c r="M150" s="147">
        <v>1</v>
      </c>
      <c r="N150" s="147">
        <v>1</v>
      </c>
      <c r="O150" s="147">
        <v>1</v>
      </c>
      <c r="P150" s="147">
        <v>1</v>
      </c>
      <c r="Q150" s="147">
        <v>1</v>
      </c>
      <c r="R150" s="147">
        <v>1</v>
      </c>
      <c r="S150" s="147">
        <v>1</v>
      </c>
      <c r="T150" s="147">
        <v>3</v>
      </c>
      <c r="U150" s="147">
        <v>1</v>
      </c>
      <c r="V150" s="147">
        <v>1</v>
      </c>
      <c r="W150" s="147">
        <v>1</v>
      </c>
      <c r="X150" s="147">
        <v>3</v>
      </c>
      <c r="Y150" s="147">
        <v>1</v>
      </c>
      <c r="Z150" s="147">
        <v>1</v>
      </c>
      <c r="AA150" s="147">
        <v>1</v>
      </c>
      <c r="AB150" s="147">
        <v>1</v>
      </c>
      <c r="AC150" s="147">
        <v>1</v>
      </c>
      <c r="AD150" s="1466">
        <v>1</v>
      </c>
      <c r="AE150" s="1466">
        <v>1</v>
      </c>
      <c r="AF150" s="147">
        <v>1</v>
      </c>
      <c r="AG150" s="147">
        <v>1</v>
      </c>
      <c r="AH150" s="147">
        <v>1</v>
      </c>
      <c r="AI150" s="147">
        <v>1</v>
      </c>
      <c r="AJ150" s="147">
        <v>1</v>
      </c>
      <c r="AK150" s="147">
        <v>1</v>
      </c>
      <c r="AL150" s="147">
        <v>4</v>
      </c>
      <c r="AM150" s="828">
        <v>0</v>
      </c>
      <c r="AN150" s="147" t="b">
        <v>0</v>
      </c>
      <c r="AO150" s="147" t="b">
        <v>0</v>
      </c>
    </row>
    <row r="151" spans="1:41" x14ac:dyDescent="0.35">
      <c r="A151" s="620">
        <v>150</v>
      </c>
      <c r="B151" s="617">
        <v>2</v>
      </c>
      <c r="C151" s="147">
        <v>10</v>
      </c>
      <c r="D151" s="147">
        <v>1</v>
      </c>
      <c r="E151" s="147">
        <v>2</v>
      </c>
      <c r="F151" s="147">
        <v>1</v>
      </c>
      <c r="G151" s="147">
        <v>1</v>
      </c>
      <c r="H151" s="147">
        <v>1</v>
      </c>
      <c r="I151" s="147">
        <v>1</v>
      </c>
      <c r="J151" s="147">
        <v>1</v>
      </c>
      <c r="K151" s="147">
        <v>1</v>
      </c>
      <c r="L151" s="147">
        <v>2</v>
      </c>
      <c r="M151" s="147">
        <v>1</v>
      </c>
      <c r="N151" s="147">
        <v>1</v>
      </c>
      <c r="O151" s="147">
        <v>1</v>
      </c>
      <c r="P151" s="147">
        <v>1</v>
      </c>
      <c r="Q151" s="147">
        <v>1</v>
      </c>
      <c r="R151" s="147">
        <v>1</v>
      </c>
      <c r="S151" s="147">
        <v>1</v>
      </c>
      <c r="T151" s="147">
        <v>1</v>
      </c>
      <c r="U151" s="147">
        <v>1</v>
      </c>
      <c r="V151" s="147">
        <v>10</v>
      </c>
      <c r="W151" s="147">
        <v>1</v>
      </c>
      <c r="X151" s="147">
        <v>1</v>
      </c>
      <c r="Y151" s="147">
        <v>1</v>
      </c>
      <c r="Z151" s="147">
        <v>1</v>
      </c>
      <c r="AA151" s="147">
        <v>1</v>
      </c>
      <c r="AB151" s="147">
        <v>1</v>
      </c>
      <c r="AC151" s="147">
        <v>1</v>
      </c>
      <c r="AD151" s="1466">
        <v>1</v>
      </c>
      <c r="AE151" s="1466">
        <v>1</v>
      </c>
      <c r="AF151" s="147">
        <v>1</v>
      </c>
      <c r="AG151" s="147">
        <v>1</v>
      </c>
      <c r="AH151" s="147">
        <v>1</v>
      </c>
      <c r="AI151" s="147">
        <v>1</v>
      </c>
      <c r="AJ151" s="147">
        <v>1</v>
      </c>
      <c r="AK151" s="147">
        <v>1</v>
      </c>
      <c r="AL151" s="147">
        <v>7</v>
      </c>
      <c r="AM151" s="2641">
        <v>0</v>
      </c>
      <c r="AN151" s="147" t="b">
        <v>0</v>
      </c>
      <c r="AO151" s="147" t="b">
        <v>0</v>
      </c>
    </row>
    <row r="152" spans="1:41" x14ac:dyDescent="0.35">
      <c r="A152" s="620">
        <v>151</v>
      </c>
      <c r="B152" s="617">
        <v>2</v>
      </c>
      <c r="C152" s="147">
        <v>10</v>
      </c>
      <c r="D152" s="147">
        <v>1</v>
      </c>
      <c r="E152" s="147">
        <v>2</v>
      </c>
      <c r="F152" s="147">
        <v>1</v>
      </c>
      <c r="G152" s="147">
        <v>1</v>
      </c>
      <c r="H152" s="147">
        <v>1</v>
      </c>
      <c r="I152" s="147">
        <v>1</v>
      </c>
      <c r="J152" s="147">
        <v>1</v>
      </c>
      <c r="K152" s="147">
        <v>1</v>
      </c>
      <c r="L152" s="147">
        <v>2</v>
      </c>
      <c r="M152" s="147">
        <v>1</v>
      </c>
      <c r="N152" s="147">
        <v>1</v>
      </c>
      <c r="O152" s="147">
        <v>1</v>
      </c>
      <c r="P152" s="147">
        <v>1</v>
      </c>
      <c r="Q152" s="147">
        <v>1</v>
      </c>
      <c r="R152" s="147">
        <v>1</v>
      </c>
      <c r="S152" s="147">
        <v>1</v>
      </c>
      <c r="T152" s="147">
        <v>1</v>
      </c>
      <c r="U152" s="147">
        <v>1</v>
      </c>
      <c r="V152" s="147">
        <v>10</v>
      </c>
      <c r="W152" s="147">
        <v>1</v>
      </c>
      <c r="X152" s="147">
        <v>1</v>
      </c>
      <c r="Y152" s="147">
        <v>1</v>
      </c>
      <c r="Z152" s="147">
        <v>1</v>
      </c>
      <c r="AA152" s="147">
        <v>1</v>
      </c>
      <c r="AB152" s="147">
        <v>3</v>
      </c>
      <c r="AC152" s="147">
        <v>1</v>
      </c>
      <c r="AD152" s="1466">
        <v>9</v>
      </c>
      <c r="AE152" s="1466">
        <v>1</v>
      </c>
      <c r="AF152" s="147">
        <v>1</v>
      </c>
      <c r="AG152" s="147">
        <v>1</v>
      </c>
      <c r="AH152" s="147">
        <v>1</v>
      </c>
      <c r="AI152" s="147">
        <v>1</v>
      </c>
      <c r="AJ152" s="147">
        <v>1</v>
      </c>
      <c r="AK152" s="147">
        <v>1</v>
      </c>
      <c r="AL152" s="147">
        <v>7</v>
      </c>
      <c r="AM152" s="2641">
        <v>0</v>
      </c>
      <c r="AN152" s="147" t="b">
        <v>0</v>
      </c>
      <c r="AO152" s="147" t="b">
        <v>1</v>
      </c>
    </row>
    <row r="153" spans="1:41" x14ac:dyDescent="0.35">
      <c r="A153" s="620">
        <v>152</v>
      </c>
      <c r="B153" s="617">
        <v>2</v>
      </c>
      <c r="C153" s="147">
        <v>3</v>
      </c>
      <c r="D153" s="147">
        <v>1</v>
      </c>
      <c r="E153" s="147">
        <v>1</v>
      </c>
      <c r="F153" s="147">
        <v>1</v>
      </c>
      <c r="G153" s="147">
        <v>1</v>
      </c>
      <c r="H153" s="147">
        <v>1</v>
      </c>
      <c r="I153" s="147">
        <v>1</v>
      </c>
      <c r="J153" s="147">
        <v>1</v>
      </c>
      <c r="K153" s="147">
        <v>1</v>
      </c>
      <c r="L153" s="147">
        <v>2</v>
      </c>
      <c r="M153" s="147">
        <v>1</v>
      </c>
      <c r="N153" s="147">
        <v>1</v>
      </c>
      <c r="O153" s="147">
        <v>1</v>
      </c>
      <c r="P153" s="147">
        <v>1</v>
      </c>
      <c r="Q153" s="147">
        <v>1</v>
      </c>
      <c r="R153" s="147">
        <v>1</v>
      </c>
      <c r="S153" s="147">
        <v>1</v>
      </c>
      <c r="T153" s="147">
        <v>1</v>
      </c>
      <c r="U153" s="147">
        <v>1</v>
      </c>
      <c r="V153" s="147">
        <v>1</v>
      </c>
      <c r="W153" s="147">
        <v>1</v>
      </c>
      <c r="X153" s="147">
        <v>1</v>
      </c>
      <c r="Y153" s="147">
        <v>3</v>
      </c>
      <c r="Z153" s="147">
        <v>1</v>
      </c>
      <c r="AA153" s="147">
        <v>1</v>
      </c>
      <c r="AB153" s="147">
        <v>1</v>
      </c>
      <c r="AC153" s="147">
        <v>1</v>
      </c>
      <c r="AD153" s="1466">
        <v>6</v>
      </c>
      <c r="AE153" s="1466">
        <v>1</v>
      </c>
      <c r="AF153" s="147">
        <v>1</v>
      </c>
      <c r="AG153" s="147">
        <v>1</v>
      </c>
      <c r="AH153" s="147">
        <v>1</v>
      </c>
      <c r="AI153" s="147">
        <v>6</v>
      </c>
      <c r="AJ153" s="147">
        <v>1</v>
      </c>
      <c r="AK153" s="147">
        <v>1</v>
      </c>
      <c r="AL153" s="147">
        <v>7</v>
      </c>
      <c r="AM153" s="2641">
        <v>0</v>
      </c>
      <c r="AN153" s="147" t="b">
        <v>0</v>
      </c>
      <c r="AO153" s="147" t="b">
        <v>1</v>
      </c>
    </row>
    <row r="154" spans="1:41" x14ac:dyDescent="0.35">
      <c r="A154" s="620">
        <v>153</v>
      </c>
      <c r="B154" s="617">
        <v>2</v>
      </c>
      <c r="C154" s="147">
        <v>3</v>
      </c>
      <c r="D154" s="147">
        <v>1</v>
      </c>
      <c r="E154" s="147">
        <v>4</v>
      </c>
      <c r="F154" s="147">
        <v>1</v>
      </c>
      <c r="G154" s="147">
        <v>1</v>
      </c>
      <c r="H154" s="147">
        <v>1</v>
      </c>
      <c r="I154" s="147">
        <v>1</v>
      </c>
      <c r="J154" s="147">
        <v>1</v>
      </c>
      <c r="K154" s="147">
        <v>1</v>
      </c>
      <c r="L154" s="147">
        <v>2</v>
      </c>
      <c r="M154" s="147">
        <v>1</v>
      </c>
      <c r="N154" s="147">
        <v>1</v>
      </c>
      <c r="O154" s="147">
        <v>1</v>
      </c>
      <c r="P154" s="147">
        <v>1</v>
      </c>
      <c r="Q154" s="147">
        <v>1</v>
      </c>
      <c r="R154" s="147">
        <v>1</v>
      </c>
      <c r="S154" s="147">
        <v>1</v>
      </c>
      <c r="T154" s="147">
        <v>1</v>
      </c>
      <c r="U154" s="147">
        <v>1</v>
      </c>
      <c r="V154" s="147">
        <v>1</v>
      </c>
      <c r="W154" s="147">
        <v>1</v>
      </c>
      <c r="X154" s="147">
        <v>1</v>
      </c>
      <c r="Y154" s="147">
        <v>1</v>
      </c>
      <c r="Z154" s="147">
        <v>2</v>
      </c>
      <c r="AA154" s="147">
        <v>1</v>
      </c>
      <c r="AB154" s="147">
        <v>3</v>
      </c>
      <c r="AC154" s="147">
        <v>1</v>
      </c>
      <c r="AD154" s="1466">
        <v>9</v>
      </c>
      <c r="AE154" s="1466">
        <v>1</v>
      </c>
      <c r="AF154" s="147">
        <v>2</v>
      </c>
      <c r="AG154" s="147">
        <v>1</v>
      </c>
      <c r="AH154" s="147">
        <v>1</v>
      </c>
      <c r="AI154" s="147">
        <v>6</v>
      </c>
      <c r="AJ154" s="147">
        <v>1</v>
      </c>
      <c r="AK154" s="147">
        <v>1</v>
      </c>
      <c r="AL154" s="147">
        <v>7</v>
      </c>
      <c r="AM154" s="2641">
        <v>0</v>
      </c>
      <c r="AN154" s="147" t="b">
        <v>0</v>
      </c>
      <c r="AO154" s="147" t="b">
        <v>0</v>
      </c>
    </row>
    <row r="155" spans="1:41" x14ac:dyDescent="0.35">
      <c r="A155" s="620">
        <v>154</v>
      </c>
      <c r="B155" s="617">
        <v>2</v>
      </c>
      <c r="C155" s="147">
        <v>3</v>
      </c>
      <c r="D155" s="147">
        <v>1</v>
      </c>
      <c r="E155" s="147">
        <v>1</v>
      </c>
      <c r="F155" s="147">
        <v>1</v>
      </c>
      <c r="G155" s="147">
        <v>1</v>
      </c>
      <c r="H155" s="147">
        <v>1</v>
      </c>
      <c r="I155" s="147">
        <v>1</v>
      </c>
      <c r="J155" s="147">
        <v>1</v>
      </c>
      <c r="K155" s="147">
        <v>1</v>
      </c>
      <c r="L155" s="147">
        <v>2</v>
      </c>
      <c r="M155" s="147">
        <v>1</v>
      </c>
      <c r="N155" s="147">
        <v>1</v>
      </c>
      <c r="O155" s="147">
        <v>1</v>
      </c>
      <c r="P155" s="147">
        <v>1</v>
      </c>
      <c r="Q155" s="147">
        <v>1</v>
      </c>
      <c r="R155" s="147">
        <v>1</v>
      </c>
      <c r="S155" s="147">
        <v>1</v>
      </c>
      <c r="T155" s="147">
        <v>1</v>
      </c>
      <c r="U155" s="147">
        <v>1</v>
      </c>
      <c r="V155" s="147">
        <v>1</v>
      </c>
      <c r="W155" s="147">
        <v>1</v>
      </c>
      <c r="X155" s="147">
        <v>1</v>
      </c>
      <c r="Y155" s="147">
        <v>3</v>
      </c>
      <c r="Z155" s="147">
        <v>1</v>
      </c>
      <c r="AA155" s="147">
        <v>1</v>
      </c>
      <c r="AB155" s="147">
        <v>1</v>
      </c>
      <c r="AC155" s="147">
        <v>1</v>
      </c>
      <c r="AD155" s="1466">
        <v>6</v>
      </c>
      <c r="AE155" s="1466">
        <v>1</v>
      </c>
      <c r="AF155" s="147">
        <v>1</v>
      </c>
      <c r="AG155" s="147">
        <v>1</v>
      </c>
      <c r="AH155" s="147">
        <v>1</v>
      </c>
      <c r="AI155" s="147">
        <v>4</v>
      </c>
      <c r="AJ155" s="147">
        <v>1</v>
      </c>
      <c r="AK155" s="147">
        <v>1</v>
      </c>
      <c r="AL155" s="147">
        <v>7</v>
      </c>
      <c r="AM155" s="2641">
        <v>0</v>
      </c>
      <c r="AN155" s="147" t="b">
        <v>0</v>
      </c>
      <c r="AO155" s="147" t="b">
        <v>1</v>
      </c>
    </row>
    <row r="156" spans="1:41" x14ac:dyDescent="0.35">
      <c r="A156" s="620">
        <v>155</v>
      </c>
      <c r="B156" s="617">
        <v>2</v>
      </c>
      <c r="C156" s="147">
        <v>3</v>
      </c>
      <c r="D156" s="147">
        <v>1</v>
      </c>
      <c r="E156" s="147">
        <v>1</v>
      </c>
      <c r="F156" s="147">
        <v>1</v>
      </c>
      <c r="G156" s="147">
        <v>1</v>
      </c>
      <c r="H156" s="147">
        <v>1</v>
      </c>
      <c r="I156" s="147">
        <v>1</v>
      </c>
      <c r="J156" s="147">
        <v>1</v>
      </c>
      <c r="K156" s="147">
        <v>1</v>
      </c>
      <c r="L156" s="147">
        <v>2</v>
      </c>
      <c r="M156" s="147">
        <v>1</v>
      </c>
      <c r="N156" s="147">
        <v>1</v>
      </c>
      <c r="O156" s="147">
        <v>1</v>
      </c>
      <c r="P156" s="147">
        <v>1</v>
      </c>
      <c r="Q156" s="147">
        <v>1</v>
      </c>
      <c r="R156" s="147">
        <v>1</v>
      </c>
      <c r="S156" s="147">
        <v>1</v>
      </c>
      <c r="T156" s="147">
        <v>1</v>
      </c>
      <c r="U156" s="147">
        <v>1</v>
      </c>
      <c r="V156" s="147">
        <v>1</v>
      </c>
      <c r="W156" s="147">
        <v>1</v>
      </c>
      <c r="X156" s="147">
        <v>1</v>
      </c>
      <c r="Y156" s="147">
        <v>3</v>
      </c>
      <c r="Z156" s="147">
        <v>7</v>
      </c>
      <c r="AA156" s="147">
        <v>1</v>
      </c>
      <c r="AB156" s="147"/>
      <c r="AC156" s="147">
        <v>1</v>
      </c>
      <c r="AD156" s="1466">
        <v>6</v>
      </c>
      <c r="AE156" s="1466">
        <v>1</v>
      </c>
      <c r="AF156" s="147">
        <v>1</v>
      </c>
      <c r="AG156" s="147">
        <v>1</v>
      </c>
      <c r="AH156" s="147">
        <v>1</v>
      </c>
      <c r="AI156" s="147">
        <v>4</v>
      </c>
      <c r="AJ156" s="147">
        <v>1</v>
      </c>
      <c r="AK156" s="147">
        <v>1</v>
      </c>
      <c r="AL156" s="147">
        <v>7</v>
      </c>
      <c r="AM156" s="2641">
        <v>0</v>
      </c>
      <c r="AN156" s="147" t="b">
        <v>0</v>
      </c>
      <c r="AO156" s="147" t="b">
        <v>0</v>
      </c>
    </row>
    <row r="157" spans="1:41" x14ac:dyDescent="0.35">
      <c r="A157" s="620">
        <v>156</v>
      </c>
      <c r="B157" s="617">
        <v>2</v>
      </c>
      <c r="C157" s="147">
        <v>1</v>
      </c>
      <c r="D157" s="147">
        <v>1</v>
      </c>
      <c r="E157" s="147">
        <v>1</v>
      </c>
      <c r="F157" s="147">
        <v>1</v>
      </c>
      <c r="G157" s="147">
        <v>1</v>
      </c>
      <c r="H157" s="147">
        <v>1</v>
      </c>
      <c r="I157" s="147">
        <v>1</v>
      </c>
      <c r="J157" s="147">
        <v>1</v>
      </c>
      <c r="K157" s="147">
        <v>1</v>
      </c>
      <c r="L157" s="147">
        <v>2</v>
      </c>
      <c r="M157" s="147">
        <v>1</v>
      </c>
      <c r="N157" s="147">
        <v>1</v>
      </c>
      <c r="O157" s="147">
        <v>1</v>
      </c>
      <c r="P157" s="147">
        <v>1</v>
      </c>
      <c r="Q157" s="147">
        <v>1</v>
      </c>
      <c r="R157" s="147">
        <v>1</v>
      </c>
      <c r="S157" s="147">
        <v>1</v>
      </c>
      <c r="T157" s="147">
        <v>1</v>
      </c>
      <c r="U157" s="147">
        <v>1</v>
      </c>
      <c r="V157" s="147">
        <v>1</v>
      </c>
      <c r="W157" s="147">
        <v>1</v>
      </c>
      <c r="X157" s="147">
        <v>1</v>
      </c>
      <c r="Y157" s="147">
        <v>1</v>
      </c>
      <c r="Z157" s="147">
        <v>1</v>
      </c>
      <c r="AA157" s="147">
        <v>1</v>
      </c>
      <c r="AB157" s="147">
        <v>3</v>
      </c>
      <c r="AC157" s="147">
        <v>1</v>
      </c>
      <c r="AD157" s="1466">
        <v>9</v>
      </c>
      <c r="AE157" s="1466">
        <v>1</v>
      </c>
      <c r="AF157" s="147">
        <v>1</v>
      </c>
      <c r="AG157" s="147">
        <v>1</v>
      </c>
      <c r="AH157" s="147">
        <v>1</v>
      </c>
      <c r="AI157" s="147">
        <v>3</v>
      </c>
      <c r="AJ157" s="147">
        <v>1</v>
      </c>
      <c r="AK157" s="147">
        <v>1</v>
      </c>
      <c r="AL157" s="147">
        <v>7</v>
      </c>
      <c r="AM157" s="2641">
        <v>0</v>
      </c>
      <c r="AN157" s="147" t="b">
        <v>0</v>
      </c>
      <c r="AO157" s="147" t="b">
        <v>1</v>
      </c>
    </row>
    <row r="158" spans="1:41" x14ac:dyDescent="0.35">
      <c r="A158" s="620">
        <v>157</v>
      </c>
      <c r="B158" s="617">
        <v>2</v>
      </c>
      <c r="C158" s="147">
        <v>1</v>
      </c>
      <c r="D158" s="147">
        <v>1</v>
      </c>
      <c r="E158" s="147">
        <v>1</v>
      </c>
      <c r="F158" s="147">
        <v>1</v>
      </c>
      <c r="G158" s="147">
        <v>4</v>
      </c>
      <c r="H158" s="147">
        <v>1</v>
      </c>
      <c r="I158" s="147">
        <v>1</v>
      </c>
      <c r="J158" s="147">
        <v>1</v>
      </c>
      <c r="K158" s="147">
        <v>1</v>
      </c>
      <c r="L158" s="147">
        <v>2</v>
      </c>
      <c r="M158" s="147">
        <v>1</v>
      </c>
      <c r="N158" s="147">
        <v>1</v>
      </c>
      <c r="O158" s="147">
        <v>1</v>
      </c>
      <c r="P158" s="147">
        <v>1</v>
      </c>
      <c r="Q158" s="147">
        <v>1</v>
      </c>
      <c r="R158" s="147">
        <v>1</v>
      </c>
      <c r="S158" s="147">
        <v>1</v>
      </c>
      <c r="T158" s="147">
        <v>1</v>
      </c>
      <c r="U158" s="147">
        <v>1</v>
      </c>
      <c r="V158" s="147">
        <v>1</v>
      </c>
      <c r="W158" s="147">
        <v>1</v>
      </c>
      <c r="X158" s="147">
        <v>1</v>
      </c>
      <c r="Y158" s="147">
        <v>1</v>
      </c>
      <c r="Z158" s="147">
        <v>1</v>
      </c>
      <c r="AA158" s="147">
        <v>1</v>
      </c>
      <c r="AB158" s="147">
        <v>3</v>
      </c>
      <c r="AC158" s="147">
        <v>1</v>
      </c>
      <c r="AD158" s="1466">
        <v>9</v>
      </c>
      <c r="AE158" s="1466">
        <v>1</v>
      </c>
      <c r="AF158" s="147">
        <v>1</v>
      </c>
      <c r="AG158" s="147">
        <v>1</v>
      </c>
      <c r="AH158" s="147">
        <v>1</v>
      </c>
      <c r="AI158" s="147">
        <v>3</v>
      </c>
      <c r="AJ158" s="147">
        <v>1</v>
      </c>
      <c r="AK158" s="147">
        <v>1</v>
      </c>
      <c r="AL158" s="147">
        <v>2</v>
      </c>
      <c r="AM158" s="2641">
        <v>0</v>
      </c>
      <c r="AN158" s="147" t="b">
        <v>1</v>
      </c>
      <c r="AO158" s="147" t="b">
        <v>0</v>
      </c>
    </row>
    <row r="159" spans="1:41" x14ac:dyDescent="0.35">
      <c r="A159" s="620">
        <v>158</v>
      </c>
      <c r="B159" s="617">
        <v>2</v>
      </c>
      <c r="C159" s="147">
        <v>1</v>
      </c>
      <c r="D159" s="147">
        <v>1</v>
      </c>
      <c r="E159" s="147">
        <v>1</v>
      </c>
      <c r="F159" s="147">
        <v>1</v>
      </c>
      <c r="G159" s="147">
        <v>1</v>
      </c>
      <c r="H159" s="147">
        <v>1</v>
      </c>
      <c r="I159" s="147">
        <v>1</v>
      </c>
      <c r="J159" s="147">
        <v>1</v>
      </c>
      <c r="K159" s="147">
        <v>1</v>
      </c>
      <c r="L159" s="147">
        <v>2</v>
      </c>
      <c r="M159" s="147">
        <v>1</v>
      </c>
      <c r="N159" s="147">
        <v>1</v>
      </c>
      <c r="O159" s="147">
        <v>1</v>
      </c>
      <c r="P159" s="147">
        <v>1</v>
      </c>
      <c r="Q159" s="147">
        <v>1</v>
      </c>
      <c r="R159" s="147">
        <v>1</v>
      </c>
      <c r="S159" s="147">
        <v>1</v>
      </c>
      <c r="T159" s="147">
        <v>1</v>
      </c>
      <c r="U159" s="147">
        <v>1</v>
      </c>
      <c r="V159" s="147">
        <v>1</v>
      </c>
      <c r="W159" s="147">
        <v>1</v>
      </c>
      <c r="X159" s="147">
        <v>1</v>
      </c>
      <c r="Y159" s="147">
        <v>1</v>
      </c>
      <c r="Z159" s="147">
        <v>1</v>
      </c>
      <c r="AA159" s="147">
        <v>1</v>
      </c>
      <c r="AB159" s="147">
        <v>1</v>
      </c>
      <c r="AC159" s="147">
        <v>5</v>
      </c>
      <c r="AD159" s="1466">
        <v>7</v>
      </c>
      <c r="AE159" s="1466">
        <v>1</v>
      </c>
      <c r="AF159" s="147">
        <v>1</v>
      </c>
      <c r="AG159" s="147">
        <v>1</v>
      </c>
      <c r="AH159" s="147">
        <v>1</v>
      </c>
      <c r="AI159" s="147">
        <v>3</v>
      </c>
      <c r="AJ159" s="147">
        <v>1</v>
      </c>
      <c r="AK159" s="147">
        <v>1</v>
      </c>
      <c r="AL159" s="147">
        <v>7</v>
      </c>
      <c r="AM159" s="2641">
        <v>0</v>
      </c>
      <c r="AN159" s="147" t="b">
        <v>0</v>
      </c>
      <c r="AO159" s="147" t="b">
        <v>0</v>
      </c>
    </row>
    <row r="160" spans="1:41" x14ac:dyDescent="0.35">
      <c r="A160" s="620">
        <v>159</v>
      </c>
      <c r="B160" s="617">
        <v>2</v>
      </c>
      <c r="C160" s="147">
        <v>1</v>
      </c>
      <c r="D160" s="147">
        <v>1</v>
      </c>
      <c r="E160" s="147">
        <v>5</v>
      </c>
      <c r="F160" s="147">
        <v>1</v>
      </c>
      <c r="G160" s="147">
        <v>1</v>
      </c>
      <c r="H160" s="147">
        <v>1</v>
      </c>
      <c r="I160" s="147">
        <v>1</v>
      </c>
      <c r="J160" s="147">
        <v>1</v>
      </c>
      <c r="K160" s="147">
        <v>1</v>
      </c>
      <c r="L160" s="147">
        <v>2</v>
      </c>
      <c r="M160" s="147">
        <v>1</v>
      </c>
      <c r="N160" s="147">
        <v>10</v>
      </c>
      <c r="O160" s="147">
        <v>1</v>
      </c>
      <c r="P160" s="147">
        <v>1</v>
      </c>
      <c r="Q160" s="147">
        <v>1</v>
      </c>
      <c r="R160" s="147">
        <v>1</v>
      </c>
      <c r="S160" s="147">
        <v>1</v>
      </c>
      <c r="T160" s="147">
        <v>1</v>
      </c>
      <c r="U160" s="147">
        <v>1</v>
      </c>
      <c r="V160" s="147">
        <v>1</v>
      </c>
      <c r="W160" s="147">
        <v>1</v>
      </c>
      <c r="X160" s="147">
        <v>1</v>
      </c>
      <c r="Y160" s="147">
        <v>1</v>
      </c>
      <c r="Z160" s="147">
        <v>1</v>
      </c>
      <c r="AA160" s="147">
        <v>1</v>
      </c>
      <c r="AB160" s="147">
        <v>1</v>
      </c>
      <c r="AC160" s="147">
        <v>1</v>
      </c>
      <c r="AD160" s="1466">
        <v>1</v>
      </c>
      <c r="AE160" s="1466">
        <v>1</v>
      </c>
      <c r="AF160" s="147">
        <v>1</v>
      </c>
      <c r="AG160" s="147">
        <v>1</v>
      </c>
      <c r="AH160" s="147">
        <v>1</v>
      </c>
      <c r="AI160" s="147">
        <v>5</v>
      </c>
      <c r="AJ160" s="147">
        <v>1</v>
      </c>
      <c r="AK160" s="147">
        <v>1</v>
      </c>
      <c r="AL160" s="147">
        <v>7</v>
      </c>
      <c r="AM160" s="2641">
        <v>0</v>
      </c>
      <c r="AN160" s="147" t="b">
        <v>0</v>
      </c>
      <c r="AO160" s="147" t="b">
        <v>0</v>
      </c>
    </row>
    <row r="161" spans="1:41" x14ac:dyDescent="0.35">
      <c r="A161" s="620">
        <v>160</v>
      </c>
      <c r="B161" s="617">
        <v>2</v>
      </c>
      <c r="C161" s="147">
        <v>1</v>
      </c>
      <c r="D161" s="147">
        <v>1</v>
      </c>
      <c r="E161" s="147">
        <v>1</v>
      </c>
      <c r="F161" s="147">
        <v>1</v>
      </c>
      <c r="G161" s="147">
        <v>1</v>
      </c>
      <c r="H161" s="147">
        <v>1</v>
      </c>
      <c r="I161" s="147">
        <v>1</v>
      </c>
      <c r="J161" s="147">
        <v>1</v>
      </c>
      <c r="K161" s="147">
        <v>1</v>
      </c>
      <c r="L161" s="147">
        <v>2</v>
      </c>
      <c r="M161" s="147">
        <v>1</v>
      </c>
      <c r="N161" s="147">
        <v>10</v>
      </c>
      <c r="O161" s="147">
        <v>1</v>
      </c>
      <c r="P161" s="147">
        <v>1</v>
      </c>
      <c r="Q161" s="147">
        <v>1</v>
      </c>
      <c r="R161" s="147">
        <v>1</v>
      </c>
      <c r="S161" s="147">
        <v>1</v>
      </c>
      <c r="T161" s="147">
        <v>1</v>
      </c>
      <c r="U161" s="147">
        <v>1</v>
      </c>
      <c r="V161" s="147">
        <v>4</v>
      </c>
      <c r="W161" s="147">
        <v>1</v>
      </c>
      <c r="X161" s="147">
        <v>1</v>
      </c>
      <c r="Y161" s="147">
        <v>1</v>
      </c>
      <c r="Z161" s="147">
        <v>1</v>
      </c>
      <c r="AA161" s="147">
        <v>1</v>
      </c>
      <c r="AB161" s="147">
        <v>1</v>
      </c>
      <c r="AC161" s="147">
        <v>1</v>
      </c>
      <c r="AD161" s="1466">
        <v>1</v>
      </c>
      <c r="AE161" s="1466">
        <v>1</v>
      </c>
      <c r="AF161" s="147">
        <v>1</v>
      </c>
      <c r="AG161" s="147">
        <v>1</v>
      </c>
      <c r="AH161" s="147">
        <v>1</v>
      </c>
      <c r="AI161" s="147">
        <v>5</v>
      </c>
      <c r="AJ161" s="147">
        <v>1</v>
      </c>
      <c r="AK161" s="147">
        <v>1</v>
      </c>
      <c r="AL161" s="147">
        <v>7</v>
      </c>
      <c r="AM161" s="2641">
        <v>0</v>
      </c>
      <c r="AN161" s="147" t="b">
        <v>0</v>
      </c>
      <c r="AO161" s="147" t="b">
        <v>0</v>
      </c>
    </row>
    <row r="162" spans="1:41" x14ac:dyDescent="0.35">
      <c r="A162" s="620">
        <v>161</v>
      </c>
      <c r="B162" s="617">
        <v>2</v>
      </c>
      <c r="C162" s="147">
        <v>1</v>
      </c>
      <c r="D162" s="147">
        <v>1</v>
      </c>
      <c r="E162" s="147">
        <v>1</v>
      </c>
      <c r="F162" s="147">
        <v>1</v>
      </c>
      <c r="G162" s="147">
        <v>1</v>
      </c>
      <c r="H162" s="147">
        <v>1</v>
      </c>
      <c r="I162" s="147">
        <v>1</v>
      </c>
      <c r="J162" s="147">
        <v>1</v>
      </c>
      <c r="K162" s="147">
        <v>1</v>
      </c>
      <c r="L162" s="147">
        <v>2</v>
      </c>
      <c r="M162" s="147">
        <v>1</v>
      </c>
      <c r="N162" s="147">
        <v>8</v>
      </c>
      <c r="O162" s="147">
        <v>1</v>
      </c>
      <c r="P162" s="147">
        <v>1</v>
      </c>
      <c r="Q162" s="147">
        <v>1</v>
      </c>
      <c r="R162" s="147">
        <v>1</v>
      </c>
      <c r="S162" s="147">
        <v>1</v>
      </c>
      <c r="T162" s="147">
        <v>1</v>
      </c>
      <c r="U162" s="147">
        <v>1</v>
      </c>
      <c r="V162" s="147">
        <v>5</v>
      </c>
      <c r="W162" s="147">
        <v>1</v>
      </c>
      <c r="X162" s="147">
        <v>1</v>
      </c>
      <c r="Y162" s="147">
        <v>1</v>
      </c>
      <c r="Z162" s="147">
        <v>1</v>
      </c>
      <c r="AA162" s="147">
        <v>1</v>
      </c>
      <c r="AB162" s="147">
        <v>1</v>
      </c>
      <c r="AC162" s="147">
        <v>1</v>
      </c>
      <c r="AD162" s="1466">
        <v>1</v>
      </c>
      <c r="AE162" s="1466">
        <v>1</v>
      </c>
      <c r="AF162" s="147">
        <v>1</v>
      </c>
      <c r="AG162" s="147">
        <v>1</v>
      </c>
      <c r="AH162" s="147">
        <v>1</v>
      </c>
      <c r="AI162" s="147">
        <v>6</v>
      </c>
      <c r="AJ162" s="147">
        <v>1</v>
      </c>
      <c r="AK162" s="147">
        <v>1</v>
      </c>
      <c r="AL162" s="147">
        <v>7</v>
      </c>
      <c r="AM162" s="2641">
        <v>0</v>
      </c>
      <c r="AN162" s="147" t="b">
        <v>0</v>
      </c>
      <c r="AO162" s="147" t="b">
        <v>0</v>
      </c>
    </row>
    <row r="163" spans="1:41" x14ac:dyDescent="0.35">
      <c r="A163" s="620">
        <v>162</v>
      </c>
      <c r="B163" s="2894">
        <v>3</v>
      </c>
      <c r="C163" s="2895">
        <v>1</v>
      </c>
      <c r="D163" s="2895">
        <v>1</v>
      </c>
      <c r="E163" s="2895">
        <v>1</v>
      </c>
      <c r="F163" s="2895">
        <v>1</v>
      </c>
      <c r="G163" s="2895">
        <v>1</v>
      </c>
      <c r="H163" s="2895">
        <v>1</v>
      </c>
      <c r="I163" s="2895">
        <v>1</v>
      </c>
      <c r="J163" s="2895">
        <v>1</v>
      </c>
      <c r="K163" s="2895">
        <v>1</v>
      </c>
      <c r="L163" s="2895">
        <v>2</v>
      </c>
      <c r="M163" s="2895">
        <v>1</v>
      </c>
      <c r="N163" s="2895">
        <v>8</v>
      </c>
      <c r="O163" s="2895">
        <v>1</v>
      </c>
      <c r="P163" s="2895">
        <v>1</v>
      </c>
      <c r="Q163" s="2895">
        <v>1</v>
      </c>
      <c r="R163" s="2895">
        <v>1</v>
      </c>
      <c r="S163" s="2895">
        <v>1</v>
      </c>
      <c r="T163" s="2895">
        <v>1</v>
      </c>
      <c r="U163" s="2895">
        <v>1</v>
      </c>
      <c r="V163" s="2895">
        <v>5</v>
      </c>
      <c r="W163" s="2895">
        <v>1</v>
      </c>
      <c r="X163" s="2895">
        <v>1</v>
      </c>
      <c r="Y163" s="2895">
        <v>1</v>
      </c>
      <c r="Z163" s="2895">
        <v>1</v>
      </c>
      <c r="AA163" s="2895">
        <v>1</v>
      </c>
      <c r="AB163" s="2895">
        <v>1</v>
      </c>
      <c r="AC163" s="2895">
        <v>1</v>
      </c>
      <c r="AD163" s="2890">
        <v>1</v>
      </c>
      <c r="AE163" s="2890">
        <v>1</v>
      </c>
      <c r="AF163" s="2895">
        <v>1</v>
      </c>
      <c r="AG163" s="2895">
        <v>1</v>
      </c>
      <c r="AH163" s="2895">
        <v>1</v>
      </c>
      <c r="AI163" s="2895">
        <v>6</v>
      </c>
      <c r="AJ163" s="2895">
        <v>1</v>
      </c>
      <c r="AK163" s="2895">
        <v>1</v>
      </c>
      <c r="AL163" s="2895">
        <v>7</v>
      </c>
      <c r="AM163" s="2896">
        <v>0</v>
      </c>
      <c r="AN163" s="2895" t="b">
        <v>0</v>
      </c>
      <c r="AO163" s="2895" t="b">
        <v>0</v>
      </c>
    </row>
    <row r="164" spans="1:41" x14ac:dyDescent="0.35">
      <c r="A164" s="620">
        <v>163</v>
      </c>
      <c r="B164" s="617">
        <v>2</v>
      </c>
      <c r="C164" s="147">
        <v>1</v>
      </c>
      <c r="D164" s="147">
        <v>1</v>
      </c>
      <c r="E164" s="147">
        <v>1</v>
      </c>
      <c r="F164" s="147">
        <v>1</v>
      </c>
      <c r="G164" s="147">
        <v>1</v>
      </c>
      <c r="H164" s="147">
        <v>1</v>
      </c>
      <c r="I164" s="147">
        <v>1</v>
      </c>
      <c r="J164" s="147">
        <v>1</v>
      </c>
      <c r="K164" s="147">
        <v>1</v>
      </c>
      <c r="L164" s="147">
        <v>2</v>
      </c>
      <c r="M164" s="147">
        <v>1</v>
      </c>
      <c r="N164" s="147">
        <v>1</v>
      </c>
      <c r="O164" s="147">
        <v>1</v>
      </c>
      <c r="P164" s="147">
        <v>1</v>
      </c>
      <c r="Q164" s="147">
        <v>1</v>
      </c>
      <c r="R164" s="147">
        <v>1</v>
      </c>
      <c r="S164" s="147">
        <v>1</v>
      </c>
      <c r="T164" s="147">
        <v>1</v>
      </c>
      <c r="U164" s="147">
        <v>1</v>
      </c>
      <c r="V164" s="147">
        <v>5</v>
      </c>
      <c r="W164" s="147">
        <v>1</v>
      </c>
      <c r="X164" s="147">
        <v>1</v>
      </c>
      <c r="Y164" s="147">
        <v>1</v>
      </c>
      <c r="Z164" s="147">
        <v>1</v>
      </c>
      <c r="AA164" s="147">
        <v>1</v>
      </c>
      <c r="AB164" s="147">
        <v>1</v>
      </c>
      <c r="AC164" s="147">
        <v>1</v>
      </c>
      <c r="AD164" s="1466">
        <v>1</v>
      </c>
      <c r="AE164" s="1466">
        <v>1</v>
      </c>
      <c r="AF164" s="147">
        <v>1</v>
      </c>
      <c r="AG164" s="147">
        <v>1</v>
      </c>
      <c r="AH164" s="147">
        <v>1</v>
      </c>
      <c r="AI164" s="147">
        <v>6</v>
      </c>
      <c r="AJ164" s="147">
        <v>1</v>
      </c>
      <c r="AK164" s="147">
        <v>1</v>
      </c>
      <c r="AL164" s="147">
        <v>7</v>
      </c>
      <c r="AM164" s="2641">
        <v>0</v>
      </c>
      <c r="AN164" s="147" t="b">
        <v>0</v>
      </c>
      <c r="AO164" s="147" t="b">
        <v>0</v>
      </c>
    </row>
    <row r="165" spans="1:41" x14ac:dyDescent="0.35">
      <c r="A165" s="620">
        <v>164</v>
      </c>
      <c r="B165" s="617">
        <v>2</v>
      </c>
      <c r="C165" s="147">
        <v>3</v>
      </c>
      <c r="D165" s="147">
        <v>1</v>
      </c>
      <c r="E165" s="147">
        <v>1</v>
      </c>
      <c r="F165" s="147">
        <v>1</v>
      </c>
      <c r="G165" s="147">
        <v>1</v>
      </c>
      <c r="H165" s="147">
        <v>1</v>
      </c>
      <c r="I165" s="147">
        <v>1</v>
      </c>
      <c r="J165" s="147">
        <v>1</v>
      </c>
      <c r="K165" s="147">
        <v>1</v>
      </c>
      <c r="L165" s="147">
        <v>2</v>
      </c>
      <c r="M165" s="147">
        <v>1</v>
      </c>
      <c r="N165" s="147">
        <v>1</v>
      </c>
      <c r="O165" s="147">
        <v>1</v>
      </c>
      <c r="P165" s="147">
        <v>1</v>
      </c>
      <c r="Q165" s="147">
        <v>1</v>
      </c>
      <c r="R165" s="147">
        <v>1</v>
      </c>
      <c r="S165" s="147">
        <v>1</v>
      </c>
      <c r="T165" s="147">
        <v>1</v>
      </c>
      <c r="U165" s="147">
        <v>6</v>
      </c>
      <c r="V165" s="147">
        <v>2</v>
      </c>
      <c r="W165" s="147">
        <v>1</v>
      </c>
      <c r="X165" s="147">
        <v>1</v>
      </c>
      <c r="Y165" s="147">
        <v>1</v>
      </c>
      <c r="Z165" s="147">
        <v>1</v>
      </c>
      <c r="AA165" s="147">
        <v>1</v>
      </c>
      <c r="AB165" s="147">
        <v>1</v>
      </c>
      <c r="AC165" s="147">
        <v>1</v>
      </c>
      <c r="AD165" s="1466">
        <v>1</v>
      </c>
      <c r="AE165" s="1466">
        <v>1</v>
      </c>
      <c r="AF165" s="147">
        <v>1</v>
      </c>
      <c r="AG165" s="147">
        <v>1</v>
      </c>
      <c r="AH165" s="147">
        <v>1</v>
      </c>
      <c r="AI165" s="147">
        <v>1</v>
      </c>
      <c r="AJ165" s="147">
        <v>1</v>
      </c>
      <c r="AK165" s="147">
        <v>1</v>
      </c>
      <c r="AL165" s="147">
        <v>7</v>
      </c>
      <c r="AM165" s="2641">
        <v>0</v>
      </c>
      <c r="AN165" s="147" t="b">
        <v>0</v>
      </c>
      <c r="AO165" s="147" t="b">
        <v>0</v>
      </c>
    </row>
    <row r="166" spans="1:41" x14ac:dyDescent="0.35">
      <c r="A166" s="620">
        <v>165</v>
      </c>
      <c r="B166" s="617">
        <v>2</v>
      </c>
      <c r="C166" s="147">
        <v>1</v>
      </c>
      <c r="D166" s="147">
        <v>1</v>
      </c>
      <c r="E166" s="147">
        <v>1</v>
      </c>
      <c r="F166" s="147">
        <v>1</v>
      </c>
      <c r="G166" s="147">
        <v>1</v>
      </c>
      <c r="H166" s="147">
        <v>1</v>
      </c>
      <c r="I166" s="147">
        <v>1</v>
      </c>
      <c r="J166" s="147">
        <v>1</v>
      </c>
      <c r="K166" s="147">
        <v>1</v>
      </c>
      <c r="L166" s="147">
        <v>2</v>
      </c>
      <c r="M166" s="147">
        <v>1</v>
      </c>
      <c r="N166" s="147">
        <v>9</v>
      </c>
      <c r="O166" s="147">
        <v>1</v>
      </c>
      <c r="P166" s="147">
        <v>1</v>
      </c>
      <c r="Q166" s="147">
        <v>4</v>
      </c>
      <c r="R166" s="147">
        <v>1</v>
      </c>
      <c r="S166" s="147">
        <v>1</v>
      </c>
      <c r="T166" s="147">
        <v>1</v>
      </c>
      <c r="U166" s="147">
        <v>1</v>
      </c>
      <c r="V166" s="147">
        <v>1</v>
      </c>
      <c r="W166" s="147">
        <v>1</v>
      </c>
      <c r="X166" s="147">
        <v>1</v>
      </c>
      <c r="Y166" s="147">
        <v>1</v>
      </c>
      <c r="Z166" s="147">
        <v>1</v>
      </c>
      <c r="AA166" s="147">
        <v>1</v>
      </c>
      <c r="AB166" s="147">
        <v>1</v>
      </c>
      <c r="AC166" s="147">
        <v>1</v>
      </c>
      <c r="AD166" s="1466">
        <v>1</v>
      </c>
      <c r="AE166" s="1466">
        <v>1</v>
      </c>
      <c r="AF166" s="147">
        <v>1</v>
      </c>
      <c r="AG166" s="147">
        <v>1</v>
      </c>
      <c r="AH166" s="147">
        <v>1</v>
      </c>
      <c r="AI166" s="147">
        <v>1</v>
      </c>
      <c r="AJ166" s="147">
        <v>1</v>
      </c>
      <c r="AK166" s="147">
        <v>1</v>
      </c>
      <c r="AL166" s="147">
        <v>7</v>
      </c>
      <c r="AM166" s="2641">
        <v>0</v>
      </c>
      <c r="AN166" s="147" t="b">
        <v>0</v>
      </c>
      <c r="AO166" s="147" t="b">
        <v>0</v>
      </c>
    </row>
    <row r="167" spans="1:41" x14ac:dyDescent="0.35">
      <c r="A167" s="620">
        <v>166</v>
      </c>
      <c r="B167" s="617">
        <v>2</v>
      </c>
      <c r="C167" s="147">
        <v>1</v>
      </c>
      <c r="D167" s="147">
        <v>3</v>
      </c>
      <c r="E167" s="147">
        <v>1</v>
      </c>
      <c r="F167" s="147">
        <v>1</v>
      </c>
      <c r="G167" s="147">
        <v>1</v>
      </c>
      <c r="H167" s="147">
        <v>1</v>
      </c>
      <c r="I167" s="147">
        <v>1</v>
      </c>
      <c r="J167" s="147">
        <v>1</v>
      </c>
      <c r="K167" s="147">
        <v>1</v>
      </c>
      <c r="L167" s="147">
        <v>2</v>
      </c>
      <c r="M167" s="147">
        <v>1</v>
      </c>
      <c r="N167" s="147">
        <v>3</v>
      </c>
      <c r="O167" s="147">
        <v>1</v>
      </c>
      <c r="P167" s="147">
        <v>1</v>
      </c>
      <c r="Q167" s="147">
        <v>1</v>
      </c>
      <c r="R167" s="147">
        <v>1</v>
      </c>
      <c r="S167" s="147">
        <v>1</v>
      </c>
      <c r="T167" s="147">
        <v>1</v>
      </c>
      <c r="U167" s="147">
        <v>1</v>
      </c>
      <c r="V167" s="147">
        <v>1</v>
      </c>
      <c r="W167" s="147">
        <v>1</v>
      </c>
      <c r="X167" s="147">
        <v>1</v>
      </c>
      <c r="Y167" s="147">
        <v>1</v>
      </c>
      <c r="Z167" s="147">
        <v>1</v>
      </c>
      <c r="AA167" s="147">
        <v>1</v>
      </c>
      <c r="AB167" s="147">
        <v>1</v>
      </c>
      <c r="AC167" s="147">
        <v>1</v>
      </c>
      <c r="AD167" s="1466">
        <v>1</v>
      </c>
      <c r="AE167" s="1466">
        <v>1</v>
      </c>
      <c r="AF167" s="147">
        <v>1</v>
      </c>
      <c r="AG167" s="147">
        <v>1</v>
      </c>
      <c r="AH167" s="147">
        <v>1</v>
      </c>
      <c r="AI167" s="147">
        <v>1</v>
      </c>
      <c r="AJ167" s="147">
        <v>1</v>
      </c>
      <c r="AK167" s="147">
        <v>1</v>
      </c>
      <c r="AL167" s="147">
        <v>7</v>
      </c>
      <c r="AM167" s="2641">
        <v>0</v>
      </c>
      <c r="AN167" s="147" t="b">
        <v>0</v>
      </c>
      <c r="AO167" s="147" t="b">
        <v>0</v>
      </c>
    </row>
    <row r="168" spans="1:41" x14ac:dyDescent="0.35">
      <c r="A168" s="620">
        <v>167</v>
      </c>
      <c r="B168" s="617">
        <v>2</v>
      </c>
      <c r="C168" s="147">
        <v>3</v>
      </c>
      <c r="D168" s="147">
        <v>2</v>
      </c>
      <c r="E168" s="147">
        <v>1</v>
      </c>
      <c r="F168" s="147">
        <v>1</v>
      </c>
      <c r="G168" s="147">
        <v>1</v>
      </c>
      <c r="H168" s="147">
        <v>1</v>
      </c>
      <c r="I168" s="147">
        <v>1</v>
      </c>
      <c r="J168" s="147">
        <v>1</v>
      </c>
      <c r="K168" s="147">
        <v>1</v>
      </c>
      <c r="L168" s="147">
        <v>2</v>
      </c>
      <c r="M168" s="147">
        <v>1</v>
      </c>
      <c r="N168" s="147">
        <v>1</v>
      </c>
      <c r="O168" s="147">
        <v>3</v>
      </c>
      <c r="P168" s="147">
        <v>1</v>
      </c>
      <c r="Q168" s="147">
        <v>1</v>
      </c>
      <c r="R168" s="147">
        <v>1</v>
      </c>
      <c r="S168" s="147">
        <v>1</v>
      </c>
      <c r="T168" s="147">
        <v>1</v>
      </c>
      <c r="U168" s="147">
        <v>1</v>
      </c>
      <c r="V168" s="147">
        <v>1</v>
      </c>
      <c r="W168" s="147">
        <v>1</v>
      </c>
      <c r="X168" s="147">
        <v>1</v>
      </c>
      <c r="Y168" s="147">
        <v>1</v>
      </c>
      <c r="Z168" s="147">
        <v>1</v>
      </c>
      <c r="AA168" s="147">
        <v>1</v>
      </c>
      <c r="AB168" s="147">
        <v>1</v>
      </c>
      <c r="AC168" s="147">
        <v>1</v>
      </c>
      <c r="AD168" s="1466">
        <v>1</v>
      </c>
      <c r="AE168" s="1466">
        <v>1</v>
      </c>
      <c r="AF168" s="147">
        <v>4</v>
      </c>
      <c r="AG168" s="147">
        <v>1</v>
      </c>
      <c r="AH168" s="147">
        <v>1</v>
      </c>
      <c r="AI168" s="147">
        <v>1</v>
      </c>
      <c r="AJ168" s="147">
        <v>2</v>
      </c>
      <c r="AK168" s="147">
        <v>1</v>
      </c>
      <c r="AL168" s="147">
        <v>7</v>
      </c>
      <c r="AM168" s="2641">
        <v>0</v>
      </c>
      <c r="AN168" s="147" t="b">
        <v>1</v>
      </c>
      <c r="AO168" s="147" t="b">
        <v>0</v>
      </c>
    </row>
    <row r="169" spans="1:41" x14ac:dyDescent="0.35">
      <c r="A169" s="620">
        <v>168</v>
      </c>
      <c r="B169" s="617">
        <v>2</v>
      </c>
      <c r="C169" s="147">
        <v>3</v>
      </c>
      <c r="D169" s="147">
        <v>2</v>
      </c>
      <c r="E169" s="147">
        <v>1</v>
      </c>
      <c r="F169" s="147">
        <v>1</v>
      </c>
      <c r="G169" s="147">
        <v>1</v>
      </c>
      <c r="H169" s="147">
        <v>1</v>
      </c>
      <c r="I169" s="147">
        <v>1</v>
      </c>
      <c r="J169" s="147">
        <v>1</v>
      </c>
      <c r="K169" s="147">
        <v>1</v>
      </c>
      <c r="L169" s="147">
        <v>2</v>
      </c>
      <c r="M169" s="147">
        <v>1</v>
      </c>
      <c r="N169" s="147">
        <v>1</v>
      </c>
      <c r="O169" s="147">
        <v>2</v>
      </c>
      <c r="P169" s="147">
        <v>1</v>
      </c>
      <c r="Q169" s="147">
        <v>1</v>
      </c>
      <c r="R169" s="147">
        <v>1</v>
      </c>
      <c r="S169" s="147">
        <v>1</v>
      </c>
      <c r="T169" s="147">
        <v>1</v>
      </c>
      <c r="U169" s="147">
        <v>1</v>
      </c>
      <c r="V169" s="147">
        <v>1</v>
      </c>
      <c r="W169" s="147">
        <v>1</v>
      </c>
      <c r="X169" s="147">
        <v>1</v>
      </c>
      <c r="Y169" s="147">
        <v>1</v>
      </c>
      <c r="Z169" s="147">
        <v>1</v>
      </c>
      <c r="AA169" s="147">
        <v>1</v>
      </c>
      <c r="AB169" s="147">
        <v>1</v>
      </c>
      <c r="AC169" s="147">
        <v>1</v>
      </c>
      <c r="AD169" s="1466">
        <v>1</v>
      </c>
      <c r="AE169" s="1466">
        <v>1</v>
      </c>
      <c r="AF169" s="147">
        <v>4</v>
      </c>
      <c r="AG169" s="147">
        <v>1</v>
      </c>
      <c r="AH169" s="147">
        <v>1</v>
      </c>
      <c r="AI169" s="147">
        <v>1</v>
      </c>
      <c r="AJ169" s="147">
        <v>2</v>
      </c>
      <c r="AK169" s="147">
        <v>1</v>
      </c>
      <c r="AL169" s="147">
        <v>7</v>
      </c>
      <c r="AM169" s="2641">
        <v>0</v>
      </c>
      <c r="AN169" s="147" t="b">
        <v>1</v>
      </c>
      <c r="AO169" s="147" t="b">
        <v>0</v>
      </c>
    </row>
    <row r="170" spans="1:41" x14ac:dyDescent="0.35">
      <c r="A170" s="620">
        <v>169</v>
      </c>
      <c r="B170" s="617">
        <v>2</v>
      </c>
      <c r="C170" s="147">
        <v>3</v>
      </c>
      <c r="D170" s="147">
        <v>2</v>
      </c>
      <c r="E170" s="147">
        <v>1</v>
      </c>
      <c r="F170" s="147">
        <v>1</v>
      </c>
      <c r="G170" s="147">
        <v>1</v>
      </c>
      <c r="H170" s="147">
        <v>1</v>
      </c>
      <c r="I170" s="147">
        <v>1</v>
      </c>
      <c r="J170" s="147">
        <v>1</v>
      </c>
      <c r="K170" s="147">
        <v>1</v>
      </c>
      <c r="L170" s="147">
        <v>2</v>
      </c>
      <c r="M170" s="147">
        <v>1</v>
      </c>
      <c r="N170" s="147">
        <v>1</v>
      </c>
      <c r="O170" s="147">
        <v>1</v>
      </c>
      <c r="P170" s="147">
        <v>1</v>
      </c>
      <c r="Q170" s="147">
        <v>1</v>
      </c>
      <c r="R170" s="147">
        <v>1</v>
      </c>
      <c r="S170" s="147">
        <v>1</v>
      </c>
      <c r="T170" s="147">
        <v>1</v>
      </c>
      <c r="U170" s="147">
        <v>1</v>
      </c>
      <c r="V170" s="147">
        <v>1</v>
      </c>
      <c r="W170" s="147">
        <v>1</v>
      </c>
      <c r="X170" s="147">
        <v>1</v>
      </c>
      <c r="Y170" s="147">
        <v>1</v>
      </c>
      <c r="Z170" s="147">
        <v>1</v>
      </c>
      <c r="AA170" s="147">
        <v>1</v>
      </c>
      <c r="AB170" s="147">
        <v>1</v>
      </c>
      <c r="AC170" s="147">
        <v>2</v>
      </c>
      <c r="AD170" s="1466">
        <v>5</v>
      </c>
      <c r="AE170" s="1466">
        <v>1</v>
      </c>
      <c r="AF170" s="147">
        <v>3</v>
      </c>
      <c r="AG170" s="147">
        <v>1</v>
      </c>
      <c r="AH170" s="147">
        <v>1</v>
      </c>
      <c r="AI170" s="147">
        <v>1</v>
      </c>
      <c r="AJ170" s="147">
        <v>2</v>
      </c>
      <c r="AK170" s="147">
        <v>1</v>
      </c>
      <c r="AL170" s="147">
        <v>3</v>
      </c>
      <c r="AM170" s="2641">
        <v>0</v>
      </c>
      <c r="AN170" s="147" t="b">
        <v>1</v>
      </c>
      <c r="AO170" s="147" t="b">
        <v>0</v>
      </c>
    </row>
    <row r="171" spans="1:41" x14ac:dyDescent="0.35">
      <c r="A171" s="620">
        <v>170</v>
      </c>
      <c r="B171" s="617">
        <v>2</v>
      </c>
      <c r="C171" s="147">
        <v>3</v>
      </c>
      <c r="D171" s="147">
        <v>1</v>
      </c>
      <c r="E171" s="147">
        <v>1</v>
      </c>
      <c r="F171" s="147">
        <v>1</v>
      </c>
      <c r="G171" s="147">
        <v>1</v>
      </c>
      <c r="H171" s="147">
        <v>1</v>
      </c>
      <c r="I171" s="147">
        <v>1</v>
      </c>
      <c r="J171" s="147">
        <v>1</v>
      </c>
      <c r="K171" s="147">
        <v>1</v>
      </c>
      <c r="L171" s="147">
        <v>2</v>
      </c>
      <c r="M171" s="147">
        <v>1</v>
      </c>
      <c r="N171" s="147">
        <v>1</v>
      </c>
      <c r="O171" s="147">
        <v>1</v>
      </c>
      <c r="P171" s="147">
        <v>1</v>
      </c>
      <c r="Q171" s="147">
        <v>1</v>
      </c>
      <c r="R171" s="147">
        <v>1</v>
      </c>
      <c r="S171" s="147">
        <v>1</v>
      </c>
      <c r="T171" s="147">
        <v>1</v>
      </c>
      <c r="U171" s="147">
        <v>1</v>
      </c>
      <c r="V171" s="147">
        <v>6</v>
      </c>
      <c r="W171" s="147">
        <v>1</v>
      </c>
      <c r="X171" s="147">
        <v>1</v>
      </c>
      <c r="Y171" s="147">
        <v>1</v>
      </c>
      <c r="Z171" s="147">
        <v>1</v>
      </c>
      <c r="AA171" s="147">
        <v>1</v>
      </c>
      <c r="AB171" s="147">
        <v>1</v>
      </c>
      <c r="AC171" s="147">
        <v>1</v>
      </c>
      <c r="AD171" s="1466">
        <v>1</v>
      </c>
      <c r="AE171" s="1466">
        <v>1</v>
      </c>
      <c r="AF171" s="147">
        <v>1</v>
      </c>
      <c r="AG171" s="147">
        <v>1</v>
      </c>
      <c r="AH171" s="147">
        <v>2</v>
      </c>
      <c r="AI171" s="147">
        <v>1</v>
      </c>
      <c r="AJ171" s="147">
        <v>1</v>
      </c>
      <c r="AK171" s="147">
        <v>1</v>
      </c>
      <c r="AL171" s="147">
        <v>7</v>
      </c>
      <c r="AM171" s="2641">
        <v>0</v>
      </c>
      <c r="AN171" s="147" t="b">
        <v>0</v>
      </c>
      <c r="AO171" s="147" t="b">
        <v>0</v>
      </c>
    </row>
    <row r="172" spans="1:41" x14ac:dyDescent="0.35">
      <c r="A172" s="620">
        <v>171</v>
      </c>
      <c r="B172" s="617">
        <v>2</v>
      </c>
      <c r="C172" s="147">
        <v>15</v>
      </c>
      <c r="D172" s="147">
        <v>1</v>
      </c>
      <c r="E172" s="147">
        <v>1</v>
      </c>
      <c r="F172" s="147">
        <v>1</v>
      </c>
      <c r="G172" s="147">
        <v>1</v>
      </c>
      <c r="H172" s="147">
        <v>1</v>
      </c>
      <c r="I172" s="147">
        <v>1</v>
      </c>
      <c r="J172" s="147">
        <v>1</v>
      </c>
      <c r="K172" s="147">
        <v>1</v>
      </c>
      <c r="L172" s="147">
        <v>2</v>
      </c>
      <c r="M172" s="147">
        <v>1</v>
      </c>
      <c r="N172" s="147">
        <v>1</v>
      </c>
      <c r="O172" s="147">
        <v>1</v>
      </c>
      <c r="P172" s="147">
        <v>1</v>
      </c>
      <c r="Q172" s="147">
        <v>1</v>
      </c>
      <c r="R172" s="147">
        <v>1</v>
      </c>
      <c r="S172" s="147">
        <v>1</v>
      </c>
      <c r="T172" s="147">
        <v>1</v>
      </c>
      <c r="U172" s="147">
        <v>5</v>
      </c>
      <c r="V172" s="147">
        <v>1</v>
      </c>
      <c r="W172" s="147">
        <v>1</v>
      </c>
      <c r="X172" s="147">
        <v>1</v>
      </c>
      <c r="Y172" s="147">
        <v>1</v>
      </c>
      <c r="Z172" s="147">
        <v>1</v>
      </c>
      <c r="AA172" s="147">
        <v>1</v>
      </c>
      <c r="AB172" s="147">
        <v>1</v>
      </c>
      <c r="AC172" s="147">
        <v>1</v>
      </c>
      <c r="AD172" s="1466">
        <v>1</v>
      </c>
      <c r="AE172" s="1466">
        <v>1</v>
      </c>
      <c r="AF172" s="147">
        <v>8</v>
      </c>
      <c r="AG172" s="147">
        <v>1</v>
      </c>
      <c r="AH172" s="147">
        <v>1</v>
      </c>
      <c r="AI172" s="147">
        <v>1</v>
      </c>
      <c r="AJ172" s="147">
        <v>1</v>
      </c>
      <c r="AK172" s="147">
        <v>1</v>
      </c>
      <c r="AL172" s="147">
        <v>5</v>
      </c>
      <c r="AM172" s="2641">
        <v>0</v>
      </c>
      <c r="AN172" s="147" t="b">
        <v>0</v>
      </c>
      <c r="AO172" s="147" t="b">
        <v>0</v>
      </c>
    </row>
    <row r="173" spans="1:41" x14ac:dyDescent="0.35">
      <c r="A173" s="620">
        <v>172</v>
      </c>
      <c r="B173" s="617">
        <v>2</v>
      </c>
      <c r="C173" s="147">
        <v>11</v>
      </c>
      <c r="D173" s="147">
        <v>10</v>
      </c>
      <c r="E173" s="147">
        <v>3</v>
      </c>
      <c r="F173" s="147">
        <v>1</v>
      </c>
      <c r="G173" s="147">
        <v>1</v>
      </c>
      <c r="H173" s="147">
        <v>1</v>
      </c>
      <c r="I173" s="147">
        <v>1</v>
      </c>
      <c r="J173" s="147">
        <v>1</v>
      </c>
      <c r="K173" s="147">
        <v>1</v>
      </c>
      <c r="L173" s="147">
        <v>2</v>
      </c>
      <c r="M173" s="147">
        <v>1</v>
      </c>
      <c r="N173" s="147">
        <v>1</v>
      </c>
      <c r="O173" s="147">
        <v>1</v>
      </c>
      <c r="P173" s="147">
        <v>1</v>
      </c>
      <c r="Q173" s="147">
        <v>1</v>
      </c>
      <c r="R173" s="147">
        <v>1</v>
      </c>
      <c r="S173" s="147">
        <v>1</v>
      </c>
      <c r="T173" s="147">
        <v>2</v>
      </c>
      <c r="U173" s="147">
        <v>1</v>
      </c>
      <c r="V173" s="147">
        <v>1</v>
      </c>
      <c r="W173" s="147">
        <v>1</v>
      </c>
      <c r="X173" s="147">
        <v>1</v>
      </c>
      <c r="Y173" s="147">
        <v>1</v>
      </c>
      <c r="Z173" s="147">
        <v>1</v>
      </c>
      <c r="AA173" s="147">
        <v>1</v>
      </c>
      <c r="AB173" s="147">
        <v>1</v>
      </c>
      <c r="AC173" s="147">
        <v>1</v>
      </c>
      <c r="AD173" s="1466">
        <v>1</v>
      </c>
      <c r="AE173" s="1466">
        <v>1</v>
      </c>
      <c r="AF173" s="147">
        <v>1</v>
      </c>
      <c r="AG173" s="147">
        <v>1</v>
      </c>
      <c r="AH173" s="147">
        <v>1</v>
      </c>
      <c r="AI173" s="147">
        <v>1</v>
      </c>
      <c r="AJ173" s="147">
        <v>1</v>
      </c>
      <c r="AK173" s="147">
        <v>1</v>
      </c>
      <c r="AL173" s="147">
        <v>1</v>
      </c>
      <c r="AM173" s="2641">
        <v>0</v>
      </c>
      <c r="AN173" s="147" t="b">
        <v>0</v>
      </c>
      <c r="AO173" s="147" t="b">
        <v>0</v>
      </c>
    </row>
    <row r="174" spans="1:41" x14ac:dyDescent="0.35">
      <c r="A174" s="620">
        <v>173</v>
      </c>
      <c r="B174" s="617">
        <v>2</v>
      </c>
      <c r="C174" s="147">
        <v>11</v>
      </c>
      <c r="D174" s="147">
        <v>10</v>
      </c>
      <c r="E174" s="147">
        <v>3</v>
      </c>
      <c r="F174" s="147">
        <v>1</v>
      </c>
      <c r="G174" s="147">
        <v>1</v>
      </c>
      <c r="H174" s="147">
        <v>1</v>
      </c>
      <c r="I174" s="147">
        <v>1</v>
      </c>
      <c r="J174" s="147">
        <v>1</v>
      </c>
      <c r="K174" s="147">
        <v>1</v>
      </c>
      <c r="L174" s="147">
        <v>2</v>
      </c>
      <c r="M174" s="147">
        <v>1</v>
      </c>
      <c r="N174" s="147">
        <v>1</v>
      </c>
      <c r="O174" s="147">
        <v>1</v>
      </c>
      <c r="P174" s="147">
        <v>1</v>
      </c>
      <c r="Q174" s="147">
        <v>1</v>
      </c>
      <c r="R174" s="147">
        <v>1</v>
      </c>
      <c r="S174" s="147">
        <v>1</v>
      </c>
      <c r="T174" s="147">
        <v>5</v>
      </c>
      <c r="U174" s="147">
        <v>1</v>
      </c>
      <c r="V174" s="147">
        <v>1</v>
      </c>
      <c r="W174" s="147">
        <v>1</v>
      </c>
      <c r="X174" s="147">
        <v>1</v>
      </c>
      <c r="Y174" s="147">
        <v>1</v>
      </c>
      <c r="Z174" s="147">
        <v>1</v>
      </c>
      <c r="AA174" s="147">
        <v>1</v>
      </c>
      <c r="AB174" s="147">
        <v>1</v>
      </c>
      <c r="AC174" s="147">
        <v>1</v>
      </c>
      <c r="AD174" s="1466">
        <v>1</v>
      </c>
      <c r="AE174" s="1466">
        <v>1</v>
      </c>
      <c r="AF174" s="147">
        <v>1</v>
      </c>
      <c r="AG174" s="147">
        <v>1</v>
      </c>
      <c r="AH174" s="147">
        <v>1</v>
      </c>
      <c r="AI174" s="147">
        <v>1</v>
      </c>
      <c r="AJ174" s="147">
        <v>1</v>
      </c>
      <c r="AK174" s="147">
        <v>1</v>
      </c>
      <c r="AL174" s="147">
        <v>1</v>
      </c>
      <c r="AM174" s="2641">
        <v>0</v>
      </c>
      <c r="AN174" s="147" t="b">
        <v>0</v>
      </c>
      <c r="AO174" s="147" t="b">
        <v>0</v>
      </c>
    </row>
    <row r="175" spans="1:41" x14ac:dyDescent="0.35">
      <c r="A175" s="620">
        <v>174</v>
      </c>
      <c r="B175" s="617">
        <v>2</v>
      </c>
      <c r="C175" s="147">
        <v>11</v>
      </c>
      <c r="D175" s="147">
        <v>10</v>
      </c>
      <c r="E175" s="147">
        <v>3</v>
      </c>
      <c r="F175" s="147">
        <v>1</v>
      </c>
      <c r="G175" s="147">
        <v>1</v>
      </c>
      <c r="H175" s="147">
        <v>1</v>
      </c>
      <c r="I175" s="147">
        <v>1</v>
      </c>
      <c r="J175" s="147">
        <v>1</v>
      </c>
      <c r="K175" s="147">
        <v>1</v>
      </c>
      <c r="L175" s="147">
        <v>2</v>
      </c>
      <c r="M175" s="147">
        <v>1</v>
      </c>
      <c r="N175" s="147">
        <v>1</v>
      </c>
      <c r="O175" s="147">
        <v>1</v>
      </c>
      <c r="P175" s="147">
        <v>1</v>
      </c>
      <c r="Q175" s="147">
        <v>1</v>
      </c>
      <c r="R175" s="147">
        <v>1</v>
      </c>
      <c r="S175" s="147">
        <v>1</v>
      </c>
      <c r="T175" s="147">
        <v>6</v>
      </c>
      <c r="U175" s="147">
        <v>1</v>
      </c>
      <c r="V175" s="147">
        <v>1</v>
      </c>
      <c r="W175" s="147">
        <v>1</v>
      </c>
      <c r="X175" s="147">
        <v>1</v>
      </c>
      <c r="Y175" s="147">
        <v>1</v>
      </c>
      <c r="Z175" s="147">
        <v>1</v>
      </c>
      <c r="AA175" s="147">
        <v>1</v>
      </c>
      <c r="AB175" s="147">
        <v>1</v>
      </c>
      <c r="AC175" s="147">
        <v>1</v>
      </c>
      <c r="AD175" s="1466">
        <v>1</v>
      </c>
      <c r="AE175" s="1466">
        <v>1</v>
      </c>
      <c r="AF175" s="147">
        <v>1</v>
      </c>
      <c r="AG175" s="147">
        <v>1</v>
      </c>
      <c r="AH175" s="147">
        <v>1</v>
      </c>
      <c r="AI175" s="147">
        <v>1</v>
      </c>
      <c r="AJ175" s="147">
        <v>1</v>
      </c>
      <c r="AK175" s="147">
        <v>1</v>
      </c>
      <c r="AL175" s="147">
        <v>1</v>
      </c>
      <c r="AM175" s="2641">
        <v>0</v>
      </c>
      <c r="AN175" s="147" t="b">
        <v>0</v>
      </c>
      <c r="AO175" s="147" t="b">
        <v>0</v>
      </c>
    </row>
    <row r="176" spans="1:41" x14ac:dyDescent="0.35">
      <c r="A176" s="620">
        <v>175</v>
      </c>
      <c r="B176" s="617">
        <v>2</v>
      </c>
      <c r="C176" s="147">
        <v>11</v>
      </c>
      <c r="D176" s="147">
        <v>10</v>
      </c>
      <c r="E176" s="147">
        <v>3</v>
      </c>
      <c r="F176" s="147">
        <v>1</v>
      </c>
      <c r="G176" s="147">
        <v>1</v>
      </c>
      <c r="H176" s="147">
        <v>1</v>
      </c>
      <c r="I176" s="147">
        <v>1</v>
      </c>
      <c r="J176" s="147">
        <v>1</v>
      </c>
      <c r="K176" s="147">
        <v>1</v>
      </c>
      <c r="L176" s="147">
        <v>2</v>
      </c>
      <c r="M176" s="147">
        <v>1</v>
      </c>
      <c r="N176" s="147">
        <v>1</v>
      </c>
      <c r="O176" s="147">
        <v>1</v>
      </c>
      <c r="P176" s="147">
        <v>1</v>
      </c>
      <c r="Q176" s="147">
        <v>1</v>
      </c>
      <c r="R176" s="147">
        <v>1</v>
      </c>
      <c r="S176" s="147">
        <v>1</v>
      </c>
      <c r="T176" s="147">
        <v>8</v>
      </c>
      <c r="U176" s="147">
        <v>1</v>
      </c>
      <c r="V176" s="147">
        <v>1</v>
      </c>
      <c r="W176" s="147">
        <v>1</v>
      </c>
      <c r="X176" s="147">
        <v>1</v>
      </c>
      <c r="Y176" s="147">
        <v>1</v>
      </c>
      <c r="Z176" s="147">
        <v>1</v>
      </c>
      <c r="AA176" s="147">
        <v>1</v>
      </c>
      <c r="AB176" s="147">
        <v>1</v>
      </c>
      <c r="AC176" s="147">
        <v>1</v>
      </c>
      <c r="AD176" s="1466">
        <v>1</v>
      </c>
      <c r="AE176" s="1466">
        <v>1</v>
      </c>
      <c r="AF176" s="147">
        <v>1</v>
      </c>
      <c r="AG176" s="147">
        <v>1</v>
      </c>
      <c r="AH176" s="147">
        <v>1</v>
      </c>
      <c r="AI176" s="147">
        <v>1</v>
      </c>
      <c r="AJ176" s="147">
        <v>1</v>
      </c>
      <c r="AK176" s="147">
        <v>1</v>
      </c>
      <c r="AL176" s="147">
        <v>1</v>
      </c>
      <c r="AM176" s="2641">
        <v>0</v>
      </c>
      <c r="AN176" s="147" t="b">
        <v>0</v>
      </c>
      <c r="AO176" s="147" t="b">
        <v>0</v>
      </c>
    </row>
    <row r="177" spans="1:41" x14ac:dyDescent="0.35">
      <c r="A177" s="620">
        <v>176</v>
      </c>
      <c r="B177" s="617">
        <v>2</v>
      </c>
      <c r="C177" s="147">
        <v>10</v>
      </c>
      <c r="D177" s="147">
        <v>1</v>
      </c>
      <c r="E177" s="147">
        <v>1</v>
      </c>
      <c r="F177" s="147">
        <v>1</v>
      </c>
      <c r="G177" s="147">
        <v>1</v>
      </c>
      <c r="H177" s="147">
        <v>1</v>
      </c>
      <c r="I177" s="147">
        <v>2</v>
      </c>
      <c r="J177" s="147">
        <v>1</v>
      </c>
      <c r="K177" s="147">
        <v>1</v>
      </c>
      <c r="L177" s="147">
        <v>2</v>
      </c>
      <c r="M177" s="147">
        <v>1</v>
      </c>
      <c r="N177" s="147">
        <v>1</v>
      </c>
      <c r="O177" s="147">
        <v>1</v>
      </c>
      <c r="P177" s="147">
        <v>1</v>
      </c>
      <c r="Q177" s="147">
        <v>1</v>
      </c>
      <c r="R177" s="147">
        <v>1</v>
      </c>
      <c r="S177" s="147">
        <v>1</v>
      </c>
      <c r="T177" s="147">
        <v>1</v>
      </c>
      <c r="U177" s="147">
        <v>1</v>
      </c>
      <c r="V177" s="147">
        <v>2</v>
      </c>
      <c r="W177" s="147">
        <v>3</v>
      </c>
      <c r="X177" s="147">
        <v>1</v>
      </c>
      <c r="Y177" s="147">
        <v>1</v>
      </c>
      <c r="Z177" s="147">
        <v>1</v>
      </c>
      <c r="AA177" s="147">
        <v>1</v>
      </c>
      <c r="AB177" s="147">
        <v>1</v>
      </c>
      <c r="AC177" s="147">
        <v>1</v>
      </c>
      <c r="AD177" s="1466">
        <v>1</v>
      </c>
      <c r="AE177" s="1466">
        <v>1</v>
      </c>
      <c r="AF177" s="147">
        <v>1</v>
      </c>
      <c r="AG177" s="147">
        <v>1</v>
      </c>
      <c r="AH177" s="147">
        <v>1</v>
      </c>
      <c r="AI177" s="147">
        <v>1</v>
      </c>
      <c r="AJ177" s="147">
        <v>1</v>
      </c>
      <c r="AK177" s="147">
        <v>6</v>
      </c>
      <c r="AL177" s="147">
        <v>5</v>
      </c>
      <c r="AM177" s="828">
        <v>0</v>
      </c>
      <c r="AN177" s="147" t="b">
        <v>0</v>
      </c>
      <c r="AO177" s="147" t="b">
        <v>0</v>
      </c>
    </row>
    <row r="178" spans="1:41" x14ac:dyDescent="0.35">
      <c r="A178" s="620">
        <v>177</v>
      </c>
      <c r="B178" s="617">
        <v>2</v>
      </c>
      <c r="C178" s="147">
        <v>1</v>
      </c>
      <c r="D178" s="147">
        <v>1</v>
      </c>
      <c r="E178" s="147">
        <v>1</v>
      </c>
      <c r="F178" s="147">
        <v>1</v>
      </c>
      <c r="G178" s="147">
        <v>1</v>
      </c>
      <c r="H178" s="147">
        <v>1</v>
      </c>
      <c r="I178" s="147">
        <v>6</v>
      </c>
      <c r="J178" s="147">
        <v>1</v>
      </c>
      <c r="K178" s="147">
        <v>1</v>
      </c>
      <c r="L178" s="147">
        <v>2</v>
      </c>
      <c r="M178" s="147">
        <v>1</v>
      </c>
      <c r="N178" s="147">
        <v>1</v>
      </c>
      <c r="O178" s="147">
        <v>1</v>
      </c>
      <c r="P178" s="147">
        <v>1</v>
      </c>
      <c r="Q178" s="147">
        <v>1</v>
      </c>
      <c r="R178" s="147">
        <v>1</v>
      </c>
      <c r="S178" s="147">
        <v>1</v>
      </c>
      <c r="T178" s="147">
        <v>1</v>
      </c>
      <c r="U178" s="147">
        <v>1</v>
      </c>
      <c r="V178" s="147">
        <v>6</v>
      </c>
      <c r="W178" s="147">
        <v>4</v>
      </c>
      <c r="X178" s="147">
        <v>1</v>
      </c>
      <c r="Y178" s="147">
        <v>1</v>
      </c>
      <c r="Z178" s="147">
        <v>1</v>
      </c>
      <c r="AA178" s="147">
        <v>1</v>
      </c>
      <c r="AB178" s="147">
        <v>1</v>
      </c>
      <c r="AC178" s="147">
        <v>1</v>
      </c>
      <c r="AD178" s="1466">
        <v>1</v>
      </c>
      <c r="AE178" s="1466">
        <v>1</v>
      </c>
      <c r="AF178" s="147">
        <v>1</v>
      </c>
      <c r="AG178" s="147">
        <v>1</v>
      </c>
      <c r="AH178" s="147">
        <v>1</v>
      </c>
      <c r="AI178" s="147">
        <v>1</v>
      </c>
      <c r="AJ178" s="147">
        <v>1</v>
      </c>
      <c r="AK178" s="147">
        <v>1</v>
      </c>
      <c r="AL178" s="147">
        <v>5</v>
      </c>
      <c r="AM178" s="828">
        <v>0</v>
      </c>
      <c r="AN178" s="147" t="b">
        <v>0</v>
      </c>
      <c r="AO178" s="147" t="b">
        <v>0</v>
      </c>
    </row>
    <row r="179" spans="1:41" x14ac:dyDescent="0.35">
      <c r="A179" s="620">
        <v>178</v>
      </c>
      <c r="B179" s="617">
        <v>2</v>
      </c>
      <c r="C179" s="147">
        <v>2</v>
      </c>
      <c r="D179" s="147">
        <v>2</v>
      </c>
      <c r="E179" s="147">
        <v>1</v>
      </c>
      <c r="F179" s="147">
        <v>1</v>
      </c>
      <c r="G179" s="147">
        <v>1</v>
      </c>
      <c r="H179" s="147">
        <v>1</v>
      </c>
      <c r="I179" s="147">
        <v>1</v>
      </c>
      <c r="J179" s="147">
        <v>1</v>
      </c>
      <c r="K179" s="147">
        <v>1</v>
      </c>
      <c r="L179" s="147">
        <v>2</v>
      </c>
      <c r="M179" s="147">
        <v>1</v>
      </c>
      <c r="N179" s="147">
        <v>2</v>
      </c>
      <c r="O179" s="147">
        <v>1</v>
      </c>
      <c r="P179" s="147">
        <v>1</v>
      </c>
      <c r="Q179" s="147">
        <v>1</v>
      </c>
      <c r="R179" s="147">
        <v>1</v>
      </c>
      <c r="S179" s="147">
        <v>1</v>
      </c>
      <c r="T179" s="147">
        <v>1</v>
      </c>
      <c r="U179" s="147">
        <v>1</v>
      </c>
      <c r="V179" s="147">
        <v>1</v>
      </c>
      <c r="W179" s="147">
        <v>1</v>
      </c>
      <c r="X179" s="147">
        <v>1</v>
      </c>
      <c r="Y179" s="147">
        <v>1</v>
      </c>
      <c r="Z179" s="147">
        <v>1</v>
      </c>
      <c r="AA179" s="147">
        <v>1</v>
      </c>
      <c r="AB179" s="147">
        <v>1</v>
      </c>
      <c r="AC179" s="147">
        <v>1</v>
      </c>
      <c r="AD179" s="1466">
        <v>1</v>
      </c>
      <c r="AE179" s="1466">
        <v>1</v>
      </c>
      <c r="AF179" s="147">
        <v>9</v>
      </c>
      <c r="AG179" s="147">
        <v>1</v>
      </c>
      <c r="AH179" s="147">
        <v>1</v>
      </c>
      <c r="AI179" s="147">
        <v>1</v>
      </c>
      <c r="AJ179" s="147">
        <v>1</v>
      </c>
      <c r="AK179" s="147">
        <v>1</v>
      </c>
      <c r="AL179" s="147">
        <v>3</v>
      </c>
      <c r="AM179" s="2641">
        <v>0</v>
      </c>
      <c r="AN179" s="147" t="b">
        <v>0</v>
      </c>
      <c r="AO179" s="147" t="b">
        <v>0</v>
      </c>
    </row>
    <row r="180" spans="1:41" x14ac:dyDescent="0.35">
      <c r="A180" s="620">
        <v>179</v>
      </c>
      <c r="B180" s="617">
        <v>2</v>
      </c>
      <c r="C180" s="147">
        <v>1</v>
      </c>
      <c r="D180" s="147">
        <v>1</v>
      </c>
      <c r="E180" s="147">
        <v>1</v>
      </c>
      <c r="F180" s="147">
        <v>1</v>
      </c>
      <c r="G180" s="147">
        <v>1</v>
      </c>
      <c r="H180" s="147">
        <v>1</v>
      </c>
      <c r="I180" s="147">
        <v>1</v>
      </c>
      <c r="J180" s="147">
        <v>1</v>
      </c>
      <c r="K180" s="147">
        <v>1</v>
      </c>
      <c r="L180" s="147">
        <v>2</v>
      </c>
      <c r="M180" s="147">
        <v>1</v>
      </c>
      <c r="N180" s="147">
        <v>1</v>
      </c>
      <c r="O180" s="147">
        <v>1</v>
      </c>
      <c r="P180" s="147">
        <v>1</v>
      </c>
      <c r="Q180" s="147">
        <v>1</v>
      </c>
      <c r="R180" s="147">
        <v>1</v>
      </c>
      <c r="S180" s="147">
        <v>1</v>
      </c>
      <c r="T180" s="147">
        <v>1</v>
      </c>
      <c r="U180" s="147">
        <v>1</v>
      </c>
      <c r="V180" s="147">
        <v>7</v>
      </c>
      <c r="W180" s="147">
        <v>1</v>
      </c>
      <c r="X180" s="147">
        <v>1</v>
      </c>
      <c r="Y180" s="147">
        <v>1</v>
      </c>
      <c r="Z180" s="147">
        <v>1</v>
      </c>
      <c r="AA180" s="147">
        <v>1</v>
      </c>
      <c r="AB180" s="147">
        <v>1</v>
      </c>
      <c r="AC180" s="147">
        <v>1</v>
      </c>
      <c r="AD180" s="1466">
        <v>1</v>
      </c>
      <c r="AE180" s="1466">
        <v>1</v>
      </c>
      <c r="AF180" s="147">
        <v>9</v>
      </c>
      <c r="AG180" s="147">
        <v>2</v>
      </c>
      <c r="AH180" s="147">
        <v>1</v>
      </c>
      <c r="AI180" s="147">
        <v>1</v>
      </c>
      <c r="AJ180" s="147">
        <v>1</v>
      </c>
      <c r="AK180" s="147">
        <v>1</v>
      </c>
      <c r="AL180" s="147">
        <v>7</v>
      </c>
      <c r="AM180" s="2641">
        <v>0</v>
      </c>
      <c r="AN180" s="147" t="b">
        <v>0</v>
      </c>
      <c r="AO180" s="147" t="b">
        <v>0</v>
      </c>
    </row>
    <row r="181" spans="1:41" x14ac:dyDescent="0.35">
      <c r="A181" s="620">
        <v>180</v>
      </c>
      <c r="B181" s="617">
        <v>2</v>
      </c>
      <c r="C181" s="147">
        <v>6</v>
      </c>
      <c r="D181" s="147">
        <v>1</v>
      </c>
      <c r="E181" s="147">
        <v>1</v>
      </c>
      <c r="F181" s="147">
        <v>1</v>
      </c>
      <c r="G181" s="147">
        <v>1</v>
      </c>
      <c r="H181" s="147">
        <v>1</v>
      </c>
      <c r="I181" s="147">
        <v>13</v>
      </c>
      <c r="J181" s="147">
        <v>1</v>
      </c>
      <c r="K181" s="147">
        <v>1</v>
      </c>
      <c r="L181" s="147">
        <v>2</v>
      </c>
      <c r="M181" s="147">
        <v>1</v>
      </c>
      <c r="N181" s="147">
        <v>3</v>
      </c>
      <c r="O181" s="147">
        <v>1</v>
      </c>
      <c r="P181" s="147">
        <v>1</v>
      </c>
      <c r="Q181" s="147">
        <v>1</v>
      </c>
      <c r="R181" s="147">
        <v>1</v>
      </c>
      <c r="S181" s="147">
        <v>1</v>
      </c>
      <c r="T181" s="147">
        <v>1</v>
      </c>
      <c r="U181" s="147">
        <v>1</v>
      </c>
      <c r="V181" s="147">
        <v>1</v>
      </c>
      <c r="W181" s="147">
        <v>1</v>
      </c>
      <c r="X181" s="147">
        <v>1</v>
      </c>
      <c r="Y181" s="147">
        <v>1</v>
      </c>
      <c r="Z181" s="147">
        <v>1</v>
      </c>
      <c r="AA181" s="147">
        <v>1</v>
      </c>
      <c r="AB181" s="147">
        <v>1</v>
      </c>
      <c r="AC181" s="147">
        <v>1</v>
      </c>
      <c r="AD181" s="1466">
        <v>1</v>
      </c>
      <c r="AE181" s="1466">
        <v>1</v>
      </c>
      <c r="AF181" s="147">
        <v>8</v>
      </c>
      <c r="AG181" s="147">
        <v>1</v>
      </c>
      <c r="AH181" s="147">
        <v>3</v>
      </c>
      <c r="AI181" s="147">
        <v>1</v>
      </c>
      <c r="AJ181" s="147">
        <v>1</v>
      </c>
      <c r="AK181" s="147">
        <v>1</v>
      </c>
      <c r="AL181" s="147">
        <v>5</v>
      </c>
      <c r="AM181" s="828">
        <v>0</v>
      </c>
      <c r="AN181" s="147" t="b">
        <v>0</v>
      </c>
      <c r="AO181" s="147" t="b">
        <v>0</v>
      </c>
    </row>
    <row r="182" spans="1:41" x14ac:dyDescent="0.35">
      <c r="A182" s="620">
        <v>181</v>
      </c>
      <c r="B182" s="617">
        <v>2</v>
      </c>
      <c r="C182" s="147">
        <v>8</v>
      </c>
      <c r="D182" s="147">
        <v>5</v>
      </c>
      <c r="E182" s="147">
        <v>1</v>
      </c>
      <c r="F182" s="147">
        <v>1</v>
      </c>
      <c r="G182" s="147">
        <v>1</v>
      </c>
      <c r="H182" s="147">
        <v>1</v>
      </c>
      <c r="I182" s="147">
        <v>1</v>
      </c>
      <c r="J182" s="147">
        <v>1</v>
      </c>
      <c r="K182" s="147">
        <v>1</v>
      </c>
      <c r="L182" s="147">
        <v>2</v>
      </c>
      <c r="M182" s="147">
        <v>1</v>
      </c>
      <c r="N182" s="147">
        <v>1</v>
      </c>
      <c r="O182" s="147">
        <v>3</v>
      </c>
      <c r="P182" s="147">
        <v>1</v>
      </c>
      <c r="Q182" s="147">
        <v>1</v>
      </c>
      <c r="R182" s="147">
        <v>1</v>
      </c>
      <c r="S182" s="147">
        <v>1</v>
      </c>
      <c r="T182" s="147">
        <v>1</v>
      </c>
      <c r="U182" s="147">
        <v>7</v>
      </c>
      <c r="V182" s="147">
        <v>1</v>
      </c>
      <c r="W182" s="147">
        <v>1</v>
      </c>
      <c r="X182" s="147">
        <v>1</v>
      </c>
      <c r="Y182" s="147">
        <v>1</v>
      </c>
      <c r="Z182" s="147">
        <v>1</v>
      </c>
      <c r="AA182" s="147">
        <v>1</v>
      </c>
      <c r="AB182" s="147">
        <v>1</v>
      </c>
      <c r="AC182" s="147">
        <v>1</v>
      </c>
      <c r="AD182" s="1466">
        <v>1</v>
      </c>
      <c r="AE182" s="1466">
        <v>1</v>
      </c>
      <c r="AF182" s="147">
        <v>1</v>
      </c>
      <c r="AG182" s="147">
        <v>1</v>
      </c>
      <c r="AH182" s="147">
        <v>1</v>
      </c>
      <c r="AI182" s="147">
        <v>1</v>
      </c>
      <c r="AJ182" s="147">
        <v>1</v>
      </c>
      <c r="AK182" s="147">
        <v>1</v>
      </c>
      <c r="AL182" s="147">
        <v>4</v>
      </c>
      <c r="AM182" s="828">
        <v>0</v>
      </c>
      <c r="AN182" s="147" t="b">
        <v>0</v>
      </c>
      <c r="AO182" s="147" t="b">
        <v>0</v>
      </c>
    </row>
    <row r="183" spans="1:41" x14ac:dyDescent="0.35">
      <c r="A183" s="620">
        <v>182</v>
      </c>
      <c r="B183" s="617">
        <v>2</v>
      </c>
      <c r="C183" s="147">
        <v>1</v>
      </c>
      <c r="D183" s="147">
        <v>8</v>
      </c>
      <c r="E183" s="147">
        <v>1</v>
      </c>
      <c r="F183" s="147">
        <v>1</v>
      </c>
      <c r="G183" s="147">
        <v>1</v>
      </c>
      <c r="H183" s="147">
        <v>1</v>
      </c>
      <c r="I183" s="147">
        <v>1</v>
      </c>
      <c r="J183" s="147">
        <v>1</v>
      </c>
      <c r="K183" s="147">
        <v>1</v>
      </c>
      <c r="L183" s="147">
        <v>2</v>
      </c>
      <c r="M183" s="147">
        <v>1</v>
      </c>
      <c r="N183" s="147">
        <v>1</v>
      </c>
      <c r="O183" s="147">
        <v>1</v>
      </c>
      <c r="P183" s="147">
        <v>1</v>
      </c>
      <c r="Q183" s="147">
        <v>1</v>
      </c>
      <c r="R183" s="147">
        <v>1</v>
      </c>
      <c r="S183" s="147">
        <v>1</v>
      </c>
      <c r="T183" s="147">
        <v>1</v>
      </c>
      <c r="U183" s="147">
        <v>2</v>
      </c>
      <c r="V183" s="147">
        <v>1</v>
      </c>
      <c r="W183" s="147">
        <v>1</v>
      </c>
      <c r="X183" s="147">
        <v>1</v>
      </c>
      <c r="Y183" s="147">
        <v>3</v>
      </c>
      <c r="Z183" s="147">
        <v>1</v>
      </c>
      <c r="AA183" s="147">
        <v>1</v>
      </c>
      <c r="AB183" s="147">
        <v>1</v>
      </c>
      <c r="AC183" s="147">
        <v>1</v>
      </c>
      <c r="AD183" s="1466">
        <v>6</v>
      </c>
      <c r="AE183" s="1466">
        <v>1</v>
      </c>
      <c r="AF183" s="147">
        <v>1</v>
      </c>
      <c r="AG183" s="147">
        <v>1</v>
      </c>
      <c r="AH183" s="147">
        <v>1</v>
      </c>
      <c r="AI183" s="147">
        <v>1</v>
      </c>
      <c r="AJ183" s="147">
        <v>1</v>
      </c>
      <c r="AK183" s="147">
        <v>1</v>
      </c>
      <c r="AL183" s="147">
        <v>3</v>
      </c>
      <c r="AM183" s="828">
        <v>0</v>
      </c>
      <c r="AN183" s="147" t="b">
        <v>1</v>
      </c>
      <c r="AO183" s="147" t="b">
        <v>0</v>
      </c>
    </row>
    <row r="184" spans="1:41" x14ac:dyDescent="0.35">
      <c r="A184" s="620">
        <v>183</v>
      </c>
      <c r="B184" s="617">
        <v>2</v>
      </c>
      <c r="C184" s="147">
        <v>3</v>
      </c>
      <c r="D184" s="147">
        <v>1</v>
      </c>
      <c r="E184" s="147">
        <v>3</v>
      </c>
      <c r="F184" s="147">
        <v>1</v>
      </c>
      <c r="G184" s="147">
        <v>1</v>
      </c>
      <c r="H184" s="147">
        <v>1</v>
      </c>
      <c r="I184" s="147">
        <v>1</v>
      </c>
      <c r="J184" s="147">
        <v>1</v>
      </c>
      <c r="K184" s="147">
        <v>1</v>
      </c>
      <c r="L184" s="147">
        <v>2</v>
      </c>
      <c r="M184" s="147">
        <v>1</v>
      </c>
      <c r="N184" s="147">
        <v>5</v>
      </c>
      <c r="O184" s="147">
        <v>5</v>
      </c>
      <c r="P184" s="147">
        <v>1</v>
      </c>
      <c r="Q184" s="147">
        <v>1</v>
      </c>
      <c r="R184" s="147">
        <v>1</v>
      </c>
      <c r="S184" s="147">
        <v>1</v>
      </c>
      <c r="T184" s="147">
        <v>1</v>
      </c>
      <c r="U184" s="147">
        <v>3</v>
      </c>
      <c r="V184" s="147">
        <v>1</v>
      </c>
      <c r="W184" s="147">
        <v>1</v>
      </c>
      <c r="X184" s="147">
        <v>1</v>
      </c>
      <c r="Y184" s="147">
        <v>1</v>
      </c>
      <c r="Z184" s="147">
        <v>4</v>
      </c>
      <c r="AA184" s="147">
        <v>1</v>
      </c>
      <c r="AB184" s="147">
        <v>1</v>
      </c>
      <c r="AC184" s="147">
        <v>1</v>
      </c>
      <c r="AD184" s="1466">
        <v>8</v>
      </c>
      <c r="AE184" s="1466">
        <v>1</v>
      </c>
      <c r="AF184" s="147">
        <v>8</v>
      </c>
      <c r="AG184" s="147">
        <v>1</v>
      </c>
      <c r="AH184" s="147">
        <v>1</v>
      </c>
      <c r="AI184" s="147">
        <v>1</v>
      </c>
      <c r="AJ184" s="147">
        <v>1</v>
      </c>
      <c r="AK184" s="147">
        <v>1</v>
      </c>
      <c r="AL184" s="147">
        <v>3</v>
      </c>
      <c r="AM184" s="828">
        <v>0</v>
      </c>
      <c r="AN184" s="147" t="b">
        <v>1</v>
      </c>
      <c r="AO184" s="147" t="b">
        <v>0</v>
      </c>
    </row>
    <row r="185" spans="1:41" x14ac:dyDescent="0.35">
      <c r="A185" s="620">
        <v>184</v>
      </c>
      <c r="B185" s="617">
        <v>2</v>
      </c>
      <c r="C185" s="147">
        <v>1</v>
      </c>
      <c r="D185" s="147">
        <v>1</v>
      </c>
      <c r="E185" s="147">
        <v>1</v>
      </c>
      <c r="F185" s="147">
        <v>1</v>
      </c>
      <c r="G185" s="147">
        <v>1</v>
      </c>
      <c r="H185" s="147">
        <v>1</v>
      </c>
      <c r="I185" s="147">
        <v>1</v>
      </c>
      <c r="J185" s="122">
        <v>1</v>
      </c>
      <c r="K185" s="147">
        <v>1</v>
      </c>
      <c r="L185" s="147">
        <v>2</v>
      </c>
      <c r="M185" s="147">
        <v>1</v>
      </c>
      <c r="N185" s="147">
        <v>1</v>
      </c>
      <c r="O185" s="147">
        <v>1</v>
      </c>
      <c r="P185" s="147">
        <v>1</v>
      </c>
      <c r="Q185" s="147">
        <v>1</v>
      </c>
      <c r="R185" s="147">
        <v>1</v>
      </c>
      <c r="S185" s="147">
        <v>1</v>
      </c>
      <c r="T185" s="147">
        <v>1</v>
      </c>
      <c r="U185" s="147">
        <v>1</v>
      </c>
      <c r="V185" s="147">
        <v>6</v>
      </c>
      <c r="W185" s="147">
        <v>1</v>
      </c>
      <c r="X185" s="147">
        <v>1</v>
      </c>
      <c r="Y185" s="147">
        <v>1</v>
      </c>
      <c r="Z185" s="147">
        <v>1</v>
      </c>
      <c r="AA185" s="147">
        <v>1</v>
      </c>
      <c r="AB185" s="147">
        <v>1</v>
      </c>
      <c r="AC185" s="147">
        <v>1</v>
      </c>
      <c r="AD185" s="1466">
        <v>1</v>
      </c>
      <c r="AE185" s="1466">
        <v>1</v>
      </c>
      <c r="AF185" s="147">
        <v>1</v>
      </c>
      <c r="AG185" s="147">
        <v>1</v>
      </c>
      <c r="AH185" s="147">
        <v>1</v>
      </c>
      <c r="AI185" s="147">
        <v>12</v>
      </c>
      <c r="AJ185" s="147">
        <v>1</v>
      </c>
      <c r="AK185" s="147">
        <v>5</v>
      </c>
      <c r="AL185" s="147">
        <v>5</v>
      </c>
      <c r="AM185" s="2641">
        <v>0</v>
      </c>
      <c r="AN185" s="147" t="b">
        <v>0</v>
      </c>
      <c r="AO185" s="147" t="b">
        <v>0</v>
      </c>
    </row>
    <row r="186" spans="1:41" x14ac:dyDescent="0.35">
      <c r="A186" s="620">
        <v>185</v>
      </c>
      <c r="B186" s="617">
        <v>2</v>
      </c>
      <c r="C186" s="147">
        <v>1</v>
      </c>
      <c r="D186" s="147">
        <v>1</v>
      </c>
      <c r="E186" s="147">
        <v>6</v>
      </c>
      <c r="F186" s="147">
        <v>3</v>
      </c>
      <c r="G186" s="147">
        <v>7</v>
      </c>
      <c r="H186" s="147">
        <v>1</v>
      </c>
      <c r="I186" s="147">
        <v>1</v>
      </c>
      <c r="J186" s="147">
        <v>1</v>
      </c>
      <c r="K186" s="147">
        <v>1</v>
      </c>
      <c r="L186" s="147">
        <v>2</v>
      </c>
      <c r="M186" s="147">
        <v>3</v>
      </c>
      <c r="N186" s="147">
        <v>1</v>
      </c>
      <c r="O186" s="147">
        <v>1</v>
      </c>
      <c r="P186" s="147">
        <v>1</v>
      </c>
      <c r="Q186" s="147">
        <v>1</v>
      </c>
      <c r="R186" s="147">
        <v>1</v>
      </c>
      <c r="S186" s="147">
        <v>9</v>
      </c>
      <c r="T186" s="147">
        <v>1</v>
      </c>
      <c r="U186" s="147">
        <v>1</v>
      </c>
      <c r="V186" s="147">
        <v>1</v>
      </c>
      <c r="W186" s="147">
        <v>1</v>
      </c>
      <c r="X186" s="147">
        <v>1</v>
      </c>
      <c r="Y186" s="147">
        <v>1</v>
      </c>
      <c r="Z186" s="147">
        <v>1</v>
      </c>
      <c r="AA186" s="147">
        <v>1</v>
      </c>
      <c r="AB186" s="147">
        <v>5</v>
      </c>
      <c r="AC186" s="147">
        <v>1</v>
      </c>
      <c r="AD186" s="1466">
        <v>5</v>
      </c>
      <c r="AE186" s="1466">
        <v>1</v>
      </c>
      <c r="AF186" s="147">
        <v>1</v>
      </c>
      <c r="AG186" s="147">
        <v>1</v>
      </c>
      <c r="AH186" s="147">
        <v>1</v>
      </c>
      <c r="AI186" s="147">
        <v>1</v>
      </c>
      <c r="AJ186" s="147">
        <v>1</v>
      </c>
      <c r="AK186" s="147">
        <v>1</v>
      </c>
      <c r="AL186" s="147">
        <v>5</v>
      </c>
      <c r="AM186" s="828">
        <v>0</v>
      </c>
      <c r="AN186" s="147" t="b">
        <v>0</v>
      </c>
      <c r="AO186" s="147" t="b">
        <v>0</v>
      </c>
    </row>
    <row r="187" spans="1:41" x14ac:dyDescent="0.35">
      <c r="A187" s="620">
        <v>186</v>
      </c>
      <c r="B187" s="617">
        <v>2</v>
      </c>
      <c r="C187" s="147">
        <v>1</v>
      </c>
      <c r="D187" s="147">
        <v>1</v>
      </c>
      <c r="E187" s="147">
        <v>6</v>
      </c>
      <c r="F187" s="147">
        <v>3</v>
      </c>
      <c r="G187" s="147">
        <v>7</v>
      </c>
      <c r="H187" s="147">
        <v>1</v>
      </c>
      <c r="I187" s="147">
        <v>1</v>
      </c>
      <c r="J187" s="122">
        <v>1</v>
      </c>
      <c r="K187" s="147">
        <v>1</v>
      </c>
      <c r="L187" s="147">
        <v>2</v>
      </c>
      <c r="M187" s="147">
        <v>3</v>
      </c>
      <c r="N187" s="147">
        <v>1</v>
      </c>
      <c r="O187" s="147">
        <v>1</v>
      </c>
      <c r="P187" s="147">
        <v>1</v>
      </c>
      <c r="Q187" s="147">
        <v>1</v>
      </c>
      <c r="R187" s="147">
        <v>1</v>
      </c>
      <c r="S187" s="147">
        <v>10</v>
      </c>
      <c r="T187" s="147">
        <v>1</v>
      </c>
      <c r="U187" s="147">
        <v>1</v>
      </c>
      <c r="V187" s="147">
        <v>1</v>
      </c>
      <c r="W187" s="147">
        <v>1</v>
      </c>
      <c r="X187" s="147">
        <v>1</v>
      </c>
      <c r="Y187" s="147">
        <v>1</v>
      </c>
      <c r="Z187" s="147">
        <v>1</v>
      </c>
      <c r="AA187" s="147">
        <v>1</v>
      </c>
      <c r="AB187" s="147">
        <v>5</v>
      </c>
      <c r="AC187" s="147">
        <v>1</v>
      </c>
      <c r="AD187" s="1466">
        <v>5</v>
      </c>
      <c r="AE187" s="1466">
        <v>1</v>
      </c>
      <c r="AF187" s="147">
        <v>1</v>
      </c>
      <c r="AG187" s="147">
        <v>1</v>
      </c>
      <c r="AH187" s="147">
        <v>1</v>
      </c>
      <c r="AI187" s="147">
        <v>1</v>
      </c>
      <c r="AJ187" s="147">
        <v>1</v>
      </c>
      <c r="AK187" s="147">
        <v>1</v>
      </c>
      <c r="AL187" s="147">
        <v>5</v>
      </c>
      <c r="AM187" s="2641">
        <v>0</v>
      </c>
      <c r="AN187" s="147" t="b">
        <v>0</v>
      </c>
      <c r="AO187" s="147" t="b">
        <v>0</v>
      </c>
    </row>
    <row r="188" spans="1:41" x14ac:dyDescent="0.35">
      <c r="A188" s="620">
        <v>187</v>
      </c>
      <c r="B188" s="617">
        <v>2</v>
      </c>
      <c r="C188" s="147">
        <v>4</v>
      </c>
      <c r="D188" s="147">
        <v>1</v>
      </c>
      <c r="E188" s="147">
        <v>1</v>
      </c>
      <c r="F188" s="147">
        <v>1</v>
      </c>
      <c r="G188" s="147">
        <v>1</v>
      </c>
      <c r="H188" s="147">
        <v>1</v>
      </c>
      <c r="I188" s="147">
        <v>1</v>
      </c>
      <c r="J188" s="122">
        <v>2</v>
      </c>
      <c r="K188" s="147">
        <v>1</v>
      </c>
      <c r="L188" s="147">
        <v>2</v>
      </c>
      <c r="M188" s="147">
        <v>1</v>
      </c>
      <c r="N188" s="147">
        <v>1</v>
      </c>
      <c r="O188" s="147">
        <v>1</v>
      </c>
      <c r="P188" s="147">
        <v>1</v>
      </c>
      <c r="Q188" s="147">
        <v>1</v>
      </c>
      <c r="R188" s="147">
        <v>1</v>
      </c>
      <c r="S188" s="147">
        <v>1</v>
      </c>
      <c r="T188" s="147">
        <v>1</v>
      </c>
      <c r="U188" s="147">
        <v>1</v>
      </c>
      <c r="V188" s="147">
        <v>1</v>
      </c>
      <c r="W188" s="147">
        <v>1</v>
      </c>
      <c r="X188" s="147">
        <v>1</v>
      </c>
      <c r="Y188" s="147">
        <v>5</v>
      </c>
      <c r="Z188" s="147">
        <v>1</v>
      </c>
      <c r="AA188" s="147">
        <v>1</v>
      </c>
      <c r="AB188" s="147">
        <v>1</v>
      </c>
      <c r="AC188" s="147">
        <v>1</v>
      </c>
      <c r="AD188" s="1466">
        <v>5</v>
      </c>
      <c r="AE188" s="1466">
        <v>1</v>
      </c>
      <c r="AF188" s="147">
        <v>1</v>
      </c>
      <c r="AG188" s="147">
        <v>1</v>
      </c>
      <c r="AH188" s="147">
        <v>1</v>
      </c>
      <c r="AI188" s="147">
        <v>1</v>
      </c>
      <c r="AJ188" s="147">
        <v>1</v>
      </c>
      <c r="AK188" s="147">
        <v>1</v>
      </c>
      <c r="AL188" s="147">
        <v>5</v>
      </c>
      <c r="AM188" s="2641">
        <v>0</v>
      </c>
      <c r="AN188" s="147" t="b">
        <v>0</v>
      </c>
      <c r="AO188" s="147" t="b">
        <v>0</v>
      </c>
    </row>
    <row r="189" spans="1:41" x14ac:dyDescent="0.35">
      <c r="A189" s="620">
        <v>188</v>
      </c>
      <c r="B189" s="617">
        <v>2</v>
      </c>
      <c r="C189" s="147">
        <v>4</v>
      </c>
      <c r="D189" s="147">
        <v>1</v>
      </c>
      <c r="E189" s="147">
        <v>1</v>
      </c>
      <c r="F189" s="147">
        <v>1</v>
      </c>
      <c r="G189" s="147">
        <v>1</v>
      </c>
      <c r="H189" s="147">
        <v>1</v>
      </c>
      <c r="I189" s="147">
        <v>1</v>
      </c>
      <c r="J189" s="122">
        <v>2</v>
      </c>
      <c r="K189" s="147">
        <v>1</v>
      </c>
      <c r="L189" s="147">
        <v>2</v>
      </c>
      <c r="M189" s="147">
        <v>1</v>
      </c>
      <c r="N189" s="147">
        <v>1</v>
      </c>
      <c r="O189" s="147">
        <v>1</v>
      </c>
      <c r="P189" s="147">
        <v>1</v>
      </c>
      <c r="Q189" s="147">
        <v>1</v>
      </c>
      <c r="R189" s="147">
        <v>1</v>
      </c>
      <c r="S189" s="147">
        <v>1</v>
      </c>
      <c r="T189" s="147">
        <v>1</v>
      </c>
      <c r="U189" s="147">
        <v>1</v>
      </c>
      <c r="V189" s="147">
        <v>2</v>
      </c>
      <c r="W189" s="147">
        <v>1</v>
      </c>
      <c r="X189" s="147">
        <v>1</v>
      </c>
      <c r="Y189" s="147">
        <v>2</v>
      </c>
      <c r="Z189" s="147">
        <v>1</v>
      </c>
      <c r="AA189" s="147">
        <v>1</v>
      </c>
      <c r="AB189" s="147">
        <v>1</v>
      </c>
      <c r="AC189" s="147">
        <v>1</v>
      </c>
      <c r="AD189" s="1466">
        <v>5</v>
      </c>
      <c r="AE189" s="1466">
        <v>1</v>
      </c>
      <c r="AF189" s="147">
        <v>1</v>
      </c>
      <c r="AG189" s="147">
        <v>1</v>
      </c>
      <c r="AH189" s="147">
        <v>1</v>
      </c>
      <c r="AI189" s="147">
        <v>1</v>
      </c>
      <c r="AJ189" s="147">
        <v>1</v>
      </c>
      <c r="AK189" s="147">
        <v>1</v>
      </c>
      <c r="AL189" s="147">
        <v>5</v>
      </c>
      <c r="AM189" s="2641">
        <v>0</v>
      </c>
      <c r="AN189" s="147" t="b">
        <v>0</v>
      </c>
      <c r="AO189" s="147" t="b">
        <v>0</v>
      </c>
    </row>
    <row r="190" spans="1:41" x14ac:dyDescent="0.35">
      <c r="A190" s="620">
        <v>189</v>
      </c>
      <c r="B190" s="617">
        <v>2</v>
      </c>
      <c r="C190" s="147">
        <v>2</v>
      </c>
      <c r="D190" s="147">
        <v>1</v>
      </c>
      <c r="E190" s="147">
        <v>1</v>
      </c>
      <c r="F190" s="147">
        <v>1</v>
      </c>
      <c r="G190" s="147">
        <v>1</v>
      </c>
      <c r="H190" s="147">
        <v>1</v>
      </c>
      <c r="I190" s="147">
        <v>1</v>
      </c>
      <c r="J190" s="122">
        <v>2</v>
      </c>
      <c r="K190" s="147">
        <v>1</v>
      </c>
      <c r="L190" s="147">
        <v>2</v>
      </c>
      <c r="M190" s="147">
        <v>1</v>
      </c>
      <c r="N190" s="147">
        <v>1</v>
      </c>
      <c r="O190" s="147">
        <v>1</v>
      </c>
      <c r="P190" s="147">
        <v>1</v>
      </c>
      <c r="Q190" s="147">
        <v>1</v>
      </c>
      <c r="R190" s="147">
        <v>1</v>
      </c>
      <c r="S190" s="147">
        <v>1</v>
      </c>
      <c r="T190" s="147">
        <v>1</v>
      </c>
      <c r="U190" s="147">
        <v>1</v>
      </c>
      <c r="V190" s="147">
        <v>11</v>
      </c>
      <c r="W190" s="147">
        <v>1</v>
      </c>
      <c r="X190" s="147">
        <v>1</v>
      </c>
      <c r="Y190" s="147">
        <v>1</v>
      </c>
      <c r="Z190" s="147">
        <v>1</v>
      </c>
      <c r="AA190" s="147">
        <v>1</v>
      </c>
      <c r="AB190" s="147">
        <v>1</v>
      </c>
      <c r="AC190" s="147">
        <v>1</v>
      </c>
      <c r="AD190" s="1466">
        <v>1</v>
      </c>
      <c r="AE190" s="1466">
        <v>1</v>
      </c>
      <c r="AF190" s="147">
        <v>1</v>
      </c>
      <c r="AG190" s="147">
        <v>1</v>
      </c>
      <c r="AH190" s="147">
        <v>1</v>
      </c>
      <c r="AI190" s="147">
        <v>1</v>
      </c>
      <c r="AJ190" s="147">
        <v>1</v>
      </c>
      <c r="AK190" s="147">
        <v>1</v>
      </c>
      <c r="AL190" s="147">
        <v>5</v>
      </c>
      <c r="AM190" s="2641">
        <v>0</v>
      </c>
      <c r="AN190" s="147" t="b">
        <v>0</v>
      </c>
      <c r="AO190" s="147" t="b">
        <v>0</v>
      </c>
    </row>
    <row r="191" spans="1:41" x14ac:dyDescent="0.35">
      <c r="A191" s="620">
        <v>190</v>
      </c>
      <c r="B191" s="617">
        <v>2</v>
      </c>
      <c r="C191" s="147">
        <v>1</v>
      </c>
      <c r="D191" s="147">
        <v>1</v>
      </c>
      <c r="E191" s="147">
        <v>1</v>
      </c>
      <c r="F191" s="147">
        <v>1</v>
      </c>
      <c r="G191" s="147">
        <v>8</v>
      </c>
      <c r="H191" s="147">
        <v>1</v>
      </c>
      <c r="I191" s="147">
        <v>1</v>
      </c>
      <c r="J191" s="122">
        <v>2</v>
      </c>
      <c r="K191" s="147">
        <v>1</v>
      </c>
      <c r="L191" s="147">
        <v>2</v>
      </c>
      <c r="M191" s="147">
        <v>1</v>
      </c>
      <c r="N191" s="147">
        <v>1</v>
      </c>
      <c r="O191" s="147">
        <v>1</v>
      </c>
      <c r="P191" s="147">
        <v>1</v>
      </c>
      <c r="Q191" s="147">
        <v>1</v>
      </c>
      <c r="R191" s="147">
        <v>1</v>
      </c>
      <c r="S191" s="147">
        <v>1</v>
      </c>
      <c r="T191" s="147">
        <v>1</v>
      </c>
      <c r="U191" s="147">
        <v>1</v>
      </c>
      <c r="V191" s="147">
        <v>6</v>
      </c>
      <c r="W191" s="147">
        <v>1</v>
      </c>
      <c r="X191" s="147">
        <v>1</v>
      </c>
      <c r="Y191" s="147">
        <v>2</v>
      </c>
      <c r="Z191" s="147">
        <v>1</v>
      </c>
      <c r="AA191" s="147">
        <v>1</v>
      </c>
      <c r="AB191" s="147">
        <v>1</v>
      </c>
      <c r="AC191" s="147">
        <v>1</v>
      </c>
      <c r="AD191" s="1466">
        <v>5</v>
      </c>
      <c r="AE191" s="1466">
        <v>1</v>
      </c>
      <c r="AF191" s="147">
        <v>1</v>
      </c>
      <c r="AG191" s="147">
        <v>1</v>
      </c>
      <c r="AH191" s="147">
        <v>1</v>
      </c>
      <c r="AI191" s="147">
        <v>1</v>
      </c>
      <c r="AJ191" s="147">
        <v>1</v>
      </c>
      <c r="AK191" s="147">
        <v>1</v>
      </c>
      <c r="AL191" s="147">
        <v>5</v>
      </c>
      <c r="AM191" s="2641">
        <v>0</v>
      </c>
      <c r="AN191" s="147" t="b">
        <v>0</v>
      </c>
      <c r="AO191" s="147" t="b">
        <v>0</v>
      </c>
    </row>
    <row r="192" spans="1:41" x14ac:dyDescent="0.35">
      <c r="A192" s="620">
        <v>191</v>
      </c>
      <c r="B192" s="617">
        <v>2</v>
      </c>
      <c r="C192" s="147">
        <v>2</v>
      </c>
      <c r="D192" s="147">
        <v>1</v>
      </c>
      <c r="E192" s="147">
        <v>1</v>
      </c>
      <c r="F192" s="147">
        <v>7</v>
      </c>
      <c r="G192" s="147">
        <v>1</v>
      </c>
      <c r="H192" s="147">
        <v>1</v>
      </c>
      <c r="I192" s="147">
        <v>1</v>
      </c>
      <c r="J192" s="122">
        <v>4</v>
      </c>
      <c r="K192" s="147">
        <v>1</v>
      </c>
      <c r="L192" s="147">
        <v>2</v>
      </c>
      <c r="M192" s="147">
        <v>1</v>
      </c>
      <c r="N192" s="147">
        <v>1</v>
      </c>
      <c r="O192" s="147">
        <v>1</v>
      </c>
      <c r="P192" s="147">
        <v>1</v>
      </c>
      <c r="Q192" s="147">
        <v>1</v>
      </c>
      <c r="R192" s="147">
        <v>1</v>
      </c>
      <c r="S192" s="147">
        <v>1</v>
      </c>
      <c r="T192" s="147">
        <v>1</v>
      </c>
      <c r="U192" s="147">
        <v>1</v>
      </c>
      <c r="V192" s="147">
        <v>11</v>
      </c>
      <c r="W192" s="147">
        <v>1</v>
      </c>
      <c r="X192" s="147">
        <v>1</v>
      </c>
      <c r="Y192" s="147">
        <v>1</v>
      </c>
      <c r="Z192" s="147">
        <v>1</v>
      </c>
      <c r="AA192" s="147">
        <v>1</v>
      </c>
      <c r="AB192" s="147">
        <v>1</v>
      </c>
      <c r="AC192" s="147">
        <v>1</v>
      </c>
      <c r="AD192" s="1466">
        <v>1</v>
      </c>
      <c r="AE192" s="1466">
        <v>1</v>
      </c>
      <c r="AF192" s="147">
        <v>1</v>
      </c>
      <c r="AG192" s="147">
        <v>1</v>
      </c>
      <c r="AH192" s="147">
        <v>1</v>
      </c>
      <c r="AI192" s="147">
        <v>1</v>
      </c>
      <c r="AJ192" s="147">
        <v>1</v>
      </c>
      <c r="AK192" s="147">
        <v>1</v>
      </c>
      <c r="AL192" s="147">
        <v>5</v>
      </c>
      <c r="AM192" s="2641">
        <v>0</v>
      </c>
      <c r="AN192" s="147" t="b">
        <v>0</v>
      </c>
      <c r="AO192" s="147" t="b">
        <v>0</v>
      </c>
    </row>
    <row r="193" spans="1:41" x14ac:dyDescent="0.35">
      <c r="A193" s="620">
        <v>192</v>
      </c>
      <c r="B193" s="617">
        <v>2</v>
      </c>
      <c r="C193" s="147">
        <v>9</v>
      </c>
      <c r="D193" s="147">
        <v>1</v>
      </c>
      <c r="E193" s="147">
        <v>6</v>
      </c>
      <c r="F193" s="147">
        <v>1</v>
      </c>
      <c r="G193" s="147">
        <v>5</v>
      </c>
      <c r="H193" s="147">
        <v>1</v>
      </c>
      <c r="I193" s="147">
        <v>1</v>
      </c>
      <c r="J193" s="147">
        <v>1</v>
      </c>
      <c r="K193" s="147">
        <v>1</v>
      </c>
      <c r="L193" s="147">
        <v>2</v>
      </c>
      <c r="M193" s="147">
        <v>1</v>
      </c>
      <c r="N193" s="147">
        <v>1</v>
      </c>
      <c r="O193" s="147">
        <v>1</v>
      </c>
      <c r="P193" s="147">
        <v>1</v>
      </c>
      <c r="Q193" s="147">
        <v>1</v>
      </c>
      <c r="R193" s="147">
        <v>1</v>
      </c>
      <c r="S193" s="147">
        <v>2</v>
      </c>
      <c r="T193" s="147">
        <v>1</v>
      </c>
      <c r="U193" s="147">
        <v>4</v>
      </c>
      <c r="V193" s="147">
        <v>5</v>
      </c>
      <c r="W193" s="147">
        <v>1</v>
      </c>
      <c r="X193" s="147">
        <v>1</v>
      </c>
      <c r="Y193" s="147">
        <v>1</v>
      </c>
      <c r="Z193" s="147">
        <v>1</v>
      </c>
      <c r="AA193" s="147">
        <v>1</v>
      </c>
      <c r="AB193" s="147">
        <v>1</v>
      </c>
      <c r="AC193" s="147">
        <v>1</v>
      </c>
      <c r="AD193" s="1466">
        <v>1</v>
      </c>
      <c r="AE193" s="1466">
        <v>1</v>
      </c>
      <c r="AF193" s="147">
        <v>1</v>
      </c>
      <c r="AG193" s="147">
        <v>1</v>
      </c>
      <c r="AH193" s="147">
        <v>1</v>
      </c>
      <c r="AI193" s="147">
        <v>1</v>
      </c>
      <c r="AJ193" s="147">
        <v>1</v>
      </c>
      <c r="AK193" s="147">
        <v>1</v>
      </c>
      <c r="AL193" s="147">
        <v>4</v>
      </c>
      <c r="AM193" s="828">
        <v>0</v>
      </c>
      <c r="AN193" s="147" t="b">
        <v>0</v>
      </c>
      <c r="AO193" s="147" t="b">
        <v>0</v>
      </c>
    </row>
    <row r="194" spans="1:41" x14ac:dyDescent="0.35">
      <c r="A194" s="620">
        <v>193</v>
      </c>
      <c r="B194" s="617">
        <v>2</v>
      </c>
      <c r="C194" s="147">
        <v>8</v>
      </c>
      <c r="D194" s="147">
        <v>6</v>
      </c>
      <c r="E194" s="147">
        <v>1</v>
      </c>
      <c r="F194" s="147">
        <v>1</v>
      </c>
      <c r="G194" s="147">
        <v>1</v>
      </c>
      <c r="H194" s="147">
        <v>2</v>
      </c>
      <c r="I194" s="147">
        <v>1</v>
      </c>
      <c r="J194" s="147">
        <v>1</v>
      </c>
      <c r="K194" s="147">
        <v>1</v>
      </c>
      <c r="L194" s="147">
        <v>2</v>
      </c>
      <c r="M194" s="147">
        <v>4</v>
      </c>
      <c r="N194" s="147">
        <v>1</v>
      </c>
      <c r="O194" s="147">
        <v>1</v>
      </c>
      <c r="P194" s="147">
        <v>1</v>
      </c>
      <c r="Q194" s="147">
        <v>1</v>
      </c>
      <c r="R194" s="147">
        <v>1</v>
      </c>
      <c r="S194" s="147">
        <v>1</v>
      </c>
      <c r="T194" s="147">
        <v>1</v>
      </c>
      <c r="U194" s="147">
        <v>5</v>
      </c>
      <c r="V194" s="147">
        <v>1</v>
      </c>
      <c r="W194" s="147">
        <v>1</v>
      </c>
      <c r="X194" s="147">
        <v>1</v>
      </c>
      <c r="Y194" s="147">
        <v>1</v>
      </c>
      <c r="Z194" s="147">
        <v>1</v>
      </c>
      <c r="AA194" s="147">
        <v>1</v>
      </c>
      <c r="AB194" s="147">
        <v>1</v>
      </c>
      <c r="AC194" s="147">
        <v>1</v>
      </c>
      <c r="AD194" s="1466">
        <v>1</v>
      </c>
      <c r="AE194" s="1466">
        <v>1</v>
      </c>
      <c r="AF194" s="147">
        <v>1</v>
      </c>
      <c r="AG194" s="147">
        <v>1</v>
      </c>
      <c r="AH194" s="147">
        <v>1</v>
      </c>
      <c r="AI194" s="147">
        <v>1</v>
      </c>
      <c r="AJ194" s="147">
        <v>1</v>
      </c>
      <c r="AK194" s="147">
        <v>1</v>
      </c>
      <c r="AL194" s="147">
        <v>4</v>
      </c>
      <c r="AM194" s="828">
        <v>0</v>
      </c>
      <c r="AN194" s="147" t="b">
        <v>0</v>
      </c>
      <c r="AO194" s="147" t="b">
        <v>0</v>
      </c>
    </row>
    <row r="195" spans="1:41" x14ac:dyDescent="0.35">
      <c r="A195" s="620">
        <v>194</v>
      </c>
      <c r="B195" s="617">
        <v>2</v>
      </c>
      <c r="C195" s="147">
        <v>2</v>
      </c>
      <c r="D195" s="147">
        <v>2</v>
      </c>
      <c r="E195" s="147">
        <v>1</v>
      </c>
      <c r="F195" s="147">
        <v>1</v>
      </c>
      <c r="G195" s="147">
        <v>1</v>
      </c>
      <c r="H195" s="147">
        <v>1</v>
      </c>
      <c r="I195" s="147">
        <v>1</v>
      </c>
      <c r="J195" s="147">
        <v>1</v>
      </c>
      <c r="K195" s="147">
        <v>1</v>
      </c>
      <c r="L195" s="147">
        <v>2</v>
      </c>
      <c r="M195" s="147">
        <v>1</v>
      </c>
      <c r="N195" s="147">
        <v>6</v>
      </c>
      <c r="O195" s="147">
        <v>3</v>
      </c>
      <c r="P195" s="147">
        <v>1</v>
      </c>
      <c r="Q195" s="147">
        <v>1</v>
      </c>
      <c r="R195" s="147">
        <v>1</v>
      </c>
      <c r="S195" s="147">
        <v>1</v>
      </c>
      <c r="T195" s="147">
        <v>1</v>
      </c>
      <c r="U195" s="147">
        <v>6</v>
      </c>
      <c r="V195" s="147">
        <v>1</v>
      </c>
      <c r="W195" s="147">
        <v>1</v>
      </c>
      <c r="X195" s="147">
        <v>1</v>
      </c>
      <c r="Y195" s="147">
        <v>1</v>
      </c>
      <c r="Z195" s="147">
        <v>1</v>
      </c>
      <c r="AA195" s="147">
        <v>1</v>
      </c>
      <c r="AB195" s="147">
        <v>1</v>
      </c>
      <c r="AC195" s="147">
        <v>1</v>
      </c>
      <c r="AD195" s="1466">
        <v>1</v>
      </c>
      <c r="AE195" s="1466">
        <v>1</v>
      </c>
      <c r="AF195" s="147">
        <v>1</v>
      </c>
      <c r="AG195" s="147">
        <v>1</v>
      </c>
      <c r="AH195" s="147">
        <v>1</v>
      </c>
      <c r="AI195" s="147">
        <v>9</v>
      </c>
      <c r="AJ195" s="147">
        <v>1</v>
      </c>
      <c r="AK195" s="147">
        <v>1</v>
      </c>
      <c r="AL195" s="147">
        <v>4</v>
      </c>
      <c r="AM195" s="828">
        <v>0</v>
      </c>
      <c r="AN195" s="147" t="b">
        <v>0</v>
      </c>
      <c r="AO195" s="147" t="b">
        <v>0</v>
      </c>
    </row>
    <row r="196" spans="1:41" x14ac:dyDescent="0.35">
      <c r="A196" s="620">
        <v>195</v>
      </c>
      <c r="B196" s="617">
        <v>2</v>
      </c>
      <c r="C196" s="147">
        <v>1</v>
      </c>
      <c r="D196" s="147">
        <v>6</v>
      </c>
      <c r="E196" s="147">
        <v>5</v>
      </c>
      <c r="F196" s="147">
        <v>1</v>
      </c>
      <c r="G196" s="147">
        <v>1</v>
      </c>
      <c r="H196" s="147">
        <v>1</v>
      </c>
      <c r="I196" s="147">
        <v>1</v>
      </c>
      <c r="J196" s="147">
        <v>1</v>
      </c>
      <c r="K196" s="147">
        <v>1</v>
      </c>
      <c r="L196" s="147">
        <v>2</v>
      </c>
      <c r="M196" s="147">
        <v>1</v>
      </c>
      <c r="N196" s="147">
        <v>1</v>
      </c>
      <c r="O196" s="147">
        <v>1</v>
      </c>
      <c r="P196" s="147">
        <v>1</v>
      </c>
      <c r="Q196" s="147">
        <v>1</v>
      </c>
      <c r="R196" s="147">
        <v>1</v>
      </c>
      <c r="S196" s="147">
        <v>1</v>
      </c>
      <c r="T196" s="147">
        <v>1</v>
      </c>
      <c r="U196" s="147">
        <v>1</v>
      </c>
      <c r="V196" s="147">
        <v>1</v>
      </c>
      <c r="W196" s="147">
        <v>1</v>
      </c>
      <c r="X196" s="147">
        <v>1</v>
      </c>
      <c r="Y196" s="147">
        <v>1</v>
      </c>
      <c r="Z196" s="147">
        <v>1</v>
      </c>
      <c r="AA196" s="147">
        <v>1</v>
      </c>
      <c r="AB196" s="147">
        <v>1</v>
      </c>
      <c r="AC196" s="147">
        <v>1</v>
      </c>
      <c r="AD196" s="1466">
        <v>1</v>
      </c>
      <c r="AE196" s="1466">
        <v>1</v>
      </c>
      <c r="AF196" s="147">
        <v>1</v>
      </c>
      <c r="AG196" s="147">
        <v>1</v>
      </c>
      <c r="AH196" s="147">
        <v>1</v>
      </c>
      <c r="AI196" s="147">
        <v>1</v>
      </c>
      <c r="AJ196" s="147">
        <v>1</v>
      </c>
      <c r="AK196" s="147">
        <v>1</v>
      </c>
      <c r="AL196" s="147">
        <v>3</v>
      </c>
      <c r="AM196" s="828">
        <v>0</v>
      </c>
      <c r="AN196" s="147" t="b">
        <v>1</v>
      </c>
      <c r="AO196" s="147" t="b">
        <v>0</v>
      </c>
    </row>
    <row r="197" spans="1:41" x14ac:dyDescent="0.35">
      <c r="A197" s="620">
        <v>196</v>
      </c>
      <c r="B197" s="617">
        <v>2</v>
      </c>
      <c r="C197" s="147">
        <v>2</v>
      </c>
      <c r="D197" s="147">
        <v>1</v>
      </c>
      <c r="E197" s="147">
        <v>3</v>
      </c>
      <c r="F197" s="147">
        <v>1</v>
      </c>
      <c r="G197" s="147">
        <v>1</v>
      </c>
      <c r="H197" s="147">
        <v>1</v>
      </c>
      <c r="I197" s="147">
        <v>1</v>
      </c>
      <c r="J197" s="122">
        <v>2</v>
      </c>
      <c r="K197" s="147">
        <v>1</v>
      </c>
      <c r="L197" s="147">
        <v>2</v>
      </c>
      <c r="M197" s="147">
        <v>1</v>
      </c>
      <c r="N197" s="147">
        <v>2</v>
      </c>
      <c r="O197" s="147">
        <v>3</v>
      </c>
      <c r="P197" s="147">
        <v>1</v>
      </c>
      <c r="Q197" s="147">
        <v>1</v>
      </c>
      <c r="R197" s="147">
        <v>1</v>
      </c>
      <c r="S197" s="147">
        <v>1</v>
      </c>
      <c r="T197" s="147">
        <v>1</v>
      </c>
      <c r="U197" s="147">
        <v>1</v>
      </c>
      <c r="V197" s="147">
        <v>2</v>
      </c>
      <c r="W197" s="147">
        <v>4</v>
      </c>
      <c r="X197" s="147">
        <v>1</v>
      </c>
      <c r="Y197" s="147">
        <v>5</v>
      </c>
      <c r="Z197" s="147">
        <v>1</v>
      </c>
      <c r="AA197" s="147">
        <v>1</v>
      </c>
      <c r="AB197" s="147">
        <v>1</v>
      </c>
      <c r="AC197" s="147">
        <v>2</v>
      </c>
      <c r="AD197" s="1466">
        <v>5</v>
      </c>
      <c r="AE197" s="1466">
        <v>2</v>
      </c>
      <c r="AF197" s="147">
        <v>8</v>
      </c>
      <c r="AG197" s="147">
        <v>1</v>
      </c>
      <c r="AH197" s="147">
        <v>3</v>
      </c>
      <c r="AI197" s="147">
        <v>1</v>
      </c>
      <c r="AJ197" s="147">
        <v>1</v>
      </c>
      <c r="AK197" s="147">
        <v>1</v>
      </c>
      <c r="AL197" s="147">
        <v>7</v>
      </c>
      <c r="AM197" s="2641">
        <v>0</v>
      </c>
      <c r="AN197" s="147" t="b">
        <v>0</v>
      </c>
      <c r="AO197" s="147" t="b">
        <v>0</v>
      </c>
    </row>
    <row r="198" spans="1:41" x14ac:dyDescent="0.35">
      <c r="A198" s="620">
        <v>197</v>
      </c>
      <c r="B198" s="617">
        <v>2</v>
      </c>
      <c r="C198" s="147">
        <v>1</v>
      </c>
      <c r="D198" s="147">
        <v>1</v>
      </c>
      <c r="E198" s="147">
        <v>1</v>
      </c>
      <c r="F198" s="147">
        <v>1</v>
      </c>
      <c r="G198" s="147">
        <v>1</v>
      </c>
      <c r="H198" s="147">
        <v>1</v>
      </c>
      <c r="I198" s="147">
        <v>1</v>
      </c>
      <c r="J198" s="122">
        <v>1</v>
      </c>
      <c r="K198" s="147">
        <v>1</v>
      </c>
      <c r="L198" s="147">
        <v>2</v>
      </c>
      <c r="M198" s="147">
        <v>1</v>
      </c>
      <c r="N198" s="147">
        <v>1</v>
      </c>
      <c r="O198" s="147">
        <v>1</v>
      </c>
      <c r="P198" s="147">
        <v>1</v>
      </c>
      <c r="Q198" s="147">
        <v>1</v>
      </c>
      <c r="R198" s="147">
        <v>1</v>
      </c>
      <c r="S198" s="147">
        <v>5</v>
      </c>
      <c r="T198" s="147">
        <v>1</v>
      </c>
      <c r="U198" s="147">
        <v>11</v>
      </c>
      <c r="V198" s="147">
        <v>7</v>
      </c>
      <c r="W198" s="147">
        <v>10</v>
      </c>
      <c r="X198" s="147">
        <v>1</v>
      </c>
      <c r="Y198" s="147">
        <v>1</v>
      </c>
      <c r="Z198" s="147">
        <v>10</v>
      </c>
      <c r="AA198" s="147">
        <v>1</v>
      </c>
      <c r="AB198" s="147">
        <v>1</v>
      </c>
      <c r="AC198" s="147">
        <v>1</v>
      </c>
      <c r="AD198" s="1466">
        <v>7</v>
      </c>
      <c r="AE198" s="1466">
        <v>1</v>
      </c>
      <c r="AF198" s="147">
        <v>6</v>
      </c>
      <c r="AG198" s="147">
        <v>1</v>
      </c>
      <c r="AH198" s="147">
        <v>1</v>
      </c>
      <c r="AI198" s="147">
        <v>1</v>
      </c>
      <c r="AJ198" s="147">
        <v>1</v>
      </c>
      <c r="AK198" s="147">
        <v>1</v>
      </c>
      <c r="AL198" s="147">
        <v>7</v>
      </c>
      <c r="AM198" s="2641">
        <v>0</v>
      </c>
      <c r="AN198" s="147" t="b">
        <v>0</v>
      </c>
      <c r="AO198" s="147" t="b">
        <v>1</v>
      </c>
    </row>
    <row r="199" spans="1:41" x14ac:dyDescent="0.35">
      <c r="A199" s="620">
        <v>198</v>
      </c>
      <c r="B199" s="617">
        <v>2</v>
      </c>
      <c r="C199" s="147">
        <v>13</v>
      </c>
      <c r="D199" s="147">
        <v>1</v>
      </c>
      <c r="E199" s="147">
        <v>1</v>
      </c>
      <c r="F199" s="147">
        <v>3</v>
      </c>
      <c r="G199" s="147">
        <v>2</v>
      </c>
      <c r="H199" s="147">
        <v>1</v>
      </c>
      <c r="I199" s="147">
        <v>1</v>
      </c>
      <c r="J199" s="122">
        <v>1</v>
      </c>
      <c r="K199" s="147">
        <v>1</v>
      </c>
      <c r="L199" s="147">
        <v>2</v>
      </c>
      <c r="M199" s="147">
        <v>1</v>
      </c>
      <c r="N199" s="147">
        <v>1</v>
      </c>
      <c r="O199" s="147">
        <v>1</v>
      </c>
      <c r="P199" s="147">
        <v>1</v>
      </c>
      <c r="Q199" s="147">
        <v>1</v>
      </c>
      <c r="R199" s="147">
        <v>1</v>
      </c>
      <c r="S199" s="147">
        <v>1</v>
      </c>
      <c r="T199" s="147">
        <v>1</v>
      </c>
      <c r="U199" s="147">
        <v>1</v>
      </c>
      <c r="V199" s="147">
        <v>1</v>
      </c>
      <c r="W199" s="147">
        <v>1</v>
      </c>
      <c r="X199" s="147">
        <v>1</v>
      </c>
      <c r="Y199" s="147">
        <v>1</v>
      </c>
      <c r="Z199" s="147">
        <v>1</v>
      </c>
      <c r="AA199" s="147">
        <v>1</v>
      </c>
      <c r="AB199" s="147">
        <v>1</v>
      </c>
      <c r="AC199" s="147">
        <v>8</v>
      </c>
      <c r="AD199" s="1466">
        <v>5</v>
      </c>
      <c r="AE199" s="1466">
        <v>1</v>
      </c>
      <c r="AF199" s="147">
        <v>1</v>
      </c>
      <c r="AG199" s="147">
        <v>1</v>
      </c>
      <c r="AH199" s="147">
        <v>1</v>
      </c>
      <c r="AI199" s="147">
        <v>1</v>
      </c>
      <c r="AJ199" s="147">
        <v>1</v>
      </c>
      <c r="AK199" s="147">
        <v>1</v>
      </c>
      <c r="AL199" s="147">
        <v>7</v>
      </c>
      <c r="AM199" s="2641">
        <v>0</v>
      </c>
      <c r="AN199" s="147" t="b">
        <v>0</v>
      </c>
      <c r="AO199" s="147" t="b">
        <v>1</v>
      </c>
    </row>
    <row r="200" spans="1:41" x14ac:dyDescent="0.35">
      <c r="A200" s="620">
        <v>199</v>
      </c>
      <c r="B200" s="617">
        <v>2</v>
      </c>
      <c r="C200" s="147">
        <v>5</v>
      </c>
      <c r="D200" s="147">
        <v>1</v>
      </c>
      <c r="E200" s="147">
        <v>1</v>
      </c>
      <c r="F200" s="147">
        <v>1</v>
      </c>
      <c r="G200" s="147">
        <v>1</v>
      </c>
      <c r="H200" s="147">
        <v>1</v>
      </c>
      <c r="I200" s="147">
        <v>1</v>
      </c>
      <c r="J200" s="122">
        <v>1</v>
      </c>
      <c r="K200" s="147">
        <v>1</v>
      </c>
      <c r="L200" s="147">
        <v>2</v>
      </c>
      <c r="M200" s="147">
        <v>1</v>
      </c>
      <c r="N200" s="147">
        <v>1</v>
      </c>
      <c r="O200" s="147">
        <v>1</v>
      </c>
      <c r="P200" s="147">
        <v>1</v>
      </c>
      <c r="Q200" s="147">
        <v>1</v>
      </c>
      <c r="R200" s="147">
        <v>4</v>
      </c>
      <c r="S200" s="147">
        <v>1</v>
      </c>
      <c r="T200" s="147">
        <v>1</v>
      </c>
      <c r="U200" s="147">
        <v>9</v>
      </c>
      <c r="V200" s="147">
        <v>7</v>
      </c>
      <c r="W200" s="147">
        <v>1</v>
      </c>
      <c r="X200" s="147">
        <v>1</v>
      </c>
      <c r="Y200" s="147">
        <v>1</v>
      </c>
      <c r="Z200" s="147">
        <v>1</v>
      </c>
      <c r="AA200" s="147">
        <v>1</v>
      </c>
      <c r="AB200" s="147">
        <v>7</v>
      </c>
      <c r="AC200" s="147">
        <v>1</v>
      </c>
      <c r="AD200" s="1466">
        <v>5</v>
      </c>
      <c r="AE200" s="1466">
        <v>1</v>
      </c>
      <c r="AF200" s="147">
        <v>1</v>
      </c>
      <c r="AG200" s="147">
        <v>1</v>
      </c>
      <c r="AH200" s="147">
        <v>1</v>
      </c>
      <c r="AI200" s="147">
        <v>1</v>
      </c>
      <c r="AJ200" s="147">
        <v>1</v>
      </c>
      <c r="AK200" s="147">
        <v>1</v>
      </c>
      <c r="AL200" s="147">
        <v>7</v>
      </c>
      <c r="AM200" s="2641">
        <v>0</v>
      </c>
      <c r="AN200" s="147" t="b">
        <v>0</v>
      </c>
      <c r="AO200" s="147" t="b">
        <v>1</v>
      </c>
    </row>
    <row r="201" spans="1:41" x14ac:dyDescent="0.35">
      <c r="A201" s="620">
        <v>200</v>
      </c>
      <c r="B201" s="617">
        <v>2</v>
      </c>
      <c r="C201" s="147">
        <v>1</v>
      </c>
      <c r="D201" s="147">
        <v>1</v>
      </c>
      <c r="E201" s="147">
        <v>1</v>
      </c>
      <c r="F201" s="147">
        <v>1</v>
      </c>
      <c r="G201" s="147">
        <v>1</v>
      </c>
      <c r="H201" s="147">
        <v>1</v>
      </c>
      <c r="I201" s="147">
        <v>1</v>
      </c>
      <c r="J201" s="122">
        <v>1</v>
      </c>
      <c r="K201" s="147">
        <v>1</v>
      </c>
      <c r="L201" s="147">
        <v>2</v>
      </c>
      <c r="M201" s="147">
        <v>1</v>
      </c>
      <c r="N201" s="147">
        <v>1</v>
      </c>
      <c r="O201" s="147">
        <v>1</v>
      </c>
      <c r="P201" s="147">
        <v>1</v>
      </c>
      <c r="Q201" s="147">
        <v>1</v>
      </c>
      <c r="R201" s="147">
        <v>1</v>
      </c>
      <c r="S201" s="147">
        <v>1</v>
      </c>
      <c r="T201" s="147">
        <v>1</v>
      </c>
      <c r="U201" s="147">
        <v>9</v>
      </c>
      <c r="V201" s="147">
        <v>5</v>
      </c>
      <c r="W201" s="147">
        <v>1</v>
      </c>
      <c r="X201" s="147">
        <v>1</v>
      </c>
      <c r="Y201" s="147">
        <v>1</v>
      </c>
      <c r="Z201" s="147">
        <v>1</v>
      </c>
      <c r="AA201" s="147">
        <v>1</v>
      </c>
      <c r="AB201" s="147">
        <v>7</v>
      </c>
      <c r="AC201" s="147">
        <v>1</v>
      </c>
      <c r="AD201" s="1466">
        <v>5</v>
      </c>
      <c r="AE201" s="1466">
        <v>1</v>
      </c>
      <c r="AF201" s="147">
        <v>1</v>
      </c>
      <c r="AG201" s="147">
        <v>1</v>
      </c>
      <c r="AH201" s="147">
        <v>1</v>
      </c>
      <c r="AI201" s="147">
        <v>1</v>
      </c>
      <c r="AJ201" s="147">
        <v>4</v>
      </c>
      <c r="AK201" s="147">
        <v>1</v>
      </c>
      <c r="AL201" s="147">
        <v>7</v>
      </c>
      <c r="AM201" s="2641">
        <v>0</v>
      </c>
      <c r="AN201" s="147" t="b">
        <v>0</v>
      </c>
      <c r="AO201" s="147" t="b">
        <v>1</v>
      </c>
    </row>
    <row r="202" spans="1:41" x14ac:dyDescent="0.35">
      <c r="A202" s="620">
        <v>201</v>
      </c>
      <c r="B202" s="617">
        <v>2</v>
      </c>
      <c r="C202" s="147">
        <v>1</v>
      </c>
      <c r="D202" s="147">
        <v>1</v>
      </c>
      <c r="E202" s="147">
        <v>1</v>
      </c>
      <c r="F202" s="147">
        <v>1</v>
      </c>
      <c r="G202" s="147">
        <v>1</v>
      </c>
      <c r="H202" s="147">
        <v>1</v>
      </c>
      <c r="I202" s="147">
        <v>1</v>
      </c>
      <c r="J202" s="122">
        <v>1</v>
      </c>
      <c r="K202" s="147">
        <v>1</v>
      </c>
      <c r="L202" s="147">
        <v>2</v>
      </c>
      <c r="M202" s="147">
        <v>1</v>
      </c>
      <c r="N202" s="147">
        <v>1</v>
      </c>
      <c r="O202" s="147">
        <v>1</v>
      </c>
      <c r="P202" s="147">
        <v>1</v>
      </c>
      <c r="Q202" s="147">
        <v>1</v>
      </c>
      <c r="R202" s="147">
        <v>1</v>
      </c>
      <c r="S202" s="147">
        <v>1</v>
      </c>
      <c r="T202" s="147">
        <v>1</v>
      </c>
      <c r="U202" s="147">
        <v>1</v>
      </c>
      <c r="V202" s="147">
        <v>10</v>
      </c>
      <c r="W202" s="147">
        <v>1</v>
      </c>
      <c r="X202" s="147">
        <v>1</v>
      </c>
      <c r="Y202" s="147">
        <v>4</v>
      </c>
      <c r="Z202" s="147">
        <v>5</v>
      </c>
      <c r="AA202" s="147">
        <v>1</v>
      </c>
      <c r="AB202" s="147">
        <v>6</v>
      </c>
      <c r="AC202" s="147">
        <v>1</v>
      </c>
      <c r="AD202" s="1466">
        <v>2</v>
      </c>
      <c r="AE202" s="1466">
        <v>1</v>
      </c>
      <c r="AF202" s="147">
        <v>7</v>
      </c>
      <c r="AG202" s="147">
        <v>1</v>
      </c>
      <c r="AH202" s="147">
        <v>1</v>
      </c>
      <c r="AI202" s="147">
        <v>7</v>
      </c>
      <c r="AJ202" s="147">
        <v>1</v>
      </c>
      <c r="AK202" s="147">
        <v>1</v>
      </c>
      <c r="AL202" s="147">
        <v>7</v>
      </c>
      <c r="AM202" s="2641">
        <v>0</v>
      </c>
      <c r="AN202" s="147" t="b">
        <v>0</v>
      </c>
      <c r="AO202" s="147" t="b">
        <v>0</v>
      </c>
    </row>
    <row r="203" spans="1:41" x14ac:dyDescent="0.35">
      <c r="A203" s="620">
        <v>202</v>
      </c>
      <c r="B203" s="617">
        <v>2</v>
      </c>
      <c r="C203" s="147">
        <v>1</v>
      </c>
      <c r="D203" s="147">
        <v>1</v>
      </c>
      <c r="E203" s="147">
        <v>1</v>
      </c>
      <c r="F203" s="147">
        <v>1</v>
      </c>
      <c r="G203" s="147">
        <v>1</v>
      </c>
      <c r="H203" s="147">
        <v>1</v>
      </c>
      <c r="I203" s="147">
        <v>1</v>
      </c>
      <c r="J203" s="122">
        <v>1</v>
      </c>
      <c r="K203" s="147">
        <v>1</v>
      </c>
      <c r="L203" s="147">
        <v>2</v>
      </c>
      <c r="M203" s="147">
        <v>1</v>
      </c>
      <c r="N203" s="147">
        <v>1</v>
      </c>
      <c r="O203" s="147">
        <v>1</v>
      </c>
      <c r="P203" s="147">
        <v>1</v>
      </c>
      <c r="Q203" s="147">
        <v>1</v>
      </c>
      <c r="R203" s="147">
        <v>1</v>
      </c>
      <c r="S203" s="147">
        <v>11</v>
      </c>
      <c r="T203" s="147">
        <v>1</v>
      </c>
      <c r="U203" s="147">
        <v>1</v>
      </c>
      <c r="V203" s="147">
        <v>1</v>
      </c>
      <c r="W203" s="147">
        <v>1</v>
      </c>
      <c r="X203" s="147">
        <v>1</v>
      </c>
      <c r="Y203" s="147">
        <v>1</v>
      </c>
      <c r="Z203" s="147">
        <v>7</v>
      </c>
      <c r="AA203" s="147">
        <v>1</v>
      </c>
      <c r="AB203" s="147">
        <v>1</v>
      </c>
      <c r="AC203" s="147">
        <v>1</v>
      </c>
      <c r="AD203" s="1466">
        <v>5</v>
      </c>
      <c r="AE203" s="1466">
        <v>1</v>
      </c>
      <c r="AF203" s="147">
        <v>1</v>
      </c>
      <c r="AG203" s="147">
        <v>1</v>
      </c>
      <c r="AH203" s="147">
        <v>1</v>
      </c>
      <c r="AI203" s="147">
        <v>1</v>
      </c>
      <c r="AJ203" s="147">
        <v>1</v>
      </c>
      <c r="AK203" s="147">
        <v>8</v>
      </c>
      <c r="AL203" s="147">
        <v>7</v>
      </c>
      <c r="AM203" s="2641">
        <v>0</v>
      </c>
      <c r="AN203" s="147" t="b">
        <v>0</v>
      </c>
      <c r="AO203" s="147" t="b">
        <v>0</v>
      </c>
    </row>
    <row r="204" spans="1:41" x14ac:dyDescent="0.35">
      <c r="A204" s="620">
        <v>203</v>
      </c>
      <c r="B204" s="617">
        <v>2</v>
      </c>
      <c r="C204" s="147">
        <v>3</v>
      </c>
      <c r="D204" s="147">
        <v>12</v>
      </c>
      <c r="E204" s="147">
        <v>1</v>
      </c>
      <c r="F204" s="147">
        <v>1</v>
      </c>
      <c r="G204" s="147">
        <v>3</v>
      </c>
      <c r="H204" s="147">
        <v>1</v>
      </c>
      <c r="I204" s="147">
        <v>1</v>
      </c>
      <c r="J204" s="122">
        <v>1</v>
      </c>
      <c r="K204" s="147">
        <v>1</v>
      </c>
      <c r="L204" s="147">
        <v>2</v>
      </c>
      <c r="M204" s="147">
        <v>1</v>
      </c>
      <c r="N204" s="147">
        <v>1</v>
      </c>
      <c r="O204" s="147">
        <v>1</v>
      </c>
      <c r="P204" s="147">
        <v>1</v>
      </c>
      <c r="Q204" s="147">
        <v>1</v>
      </c>
      <c r="R204" s="147">
        <v>1</v>
      </c>
      <c r="S204" s="147">
        <v>1</v>
      </c>
      <c r="T204" s="147">
        <v>1</v>
      </c>
      <c r="U204" s="147">
        <v>1</v>
      </c>
      <c r="V204" s="147">
        <v>1</v>
      </c>
      <c r="W204" s="147">
        <v>1</v>
      </c>
      <c r="X204" s="147">
        <v>1</v>
      </c>
      <c r="Y204" s="147">
        <v>1</v>
      </c>
      <c r="Z204" s="147">
        <v>1</v>
      </c>
      <c r="AA204" s="147">
        <v>1</v>
      </c>
      <c r="AB204" s="147">
        <v>1</v>
      </c>
      <c r="AC204" s="147">
        <v>1</v>
      </c>
      <c r="AD204" s="1466">
        <v>1</v>
      </c>
      <c r="AE204" s="1466">
        <v>1</v>
      </c>
      <c r="AF204" s="147">
        <v>10</v>
      </c>
      <c r="AG204" s="147">
        <v>1</v>
      </c>
      <c r="AH204" s="147">
        <v>1</v>
      </c>
      <c r="AI204" s="147">
        <v>1</v>
      </c>
      <c r="AJ204" s="147">
        <v>7</v>
      </c>
      <c r="AK204" s="147">
        <v>1</v>
      </c>
      <c r="AL204" s="147">
        <v>7</v>
      </c>
      <c r="AM204" s="2641">
        <v>0</v>
      </c>
      <c r="AN204" s="147" t="b">
        <v>1</v>
      </c>
      <c r="AO204" s="147" t="b">
        <v>0</v>
      </c>
    </row>
    <row r="205" spans="1:41" x14ac:dyDescent="0.35">
      <c r="A205" s="620">
        <v>204</v>
      </c>
      <c r="B205" s="617">
        <v>2</v>
      </c>
      <c r="C205" s="147">
        <v>1</v>
      </c>
      <c r="D205" s="147">
        <v>1</v>
      </c>
      <c r="E205" s="147">
        <v>1</v>
      </c>
      <c r="F205" s="147">
        <v>1</v>
      </c>
      <c r="G205" s="147">
        <v>1</v>
      </c>
      <c r="H205" s="147">
        <v>1</v>
      </c>
      <c r="I205" s="147">
        <v>1</v>
      </c>
      <c r="J205" s="122">
        <v>1</v>
      </c>
      <c r="K205" s="147">
        <v>1</v>
      </c>
      <c r="L205" s="147">
        <v>2</v>
      </c>
      <c r="M205" s="147">
        <v>1</v>
      </c>
      <c r="N205" s="147">
        <v>1</v>
      </c>
      <c r="O205" s="147">
        <v>1</v>
      </c>
      <c r="P205" s="147">
        <v>1</v>
      </c>
      <c r="Q205" s="147">
        <v>1</v>
      </c>
      <c r="R205" s="147">
        <v>1</v>
      </c>
      <c r="S205" s="147">
        <v>1</v>
      </c>
      <c r="T205" s="147">
        <v>1</v>
      </c>
      <c r="U205" s="147">
        <v>1</v>
      </c>
      <c r="V205" s="147">
        <v>1</v>
      </c>
      <c r="W205" s="147">
        <v>1</v>
      </c>
      <c r="X205" s="147">
        <v>1</v>
      </c>
      <c r="Y205" s="147">
        <v>1</v>
      </c>
      <c r="Z205" s="147">
        <v>1</v>
      </c>
      <c r="AA205" s="147">
        <v>1</v>
      </c>
      <c r="AB205" s="147">
        <v>1</v>
      </c>
      <c r="AC205" s="147">
        <v>9</v>
      </c>
      <c r="AD205" s="1466">
        <v>5</v>
      </c>
      <c r="AE205" s="1466">
        <v>1</v>
      </c>
      <c r="AF205" s="147">
        <v>1</v>
      </c>
      <c r="AG205" s="147">
        <v>1</v>
      </c>
      <c r="AH205" s="147">
        <v>1</v>
      </c>
      <c r="AI205" s="147">
        <v>1</v>
      </c>
      <c r="AJ205" s="147">
        <v>1</v>
      </c>
      <c r="AK205" s="147">
        <v>1</v>
      </c>
      <c r="AL205" s="147">
        <v>7</v>
      </c>
      <c r="AM205" s="2641">
        <v>0</v>
      </c>
      <c r="AN205" s="147" t="b">
        <v>0</v>
      </c>
      <c r="AO205" s="147" t="b">
        <v>0</v>
      </c>
    </row>
    <row r="206" spans="1:41" x14ac:dyDescent="0.35">
      <c r="A206" s="620">
        <v>205</v>
      </c>
      <c r="B206" s="617">
        <v>2</v>
      </c>
      <c r="C206" s="147">
        <v>13</v>
      </c>
      <c r="D206" s="147">
        <v>1</v>
      </c>
      <c r="E206" s="147">
        <v>1</v>
      </c>
      <c r="F206" s="147">
        <v>1</v>
      </c>
      <c r="G206" s="147">
        <v>1</v>
      </c>
      <c r="H206" s="147">
        <v>1</v>
      </c>
      <c r="I206" s="147">
        <v>1</v>
      </c>
      <c r="J206" s="122">
        <v>1</v>
      </c>
      <c r="K206" s="147">
        <v>1</v>
      </c>
      <c r="L206" s="147">
        <v>2</v>
      </c>
      <c r="M206" s="147">
        <v>1</v>
      </c>
      <c r="N206" s="147">
        <v>1</v>
      </c>
      <c r="O206" s="147">
        <v>1</v>
      </c>
      <c r="P206" s="147">
        <v>1</v>
      </c>
      <c r="Q206" s="147">
        <v>1</v>
      </c>
      <c r="R206" s="147">
        <v>5</v>
      </c>
      <c r="S206" s="147">
        <v>1</v>
      </c>
      <c r="T206" s="147">
        <v>1</v>
      </c>
      <c r="U206" s="147">
        <v>12</v>
      </c>
      <c r="V206" s="147">
        <v>12</v>
      </c>
      <c r="W206" s="147">
        <v>1</v>
      </c>
      <c r="X206" s="147">
        <v>1</v>
      </c>
      <c r="Y206" s="147">
        <v>1</v>
      </c>
      <c r="Z206" s="147">
        <v>1</v>
      </c>
      <c r="AA206" s="147">
        <v>1</v>
      </c>
      <c r="AB206" s="147">
        <v>1</v>
      </c>
      <c r="AC206" s="147">
        <v>1</v>
      </c>
      <c r="AD206" s="1466">
        <v>1</v>
      </c>
      <c r="AE206" s="1466">
        <v>1</v>
      </c>
      <c r="AF206" s="147">
        <v>2</v>
      </c>
      <c r="AG206" s="147">
        <v>1</v>
      </c>
      <c r="AH206" s="147">
        <v>1</v>
      </c>
      <c r="AI206" s="147">
        <v>1</v>
      </c>
      <c r="AJ206" s="147">
        <v>7</v>
      </c>
      <c r="AK206" s="147">
        <v>1</v>
      </c>
      <c r="AL206" s="147">
        <v>7</v>
      </c>
      <c r="AM206" s="2641">
        <v>0</v>
      </c>
      <c r="AN206" s="147" t="b">
        <v>1</v>
      </c>
      <c r="AO206" s="147" t="b">
        <v>0</v>
      </c>
    </row>
    <row r="207" spans="1:41" x14ac:dyDescent="0.35">
      <c r="A207" s="620">
        <v>206</v>
      </c>
      <c r="B207" s="617">
        <v>2</v>
      </c>
      <c r="C207" s="147">
        <v>13</v>
      </c>
      <c r="D207" s="147">
        <v>1</v>
      </c>
      <c r="E207" s="147">
        <v>1</v>
      </c>
      <c r="F207" s="147">
        <v>1</v>
      </c>
      <c r="G207" s="147">
        <v>1</v>
      </c>
      <c r="H207" s="147">
        <v>1</v>
      </c>
      <c r="I207" s="147">
        <v>1</v>
      </c>
      <c r="J207" s="122">
        <v>1</v>
      </c>
      <c r="K207" s="147">
        <v>1</v>
      </c>
      <c r="L207" s="147">
        <v>2</v>
      </c>
      <c r="M207" s="147">
        <v>1</v>
      </c>
      <c r="N207" s="147">
        <v>1</v>
      </c>
      <c r="O207" s="147">
        <v>1</v>
      </c>
      <c r="P207" s="147">
        <v>1</v>
      </c>
      <c r="Q207" s="147">
        <v>1</v>
      </c>
      <c r="R207" s="147">
        <v>5</v>
      </c>
      <c r="S207" s="147">
        <v>1</v>
      </c>
      <c r="T207" s="147">
        <v>1</v>
      </c>
      <c r="U207" s="147">
        <v>12</v>
      </c>
      <c r="V207" s="147">
        <v>12</v>
      </c>
      <c r="W207" s="147">
        <v>1</v>
      </c>
      <c r="X207" s="147">
        <v>1</v>
      </c>
      <c r="Y207" s="147">
        <v>1</v>
      </c>
      <c r="Z207" s="147">
        <v>1</v>
      </c>
      <c r="AA207" s="147">
        <v>1</v>
      </c>
      <c r="AB207" s="147">
        <v>1</v>
      </c>
      <c r="AC207" s="147">
        <v>1</v>
      </c>
      <c r="AD207" s="1466">
        <v>1</v>
      </c>
      <c r="AE207" s="1466">
        <v>1</v>
      </c>
      <c r="AF207" s="147">
        <v>2</v>
      </c>
      <c r="AG207" s="147">
        <v>1</v>
      </c>
      <c r="AH207" s="147">
        <v>1</v>
      </c>
      <c r="AI207" s="147">
        <v>6</v>
      </c>
      <c r="AJ207" s="147">
        <v>7</v>
      </c>
      <c r="AK207" s="147">
        <v>1</v>
      </c>
      <c r="AL207" s="147">
        <v>7</v>
      </c>
      <c r="AM207" s="2641">
        <v>0</v>
      </c>
      <c r="AN207" s="147" t="b">
        <v>1</v>
      </c>
      <c r="AO207" s="147" t="b">
        <v>0</v>
      </c>
    </row>
    <row r="208" spans="1:41" x14ac:dyDescent="0.35">
      <c r="A208" s="620">
        <v>207</v>
      </c>
      <c r="B208" s="617">
        <v>2</v>
      </c>
      <c r="C208" s="147">
        <v>3</v>
      </c>
      <c r="D208" s="147">
        <v>1</v>
      </c>
      <c r="E208" s="147">
        <v>1</v>
      </c>
      <c r="F208" s="147">
        <v>1</v>
      </c>
      <c r="G208" s="147">
        <v>5</v>
      </c>
      <c r="H208" s="147">
        <v>1</v>
      </c>
      <c r="I208" s="147">
        <v>1</v>
      </c>
      <c r="J208" s="122">
        <v>1</v>
      </c>
      <c r="K208" s="147">
        <v>1</v>
      </c>
      <c r="L208" s="147">
        <v>2</v>
      </c>
      <c r="M208" s="147">
        <v>1</v>
      </c>
      <c r="N208" s="147">
        <v>1</v>
      </c>
      <c r="O208" s="147">
        <v>1</v>
      </c>
      <c r="P208" s="147">
        <v>1</v>
      </c>
      <c r="Q208" s="147">
        <v>1</v>
      </c>
      <c r="R208" s="147">
        <v>1</v>
      </c>
      <c r="S208" s="147">
        <v>1</v>
      </c>
      <c r="T208" s="147">
        <v>1</v>
      </c>
      <c r="U208" s="147">
        <v>1</v>
      </c>
      <c r="V208" s="147">
        <v>12</v>
      </c>
      <c r="W208" s="147">
        <v>1</v>
      </c>
      <c r="X208" s="147">
        <v>1</v>
      </c>
      <c r="Y208" s="147">
        <v>1</v>
      </c>
      <c r="Z208" s="147">
        <v>1</v>
      </c>
      <c r="AA208" s="147">
        <v>1</v>
      </c>
      <c r="AB208" s="147">
        <v>1</v>
      </c>
      <c r="AC208" s="147">
        <v>1</v>
      </c>
      <c r="AD208" s="1466">
        <v>1</v>
      </c>
      <c r="AE208" s="1466">
        <v>1</v>
      </c>
      <c r="AF208" s="147">
        <v>1</v>
      </c>
      <c r="AG208" s="147">
        <v>8</v>
      </c>
      <c r="AH208" s="147">
        <v>1</v>
      </c>
      <c r="AI208" s="147">
        <v>1</v>
      </c>
      <c r="AJ208" s="147">
        <v>1</v>
      </c>
      <c r="AK208" s="147">
        <v>1</v>
      </c>
      <c r="AL208" s="147">
        <v>7</v>
      </c>
      <c r="AM208" s="2641">
        <v>0</v>
      </c>
      <c r="AN208" s="147" t="b">
        <v>0</v>
      </c>
      <c r="AO208" s="147" t="b">
        <v>0</v>
      </c>
    </row>
    <row r="209" spans="1:41" x14ac:dyDescent="0.35">
      <c r="A209" s="620">
        <v>208</v>
      </c>
      <c r="B209" s="617">
        <v>2</v>
      </c>
      <c r="C209" s="147">
        <v>1</v>
      </c>
      <c r="D209" s="147">
        <v>1</v>
      </c>
      <c r="E209" s="147">
        <v>1</v>
      </c>
      <c r="F209" s="147">
        <v>1</v>
      </c>
      <c r="G209" s="147">
        <v>9</v>
      </c>
      <c r="H209" s="147">
        <v>1</v>
      </c>
      <c r="I209" s="147">
        <v>1</v>
      </c>
      <c r="J209" s="122">
        <v>2</v>
      </c>
      <c r="K209" s="147">
        <v>1</v>
      </c>
      <c r="L209" s="147">
        <v>2</v>
      </c>
      <c r="M209" s="147">
        <v>1</v>
      </c>
      <c r="N209" s="147">
        <v>1</v>
      </c>
      <c r="O209" s="147">
        <v>1</v>
      </c>
      <c r="P209" s="147">
        <v>1</v>
      </c>
      <c r="Q209" s="147">
        <v>1</v>
      </c>
      <c r="R209" s="147">
        <v>1</v>
      </c>
      <c r="S209" s="147">
        <v>1</v>
      </c>
      <c r="T209" s="147">
        <v>1</v>
      </c>
      <c r="U209" s="147">
        <v>1</v>
      </c>
      <c r="V209" s="147">
        <v>2</v>
      </c>
      <c r="W209" s="147">
        <v>1</v>
      </c>
      <c r="X209" s="147">
        <v>1</v>
      </c>
      <c r="Y209" s="147">
        <v>1</v>
      </c>
      <c r="Z209" s="147">
        <v>1</v>
      </c>
      <c r="AA209" s="147">
        <v>1</v>
      </c>
      <c r="AB209" s="147">
        <v>1</v>
      </c>
      <c r="AC209" s="147">
        <v>1</v>
      </c>
      <c r="AD209" s="1466">
        <v>1</v>
      </c>
      <c r="AE209" s="1466">
        <v>1</v>
      </c>
      <c r="AF209" s="147">
        <v>1</v>
      </c>
      <c r="AG209" s="147">
        <v>1</v>
      </c>
      <c r="AH209" s="147">
        <v>1</v>
      </c>
      <c r="AI209" s="147">
        <v>9</v>
      </c>
      <c r="AJ209" s="147">
        <v>4</v>
      </c>
      <c r="AK209" s="147">
        <v>1</v>
      </c>
      <c r="AL209" s="147">
        <v>7</v>
      </c>
      <c r="AM209" s="2641">
        <v>0</v>
      </c>
      <c r="AN209" s="147" t="b">
        <v>0</v>
      </c>
      <c r="AO209" s="147" t="b">
        <v>0</v>
      </c>
    </row>
    <row r="210" spans="1:41" x14ac:dyDescent="0.35">
      <c r="A210" s="620">
        <v>209</v>
      </c>
      <c r="B210" s="617">
        <v>2</v>
      </c>
      <c r="C210" s="147">
        <v>1</v>
      </c>
      <c r="D210" s="147">
        <v>8</v>
      </c>
      <c r="E210" s="147">
        <v>1</v>
      </c>
      <c r="F210" s="147">
        <v>1</v>
      </c>
      <c r="G210" s="147">
        <v>1</v>
      </c>
      <c r="H210" s="147">
        <v>1</v>
      </c>
      <c r="I210" s="147">
        <v>1</v>
      </c>
      <c r="J210" s="147">
        <v>1</v>
      </c>
      <c r="K210" s="147">
        <v>1</v>
      </c>
      <c r="L210" s="147">
        <v>2</v>
      </c>
      <c r="M210" s="147">
        <v>1</v>
      </c>
      <c r="N210" s="147">
        <v>1</v>
      </c>
      <c r="O210" s="147">
        <v>1</v>
      </c>
      <c r="P210" s="147">
        <v>1</v>
      </c>
      <c r="Q210" s="147">
        <v>1</v>
      </c>
      <c r="R210" s="147">
        <v>1</v>
      </c>
      <c r="S210" s="147">
        <v>1</v>
      </c>
      <c r="T210" s="147">
        <v>1</v>
      </c>
      <c r="U210" s="147">
        <v>1</v>
      </c>
      <c r="V210" s="147">
        <v>1</v>
      </c>
      <c r="W210" s="147">
        <v>1</v>
      </c>
      <c r="X210" s="147">
        <v>1</v>
      </c>
      <c r="Y210" s="147">
        <v>1</v>
      </c>
      <c r="Z210" s="147">
        <v>1</v>
      </c>
      <c r="AA210" s="147">
        <v>1</v>
      </c>
      <c r="AB210" s="147">
        <v>1</v>
      </c>
      <c r="AC210" s="147">
        <v>1</v>
      </c>
      <c r="AD210" s="1466">
        <v>1</v>
      </c>
      <c r="AE210" s="1466">
        <v>1</v>
      </c>
      <c r="AF210" s="147">
        <v>1</v>
      </c>
      <c r="AG210" s="147">
        <v>9</v>
      </c>
      <c r="AH210" s="147">
        <v>1</v>
      </c>
      <c r="AI210" s="147">
        <v>10</v>
      </c>
      <c r="AJ210" s="147">
        <v>5</v>
      </c>
      <c r="AK210" s="147">
        <v>1</v>
      </c>
      <c r="AL210" s="147">
        <v>4</v>
      </c>
      <c r="AM210" s="2641">
        <v>0</v>
      </c>
      <c r="AN210" s="147" t="b">
        <v>0</v>
      </c>
      <c r="AO210" s="147" t="b">
        <v>0</v>
      </c>
    </row>
    <row r="211" spans="1:41" x14ac:dyDescent="0.35">
      <c r="A211" s="620">
        <v>210</v>
      </c>
      <c r="B211" s="617">
        <v>2</v>
      </c>
      <c r="C211" s="147">
        <v>1</v>
      </c>
      <c r="D211" s="147">
        <v>8</v>
      </c>
      <c r="E211" s="147">
        <v>1</v>
      </c>
      <c r="F211" s="147">
        <v>1</v>
      </c>
      <c r="G211" s="147">
        <v>1</v>
      </c>
      <c r="H211" s="147">
        <v>1</v>
      </c>
      <c r="I211" s="147">
        <v>1</v>
      </c>
      <c r="J211" s="147">
        <v>1</v>
      </c>
      <c r="K211" s="147">
        <v>1</v>
      </c>
      <c r="L211" s="147">
        <v>2</v>
      </c>
      <c r="M211" s="147">
        <v>1</v>
      </c>
      <c r="N211" s="147">
        <v>1</v>
      </c>
      <c r="O211" s="147">
        <v>1</v>
      </c>
      <c r="P211" s="147">
        <v>1</v>
      </c>
      <c r="Q211" s="147">
        <v>1</v>
      </c>
      <c r="R211" s="147">
        <v>1</v>
      </c>
      <c r="S211" s="147">
        <v>1</v>
      </c>
      <c r="T211" s="147">
        <v>1</v>
      </c>
      <c r="U211" s="147">
        <v>1</v>
      </c>
      <c r="V211" s="147">
        <v>1</v>
      </c>
      <c r="W211" s="147">
        <v>1</v>
      </c>
      <c r="X211" s="147">
        <v>1</v>
      </c>
      <c r="Y211" s="147">
        <v>1</v>
      </c>
      <c r="Z211" s="147">
        <v>1</v>
      </c>
      <c r="AA211" s="147">
        <v>1</v>
      </c>
      <c r="AB211" s="147">
        <v>1</v>
      </c>
      <c r="AC211" s="147">
        <v>1</v>
      </c>
      <c r="AD211" s="1466">
        <v>1</v>
      </c>
      <c r="AE211" s="1466">
        <v>1</v>
      </c>
      <c r="AF211" s="147">
        <v>1</v>
      </c>
      <c r="AG211" s="147">
        <v>9</v>
      </c>
      <c r="AH211" s="147">
        <v>1</v>
      </c>
      <c r="AI211" s="147">
        <v>10</v>
      </c>
      <c r="AJ211" s="147">
        <v>9</v>
      </c>
      <c r="AK211" s="147">
        <v>1</v>
      </c>
      <c r="AL211" s="147">
        <v>4</v>
      </c>
      <c r="AM211" s="2641">
        <v>0</v>
      </c>
      <c r="AN211" s="147" t="b">
        <v>0</v>
      </c>
      <c r="AO211" s="147" t="b">
        <v>0</v>
      </c>
    </row>
    <row r="212" spans="1:41" x14ac:dyDescent="0.35">
      <c r="A212" s="620">
        <v>211</v>
      </c>
      <c r="B212" s="617">
        <v>2</v>
      </c>
      <c r="C212" s="147">
        <v>1</v>
      </c>
      <c r="D212" s="147">
        <v>8</v>
      </c>
      <c r="E212" s="147">
        <v>1</v>
      </c>
      <c r="F212" s="147">
        <v>1</v>
      </c>
      <c r="G212" s="147">
        <v>1</v>
      </c>
      <c r="H212" s="147">
        <v>1</v>
      </c>
      <c r="I212" s="147">
        <v>1</v>
      </c>
      <c r="J212" s="147">
        <v>1</v>
      </c>
      <c r="K212" s="147">
        <v>1</v>
      </c>
      <c r="L212" s="147">
        <v>2</v>
      </c>
      <c r="M212" s="147">
        <v>1</v>
      </c>
      <c r="N212" s="147">
        <v>1</v>
      </c>
      <c r="O212" s="147">
        <v>1</v>
      </c>
      <c r="P212" s="147">
        <v>1</v>
      </c>
      <c r="Q212" s="147">
        <v>1</v>
      </c>
      <c r="R212" s="147">
        <v>1</v>
      </c>
      <c r="S212" s="147">
        <v>1</v>
      </c>
      <c r="T212" s="147">
        <v>1</v>
      </c>
      <c r="U212" s="147">
        <v>1</v>
      </c>
      <c r="V212" s="147">
        <v>1</v>
      </c>
      <c r="W212" s="147">
        <v>1</v>
      </c>
      <c r="X212" s="147">
        <v>1</v>
      </c>
      <c r="Y212" s="147">
        <v>1</v>
      </c>
      <c r="Z212" s="147">
        <v>1</v>
      </c>
      <c r="AA212" s="147">
        <v>1</v>
      </c>
      <c r="AB212" s="147">
        <v>1</v>
      </c>
      <c r="AC212" s="147">
        <v>1</v>
      </c>
      <c r="AD212" s="1466">
        <v>1</v>
      </c>
      <c r="AE212" s="1466">
        <v>1</v>
      </c>
      <c r="AF212" s="147">
        <v>1</v>
      </c>
      <c r="AG212" s="147">
        <v>9</v>
      </c>
      <c r="AH212" s="147">
        <v>1</v>
      </c>
      <c r="AI212" s="147">
        <v>10</v>
      </c>
      <c r="AJ212" s="147">
        <v>10</v>
      </c>
      <c r="AK212" s="147">
        <v>1</v>
      </c>
      <c r="AL212" s="147">
        <v>4</v>
      </c>
      <c r="AM212" s="2641">
        <v>0</v>
      </c>
      <c r="AN212" s="147" t="b">
        <v>0</v>
      </c>
      <c r="AO212" s="147" t="b">
        <v>0</v>
      </c>
    </row>
    <row r="213" spans="1:41" x14ac:dyDescent="0.35">
      <c r="A213" s="620">
        <v>212</v>
      </c>
      <c r="B213" s="617">
        <v>2</v>
      </c>
      <c r="C213" s="147">
        <v>1</v>
      </c>
      <c r="D213" s="147">
        <v>8</v>
      </c>
      <c r="E213" s="147">
        <v>1</v>
      </c>
      <c r="F213" s="147">
        <v>1</v>
      </c>
      <c r="G213" s="147">
        <v>1</v>
      </c>
      <c r="H213" s="147">
        <v>1</v>
      </c>
      <c r="I213" s="147">
        <v>1</v>
      </c>
      <c r="J213" s="147">
        <v>1</v>
      </c>
      <c r="K213" s="147">
        <v>1</v>
      </c>
      <c r="L213" s="147">
        <v>2</v>
      </c>
      <c r="M213" s="147">
        <v>1</v>
      </c>
      <c r="N213" s="147">
        <v>1</v>
      </c>
      <c r="O213" s="147">
        <v>1</v>
      </c>
      <c r="P213" s="147">
        <v>1</v>
      </c>
      <c r="Q213" s="147">
        <v>1</v>
      </c>
      <c r="R213" s="147">
        <v>1</v>
      </c>
      <c r="S213" s="147">
        <v>1</v>
      </c>
      <c r="T213" s="147">
        <v>1</v>
      </c>
      <c r="U213" s="147">
        <v>1</v>
      </c>
      <c r="V213" s="147">
        <v>1</v>
      </c>
      <c r="W213" s="147">
        <v>1</v>
      </c>
      <c r="X213" s="147">
        <v>1</v>
      </c>
      <c r="Y213" s="147">
        <v>1</v>
      </c>
      <c r="Z213" s="147">
        <v>1</v>
      </c>
      <c r="AA213" s="147">
        <v>1</v>
      </c>
      <c r="AB213" s="147">
        <v>1</v>
      </c>
      <c r="AC213" s="147">
        <v>1</v>
      </c>
      <c r="AD213" s="1466">
        <v>1</v>
      </c>
      <c r="AE213" s="1466">
        <v>1</v>
      </c>
      <c r="AF213" s="147">
        <v>1</v>
      </c>
      <c r="AG213" s="147">
        <v>9</v>
      </c>
      <c r="AH213" s="147">
        <v>1</v>
      </c>
      <c r="AI213" s="147">
        <v>10</v>
      </c>
      <c r="AJ213" s="147">
        <v>11</v>
      </c>
      <c r="AK213" s="147">
        <v>1</v>
      </c>
      <c r="AL213" s="147">
        <v>4</v>
      </c>
      <c r="AM213" s="2641">
        <v>0</v>
      </c>
      <c r="AN213" s="147" t="b">
        <v>0</v>
      </c>
      <c r="AO213" s="147" t="b">
        <v>0</v>
      </c>
    </row>
    <row r="214" spans="1:41" x14ac:dyDescent="0.35">
      <c r="A214" s="620">
        <v>213</v>
      </c>
      <c r="B214" s="617">
        <v>2</v>
      </c>
      <c r="C214" s="147">
        <v>16</v>
      </c>
      <c r="D214" s="147">
        <v>1</v>
      </c>
      <c r="E214" s="147">
        <v>1</v>
      </c>
      <c r="F214" s="147">
        <v>1</v>
      </c>
      <c r="G214" s="147">
        <v>1</v>
      </c>
      <c r="H214" s="147">
        <v>1</v>
      </c>
      <c r="I214" s="147">
        <v>1</v>
      </c>
      <c r="J214" s="147">
        <v>1</v>
      </c>
      <c r="K214" s="147">
        <v>1</v>
      </c>
      <c r="L214" s="147">
        <v>2</v>
      </c>
      <c r="M214" s="147">
        <v>5</v>
      </c>
      <c r="N214" s="147">
        <v>1</v>
      </c>
      <c r="O214" s="147">
        <v>1</v>
      </c>
      <c r="P214" s="147">
        <v>1</v>
      </c>
      <c r="Q214" s="147">
        <v>1</v>
      </c>
      <c r="R214" s="147">
        <v>1</v>
      </c>
      <c r="S214" s="147">
        <v>12</v>
      </c>
      <c r="T214" s="147">
        <v>1</v>
      </c>
      <c r="U214" s="147">
        <v>1</v>
      </c>
      <c r="V214" s="147">
        <v>1</v>
      </c>
      <c r="W214" s="147">
        <v>1</v>
      </c>
      <c r="X214" s="147">
        <v>1</v>
      </c>
      <c r="Y214" s="147">
        <v>1</v>
      </c>
      <c r="Z214" s="147">
        <v>1</v>
      </c>
      <c r="AA214" s="147">
        <v>1</v>
      </c>
      <c r="AB214" s="147">
        <v>1</v>
      </c>
      <c r="AC214" s="147">
        <v>1</v>
      </c>
      <c r="AD214" s="1466">
        <v>1</v>
      </c>
      <c r="AE214" s="1466">
        <v>1</v>
      </c>
      <c r="AF214" s="147">
        <v>1</v>
      </c>
      <c r="AG214" s="147">
        <v>1</v>
      </c>
      <c r="AH214" s="147">
        <v>1</v>
      </c>
      <c r="AI214" s="147">
        <v>1</v>
      </c>
      <c r="AJ214" s="147">
        <v>8</v>
      </c>
      <c r="AK214" s="147">
        <v>1</v>
      </c>
      <c r="AL214" s="147">
        <v>6</v>
      </c>
      <c r="AM214" s="828">
        <v>0</v>
      </c>
      <c r="AN214" s="147" t="b">
        <v>0</v>
      </c>
      <c r="AO214" s="147" t="b">
        <v>0</v>
      </c>
    </row>
    <row r="215" spans="1:41" x14ac:dyDescent="0.35">
      <c r="A215" s="620">
        <v>214</v>
      </c>
      <c r="B215" s="617">
        <v>2</v>
      </c>
      <c r="C215" s="147">
        <v>10</v>
      </c>
      <c r="D215" s="147">
        <v>1</v>
      </c>
      <c r="E215" s="147">
        <v>1</v>
      </c>
      <c r="F215" s="147">
        <v>1</v>
      </c>
      <c r="G215" s="147">
        <v>1</v>
      </c>
      <c r="H215" s="147">
        <v>1</v>
      </c>
      <c r="I215" s="147">
        <v>1</v>
      </c>
      <c r="J215" s="122">
        <v>1</v>
      </c>
      <c r="K215" s="147">
        <v>1</v>
      </c>
      <c r="L215" s="147">
        <v>2</v>
      </c>
      <c r="M215" s="147">
        <v>1</v>
      </c>
      <c r="N215" s="147">
        <v>1</v>
      </c>
      <c r="O215" s="147">
        <v>1</v>
      </c>
      <c r="P215" s="147">
        <v>1</v>
      </c>
      <c r="Q215" s="147">
        <v>1</v>
      </c>
      <c r="R215" s="147">
        <v>1</v>
      </c>
      <c r="S215" s="147">
        <v>1</v>
      </c>
      <c r="T215" s="147">
        <v>1</v>
      </c>
      <c r="U215" s="147">
        <v>1</v>
      </c>
      <c r="V215" s="147">
        <v>9</v>
      </c>
      <c r="W215" s="147">
        <v>1</v>
      </c>
      <c r="X215" s="147">
        <v>1</v>
      </c>
      <c r="Y215" s="147">
        <v>1</v>
      </c>
      <c r="Z215" s="147">
        <v>6</v>
      </c>
      <c r="AA215" s="147">
        <v>1</v>
      </c>
      <c r="AB215" s="147">
        <v>1</v>
      </c>
      <c r="AC215" s="147">
        <v>1</v>
      </c>
      <c r="AD215" s="1466">
        <v>11</v>
      </c>
      <c r="AE215" s="1466">
        <v>1</v>
      </c>
      <c r="AF215" s="147">
        <v>1</v>
      </c>
      <c r="AG215" s="147">
        <v>1</v>
      </c>
      <c r="AH215" s="147">
        <v>1</v>
      </c>
      <c r="AI215" s="147">
        <v>1</v>
      </c>
      <c r="AJ215" s="147">
        <v>1</v>
      </c>
      <c r="AK215" s="147">
        <v>1</v>
      </c>
      <c r="AL215" s="147">
        <v>7</v>
      </c>
      <c r="AM215" s="2641">
        <v>0</v>
      </c>
      <c r="AN215" s="147" t="b">
        <v>0</v>
      </c>
      <c r="AO215" s="147" t="b">
        <v>0</v>
      </c>
    </row>
    <row r="216" spans="1:41" x14ac:dyDescent="0.35">
      <c r="A216" s="620">
        <v>215</v>
      </c>
      <c r="B216" s="617">
        <v>2</v>
      </c>
      <c r="C216" s="147">
        <v>8</v>
      </c>
      <c r="D216" s="147">
        <v>3</v>
      </c>
      <c r="E216" s="147">
        <v>1</v>
      </c>
      <c r="F216" s="147">
        <v>1</v>
      </c>
      <c r="G216" s="147">
        <v>1</v>
      </c>
      <c r="H216" s="147">
        <v>1</v>
      </c>
      <c r="I216" s="147">
        <v>1</v>
      </c>
      <c r="J216" s="122">
        <v>1</v>
      </c>
      <c r="K216" s="147">
        <v>1</v>
      </c>
      <c r="L216" s="147">
        <v>2</v>
      </c>
      <c r="M216" s="147">
        <v>1</v>
      </c>
      <c r="N216" s="147">
        <v>1</v>
      </c>
      <c r="O216" s="147">
        <v>1</v>
      </c>
      <c r="P216" s="147">
        <v>1</v>
      </c>
      <c r="Q216" s="147">
        <v>1</v>
      </c>
      <c r="R216" s="147">
        <v>1</v>
      </c>
      <c r="S216" s="147">
        <v>1</v>
      </c>
      <c r="T216" s="147">
        <v>1</v>
      </c>
      <c r="U216" s="147">
        <v>1</v>
      </c>
      <c r="V216" s="147">
        <v>1</v>
      </c>
      <c r="W216" s="147">
        <v>1</v>
      </c>
      <c r="X216" s="147">
        <v>1</v>
      </c>
      <c r="Y216" s="147">
        <v>1</v>
      </c>
      <c r="Z216" s="147">
        <v>1</v>
      </c>
      <c r="AA216" s="147">
        <v>1</v>
      </c>
      <c r="AB216" s="147">
        <v>1</v>
      </c>
      <c r="AC216" s="147">
        <v>1</v>
      </c>
      <c r="AD216" s="1466">
        <v>1</v>
      </c>
      <c r="AE216" s="1466">
        <v>1</v>
      </c>
      <c r="AF216" s="147">
        <v>1</v>
      </c>
      <c r="AG216" s="147">
        <v>6</v>
      </c>
      <c r="AH216" s="147">
        <v>1</v>
      </c>
      <c r="AI216" s="147">
        <v>9</v>
      </c>
      <c r="AJ216" s="147">
        <v>3</v>
      </c>
      <c r="AK216" s="147">
        <v>1</v>
      </c>
      <c r="AL216" s="147">
        <v>1</v>
      </c>
      <c r="AM216" s="2641">
        <v>0</v>
      </c>
      <c r="AN216" s="147" t="b">
        <v>1</v>
      </c>
      <c r="AO216" s="147" t="b">
        <v>0</v>
      </c>
    </row>
    <row r="217" spans="1:41" x14ac:dyDescent="0.35">
      <c r="A217" s="620">
        <v>216</v>
      </c>
      <c r="B217" s="617">
        <v>2</v>
      </c>
      <c r="C217" s="147">
        <v>8</v>
      </c>
      <c r="D217" s="147">
        <v>10</v>
      </c>
      <c r="E217" s="147">
        <v>1</v>
      </c>
      <c r="F217" s="147">
        <v>1</v>
      </c>
      <c r="G217" s="147">
        <v>1</v>
      </c>
      <c r="H217" s="147">
        <v>1</v>
      </c>
      <c r="I217" s="147">
        <v>1</v>
      </c>
      <c r="J217" s="122">
        <v>1</v>
      </c>
      <c r="K217" s="147">
        <v>2</v>
      </c>
      <c r="L217" s="147">
        <v>2</v>
      </c>
      <c r="M217" s="147">
        <v>1</v>
      </c>
      <c r="N217" s="147">
        <v>1</v>
      </c>
      <c r="O217" s="147">
        <v>1</v>
      </c>
      <c r="P217" s="147">
        <v>1</v>
      </c>
      <c r="Q217" s="147">
        <v>1</v>
      </c>
      <c r="R217" s="147">
        <v>1</v>
      </c>
      <c r="S217" s="147">
        <v>1</v>
      </c>
      <c r="T217" s="147">
        <v>1</v>
      </c>
      <c r="U217" s="147">
        <v>1</v>
      </c>
      <c r="V217" s="147">
        <v>1</v>
      </c>
      <c r="W217" s="147">
        <v>1</v>
      </c>
      <c r="X217" s="147">
        <v>1</v>
      </c>
      <c r="Y217" s="147">
        <v>1</v>
      </c>
      <c r="Z217" s="147">
        <v>1</v>
      </c>
      <c r="AA217" s="147">
        <v>1</v>
      </c>
      <c r="AB217" s="147">
        <v>1</v>
      </c>
      <c r="AC217" s="147">
        <v>1</v>
      </c>
      <c r="AD217" s="1466">
        <v>1</v>
      </c>
      <c r="AE217" s="1466">
        <v>1</v>
      </c>
      <c r="AF217" s="147">
        <v>1</v>
      </c>
      <c r="AG217" s="147">
        <v>1</v>
      </c>
      <c r="AH217" s="147">
        <v>1</v>
      </c>
      <c r="AI217" s="147">
        <v>1</v>
      </c>
      <c r="AJ217" s="147">
        <v>1</v>
      </c>
      <c r="AK217" s="147">
        <v>1</v>
      </c>
      <c r="AL217" s="147">
        <v>7</v>
      </c>
      <c r="AM217" s="2641">
        <v>0</v>
      </c>
      <c r="AN217" s="147" t="b">
        <v>0</v>
      </c>
      <c r="AO217" s="147" t="b">
        <v>0</v>
      </c>
    </row>
    <row r="218" spans="1:41" x14ac:dyDescent="0.35">
      <c r="A218" s="620">
        <v>217</v>
      </c>
      <c r="B218" s="617">
        <v>2</v>
      </c>
      <c r="C218" s="147">
        <v>1</v>
      </c>
      <c r="D218" s="147">
        <v>1</v>
      </c>
      <c r="E218" s="147">
        <v>1</v>
      </c>
      <c r="F218" s="147">
        <v>1</v>
      </c>
      <c r="G218" s="147">
        <v>1</v>
      </c>
      <c r="H218" s="147">
        <v>1</v>
      </c>
      <c r="I218" s="147">
        <v>1</v>
      </c>
      <c r="J218" s="147">
        <v>1</v>
      </c>
      <c r="K218" s="147">
        <v>5</v>
      </c>
      <c r="L218" s="147">
        <v>2</v>
      </c>
      <c r="M218" s="147">
        <v>1</v>
      </c>
      <c r="N218" s="147">
        <v>1</v>
      </c>
      <c r="O218" s="147">
        <v>1</v>
      </c>
      <c r="P218" s="147">
        <v>1</v>
      </c>
      <c r="Q218" s="147">
        <v>1</v>
      </c>
      <c r="R218" s="147">
        <v>1</v>
      </c>
      <c r="S218" s="147">
        <v>1</v>
      </c>
      <c r="T218" s="147">
        <v>1</v>
      </c>
      <c r="U218" s="147">
        <v>1</v>
      </c>
      <c r="V218" s="147">
        <v>1</v>
      </c>
      <c r="W218" s="147">
        <v>1</v>
      </c>
      <c r="X218" s="147">
        <v>1</v>
      </c>
      <c r="Y218" s="147">
        <v>1</v>
      </c>
      <c r="Z218" s="147">
        <v>1</v>
      </c>
      <c r="AA218" s="147">
        <v>7</v>
      </c>
      <c r="AB218" s="147">
        <v>1</v>
      </c>
      <c r="AC218" s="147">
        <v>1</v>
      </c>
      <c r="AD218" s="1466">
        <v>5</v>
      </c>
      <c r="AE218" s="1466">
        <v>1</v>
      </c>
      <c r="AF218" s="147">
        <v>1</v>
      </c>
      <c r="AG218" s="147">
        <v>6</v>
      </c>
      <c r="AH218" s="147">
        <v>1</v>
      </c>
      <c r="AI218" s="147">
        <v>1</v>
      </c>
      <c r="AJ218" s="147">
        <v>1</v>
      </c>
      <c r="AK218" s="147">
        <v>1</v>
      </c>
      <c r="AL218" s="147">
        <v>7</v>
      </c>
      <c r="AM218" s="828">
        <v>0</v>
      </c>
      <c r="AN218" s="147" t="b">
        <v>0</v>
      </c>
      <c r="AO218" s="147" t="b">
        <v>0</v>
      </c>
    </row>
    <row r="219" spans="1:41" x14ac:dyDescent="0.35">
      <c r="A219" s="620">
        <v>218</v>
      </c>
      <c r="B219" s="147">
        <v>3</v>
      </c>
      <c r="C219" s="116">
        <v>5</v>
      </c>
      <c r="D219" s="116">
        <v>12</v>
      </c>
      <c r="E219" s="116">
        <v>1</v>
      </c>
      <c r="F219" s="116">
        <v>1</v>
      </c>
      <c r="G219" s="116">
        <v>1</v>
      </c>
      <c r="H219" s="116">
        <v>1</v>
      </c>
      <c r="I219" s="116">
        <v>1</v>
      </c>
      <c r="J219" s="117">
        <v>1</v>
      </c>
      <c r="K219" s="116">
        <v>1</v>
      </c>
      <c r="L219" s="147">
        <v>1</v>
      </c>
      <c r="M219" s="116">
        <v>1</v>
      </c>
      <c r="N219" s="116">
        <v>1</v>
      </c>
      <c r="O219" s="116">
        <v>1</v>
      </c>
      <c r="P219" s="116">
        <v>1</v>
      </c>
      <c r="Q219" s="116">
        <v>1</v>
      </c>
      <c r="R219" s="116">
        <v>1</v>
      </c>
      <c r="S219" s="116">
        <v>1</v>
      </c>
      <c r="T219" s="116">
        <v>1</v>
      </c>
      <c r="U219" s="116">
        <v>1</v>
      </c>
      <c r="V219" s="116">
        <v>1</v>
      </c>
      <c r="W219" s="116">
        <v>1</v>
      </c>
      <c r="X219" s="116">
        <v>1</v>
      </c>
      <c r="Y219" s="116">
        <v>1</v>
      </c>
      <c r="Z219" s="116">
        <v>1</v>
      </c>
      <c r="AA219" s="116">
        <v>1</v>
      </c>
      <c r="AB219" s="116">
        <v>1</v>
      </c>
      <c r="AC219" s="116">
        <v>1</v>
      </c>
      <c r="AD219" s="1244">
        <v>1</v>
      </c>
      <c r="AE219" s="1244">
        <v>1</v>
      </c>
      <c r="AF219" s="116">
        <v>3</v>
      </c>
      <c r="AG219" s="116">
        <v>1</v>
      </c>
      <c r="AH219" s="116">
        <v>1</v>
      </c>
      <c r="AI219" s="116">
        <v>13</v>
      </c>
      <c r="AJ219" s="116">
        <v>1</v>
      </c>
      <c r="AK219" s="116">
        <v>1</v>
      </c>
      <c r="AL219" s="116">
        <v>7</v>
      </c>
      <c r="AM219" s="2945">
        <v>0</v>
      </c>
      <c r="AN219" s="116" t="b">
        <v>0</v>
      </c>
      <c r="AO219" s="116" t="b">
        <v>0</v>
      </c>
    </row>
    <row r="220" spans="1:41" x14ac:dyDescent="0.35">
      <c r="A220" s="620">
        <v>219</v>
      </c>
      <c r="B220" s="147">
        <v>3</v>
      </c>
      <c r="C220" s="116">
        <v>17</v>
      </c>
      <c r="D220" s="116">
        <v>2</v>
      </c>
      <c r="E220" s="116">
        <v>1</v>
      </c>
      <c r="F220" s="116">
        <v>1</v>
      </c>
      <c r="G220" s="116">
        <v>1</v>
      </c>
      <c r="H220" s="116">
        <v>1</v>
      </c>
      <c r="I220" s="116">
        <v>1</v>
      </c>
      <c r="J220" s="117">
        <v>1</v>
      </c>
      <c r="K220" s="116">
        <v>1</v>
      </c>
      <c r="L220" s="147">
        <v>1</v>
      </c>
      <c r="M220" s="116">
        <v>1</v>
      </c>
      <c r="N220" s="116">
        <v>1</v>
      </c>
      <c r="O220" s="116">
        <v>1</v>
      </c>
      <c r="P220" s="116">
        <v>1</v>
      </c>
      <c r="Q220" s="116">
        <v>1</v>
      </c>
      <c r="R220" s="116">
        <v>1</v>
      </c>
      <c r="S220" s="116">
        <v>1</v>
      </c>
      <c r="T220" s="116">
        <v>1</v>
      </c>
      <c r="U220" s="116">
        <v>1</v>
      </c>
      <c r="V220" s="116">
        <v>1</v>
      </c>
      <c r="W220" s="116">
        <v>1</v>
      </c>
      <c r="X220" s="116">
        <v>1</v>
      </c>
      <c r="Y220" s="116">
        <v>3</v>
      </c>
      <c r="Z220" s="116">
        <v>1</v>
      </c>
      <c r="AA220" s="116">
        <v>1</v>
      </c>
      <c r="AB220" s="116">
        <v>1</v>
      </c>
      <c r="AC220" s="116">
        <v>1</v>
      </c>
      <c r="AD220" s="1244">
        <v>1</v>
      </c>
      <c r="AE220" s="1244">
        <v>1</v>
      </c>
      <c r="AF220" s="116">
        <v>1</v>
      </c>
      <c r="AG220" s="116">
        <v>1</v>
      </c>
      <c r="AH220" s="116">
        <v>1</v>
      </c>
      <c r="AI220" s="116">
        <v>1</v>
      </c>
      <c r="AJ220" s="116">
        <v>1</v>
      </c>
      <c r="AK220" s="116">
        <v>1</v>
      </c>
      <c r="AL220" s="116">
        <v>7</v>
      </c>
      <c r="AM220" s="2945">
        <v>0</v>
      </c>
      <c r="AN220" s="116" t="b">
        <v>0</v>
      </c>
      <c r="AO220" s="116" t="b">
        <v>0</v>
      </c>
    </row>
    <row r="221" spans="1:41" x14ac:dyDescent="0.35">
      <c r="A221" s="620">
        <v>220</v>
      </c>
      <c r="B221" s="147">
        <v>3</v>
      </c>
      <c r="C221" s="116">
        <v>14</v>
      </c>
      <c r="D221" s="116">
        <v>1</v>
      </c>
      <c r="E221" s="116">
        <v>1</v>
      </c>
      <c r="F221" s="116">
        <v>1</v>
      </c>
      <c r="G221" s="116">
        <v>1</v>
      </c>
      <c r="H221" s="116">
        <v>1</v>
      </c>
      <c r="I221" s="116">
        <v>1</v>
      </c>
      <c r="J221" s="117">
        <v>1</v>
      </c>
      <c r="K221" s="116">
        <v>1</v>
      </c>
      <c r="L221" s="147">
        <v>1</v>
      </c>
      <c r="M221" s="116">
        <v>1</v>
      </c>
      <c r="N221" s="116">
        <v>1</v>
      </c>
      <c r="O221" s="116">
        <v>1</v>
      </c>
      <c r="P221" s="116">
        <v>1</v>
      </c>
      <c r="Q221" s="116">
        <v>1</v>
      </c>
      <c r="R221" s="116">
        <v>1</v>
      </c>
      <c r="S221" s="116">
        <v>1</v>
      </c>
      <c r="T221" s="116">
        <v>1</v>
      </c>
      <c r="U221" s="116">
        <v>1</v>
      </c>
      <c r="V221" s="116">
        <v>1</v>
      </c>
      <c r="W221" s="116">
        <v>1</v>
      </c>
      <c r="X221" s="116">
        <v>1</v>
      </c>
      <c r="Y221" s="116">
        <v>5</v>
      </c>
      <c r="Z221" s="116">
        <v>1</v>
      </c>
      <c r="AA221" s="116">
        <v>1</v>
      </c>
      <c r="AB221" s="116">
        <v>1</v>
      </c>
      <c r="AC221" s="116">
        <v>1</v>
      </c>
      <c r="AD221" s="1244">
        <v>1</v>
      </c>
      <c r="AE221" s="1244">
        <v>1</v>
      </c>
      <c r="AF221" s="116">
        <v>1</v>
      </c>
      <c r="AG221" s="116">
        <v>1</v>
      </c>
      <c r="AH221" s="116">
        <v>1</v>
      </c>
      <c r="AI221" s="116">
        <v>1</v>
      </c>
      <c r="AJ221" s="116">
        <v>7</v>
      </c>
      <c r="AK221" s="116">
        <v>1</v>
      </c>
      <c r="AL221" s="116">
        <v>7</v>
      </c>
      <c r="AM221" s="2945">
        <v>0</v>
      </c>
      <c r="AN221" s="116" t="b">
        <v>0</v>
      </c>
      <c r="AO221" s="116" t="b">
        <v>0</v>
      </c>
    </row>
    <row r="222" spans="1:41" x14ac:dyDescent="0.35">
      <c r="A222" s="620">
        <v>221</v>
      </c>
      <c r="B222" s="147">
        <v>3</v>
      </c>
      <c r="C222" s="116">
        <v>9</v>
      </c>
      <c r="D222" s="116">
        <v>1</v>
      </c>
      <c r="E222" s="116">
        <v>1</v>
      </c>
      <c r="F222" s="116">
        <v>1</v>
      </c>
      <c r="G222" s="116">
        <v>1</v>
      </c>
      <c r="H222" s="116">
        <v>1</v>
      </c>
      <c r="I222" s="116">
        <v>1</v>
      </c>
      <c r="J222" s="117">
        <v>1</v>
      </c>
      <c r="K222" s="116">
        <v>1</v>
      </c>
      <c r="L222" s="147">
        <v>1</v>
      </c>
      <c r="M222" s="116">
        <v>1</v>
      </c>
      <c r="N222" s="116">
        <v>1</v>
      </c>
      <c r="O222" s="116">
        <v>1</v>
      </c>
      <c r="P222" s="116">
        <v>1</v>
      </c>
      <c r="Q222" s="116">
        <v>1</v>
      </c>
      <c r="R222" s="116">
        <v>1</v>
      </c>
      <c r="S222" s="116">
        <v>1</v>
      </c>
      <c r="T222" s="116">
        <v>1</v>
      </c>
      <c r="U222" s="116">
        <v>1</v>
      </c>
      <c r="V222" s="116">
        <v>1</v>
      </c>
      <c r="W222" s="116">
        <v>1</v>
      </c>
      <c r="X222" s="116">
        <v>1</v>
      </c>
      <c r="Y222" s="116">
        <v>3</v>
      </c>
      <c r="Z222" s="116">
        <v>1</v>
      </c>
      <c r="AA222" s="116">
        <v>1</v>
      </c>
      <c r="AB222" s="116">
        <v>7</v>
      </c>
      <c r="AC222" s="116">
        <v>1</v>
      </c>
      <c r="AD222" s="1244">
        <v>1</v>
      </c>
      <c r="AE222" s="1244">
        <v>1</v>
      </c>
      <c r="AF222" s="116">
        <v>1</v>
      </c>
      <c r="AG222" s="116">
        <v>1</v>
      </c>
      <c r="AH222" s="116">
        <v>1</v>
      </c>
      <c r="AI222" s="116">
        <v>1</v>
      </c>
      <c r="AJ222" s="116">
        <v>1</v>
      </c>
      <c r="AK222" s="116">
        <v>1</v>
      </c>
      <c r="AL222" s="116">
        <v>7</v>
      </c>
      <c r="AM222" s="2945">
        <v>0</v>
      </c>
      <c r="AN222" s="116" t="b">
        <v>0</v>
      </c>
      <c r="AO222" s="116" t="b">
        <v>0</v>
      </c>
    </row>
    <row r="223" spans="1:41" x14ac:dyDescent="0.35">
      <c r="A223" s="620">
        <v>222</v>
      </c>
      <c r="B223" s="147"/>
      <c r="C223" s="116"/>
      <c r="D223" s="116"/>
      <c r="E223" s="116"/>
      <c r="F223" s="116"/>
      <c r="G223" s="116"/>
      <c r="H223" s="116"/>
      <c r="I223" s="116"/>
      <c r="J223" s="117"/>
      <c r="K223" s="116"/>
      <c r="L223" s="147"/>
      <c r="M223" s="116"/>
      <c r="N223" s="116"/>
      <c r="O223" s="116"/>
      <c r="P223" s="116"/>
      <c r="Q223" s="116"/>
      <c r="R223" s="116"/>
      <c r="S223" s="116"/>
      <c r="T223" s="116"/>
      <c r="U223" s="116"/>
      <c r="V223" s="116"/>
      <c r="W223" s="116"/>
      <c r="X223" s="116"/>
      <c r="Y223" s="116"/>
      <c r="Z223" s="116"/>
      <c r="AA223" s="116"/>
      <c r="AB223" s="116"/>
      <c r="AC223" s="116"/>
      <c r="AD223" s="1244"/>
      <c r="AE223" s="1244"/>
      <c r="AF223" s="116"/>
      <c r="AG223" s="116"/>
      <c r="AH223" s="116"/>
      <c r="AI223" s="116"/>
      <c r="AJ223" s="116"/>
      <c r="AK223" s="116"/>
      <c r="AL223" s="116"/>
      <c r="AM223" s="116"/>
      <c r="AN223" s="116"/>
      <c r="AO223" s="116"/>
    </row>
    <row r="224" spans="1:41" x14ac:dyDescent="0.35">
      <c r="A224" s="620">
        <v>223</v>
      </c>
      <c r="B224" s="147"/>
      <c r="C224" s="116"/>
      <c r="D224" s="116"/>
      <c r="E224" s="116"/>
      <c r="F224" s="116"/>
      <c r="G224" s="116"/>
      <c r="H224" s="116"/>
      <c r="I224" s="116"/>
      <c r="J224" s="117"/>
      <c r="K224" s="116"/>
      <c r="L224" s="147"/>
      <c r="M224" s="116"/>
      <c r="N224" s="116"/>
      <c r="O224" s="116"/>
      <c r="P224" s="116"/>
      <c r="Q224" s="116"/>
      <c r="R224" s="116"/>
      <c r="S224" s="116"/>
      <c r="T224" s="116"/>
      <c r="U224" s="116"/>
      <c r="V224" s="116"/>
      <c r="W224" s="116"/>
      <c r="X224" s="116"/>
      <c r="Y224" s="116"/>
      <c r="Z224" s="116"/>
      <c r="AA224" s="116"/>
      <c r="AB224" s="116"/>
      <c r="AC224" s="116"/>
      <c r="AD224" s="1244"/>
      <c r="AE224" s="1244"/>
      <c r="AF224" s="116"/>
      <c r="AG224" s="116"/>
      <c r="AH224" s="116"/>
      <c r="AI224" s="116"/>
      <c r="AJ224" s="116"/>
      <c r="AK224" s="116"/>
      <c r="AL224" s="116"/>
      <c r="AM224" s="116"/>
      <c r="AN224" s="116"/>
      <c r="AO224" s="116"/>
    </row>
    <row r="225" spans="1:41" x14ac:dyDescent="0.35">
      <c r="A225" s="620">
        <v>224</v>
      </c>
      <c r="B225" s="147"/>
      <c r="C225" s="116"/>
      <c r="D225" s="116"/>
      <c r="E225" s="116"/>
      <c r="F225" s="116"/>
      <c r="G225" s="116"/>
      <c r="H225" s="116"/>
      <c r="I225" s="116"/>
      <c r="J225" s="117"/>
      <c r="K225" s="116"/>
      <c r="L225" s="147"/>
      <c r="M225" s="116"/>
      <c r="N225" s="116"/>
      <c r="O225" s="116"/>
      <c r="P225" s="116"/>
      <c r="Q225" s="116"/>
      <c r="R225" s="116"/>
      <c r="S225" s="116"/>
      <c r="T225" s="116"/>
      <c r="U225" s="116"/>
      <c r="V225" s="116"/>
      <c r="W225" s="116"/>
      <c r="X225" s="116"/>
      <c r="Y225" s="116"/>
      <c r="Z225" s="116"/>
      <c r="AA225" s="116"/>
      <c r="AB225" s="116"/>
      <c r="AC225" s="116"/>
      <c r="AD225" s="1244"/>
      <c r="AE225" s="1244"/>
      <c r="AF225" s="116"/>
      <c r="AG225" s="116"/>
      <c r="AH225" s="116"/>
      <c r="AI225" s="116"/>
      <c r="AJ225" s="116"/>
      <c r="AK225" s="116"/>
      <c r="AL225" s="116"/>
      <c r="AM225" s="116"/>
      <c r="AN225" s="116"/>
      <c r="AO225" s="116"/>
    </row>
    <row r="226" spans="1:41" x14ac:dyDescent="0.35">
      <c r="A226" s="620">
        <v>225</v>
      </c>
      <c r="B226" s="147"/>
      <c r="C226" s="116"/>
      <c r="D226" s="116"/>
      <c r="E226" s="116"/>
      <c r="F226" s="116"/>
      <c r="G226" s="116"/>
      <c r="H226" s="116"/>
      <c r="I226" s="116"/>
      <c r="J226" s="117"/>
      <c r="K226" s="116"/>
      <c r="L226" s="147"/>
      <c r="M226" s="116"/>
      <c r="N226" s="116"/>
      <c r="O226" s="116"/>
      <c r="P226" s="116"/>
      <c r="Q226" s="116"/>
      <c r="R226" s="116"/>
      <c r="S226" s="116"/>
      <c r="T226" s="116"/>
      <c r="U226" s="116"/>
      <c r="V226" s="116"/>
      <c r="W226" s="116"/>
      <c r="X226" s="116"/>
      <c r="Y226" s="116"/>
      <c r="Z226" s="116"/>
      <c r="AA226" s="116"/>
      <c r="AB226" s="116"/>
      <c r="AC226" s="116"/>
      <c r="AD226" s="1244"/>
      <c r="AE226" s="1244"/>
      <c r="AF226" s="116"/>
      <c r="AG226" s="116"/>
      <c r="AH226" s="116"/>
      <c r="AI226" s="116"/>
      <c r="AJ226" s="116"/>
      <c r="AK226" s="116"/>
      <c r="AL226" s="116"/>
      <c r="AM226" s="116"/>
      <c r="AN226" s="116"/>
      <c r="AO226" s="116"/>
    </row>
  </sheetData>
  <phoneticPr fontId="68" type="noConversion"/>
  <conditionalFormatting sqref="B1:B10 B12 B14:B16 B22:B1048576">
    <cfRule type="cellIs" dxfId="20" priority="14" operator="greaterThan">
      <formula>2</formula>
    </cfRule>
  </conditionalFormatting>
  <conditionalFormatting sqref="C1:AK10 C12:AK12 C23:AK1048576 C22:AJ22 C14:AK16">
    <cfRule type="cellIs" dxfId="19" priority="13" operator="greaterThan">
      <formula>1</formula>
    </cfRule>
  </conditionalFormatting>
  <conditionalFormatting sqref="B11">
    <cfRule type="cellIs" dxfId="18" priority="12" operator="greaterThan">
      <formula>2</formula>
    </cfRule>
  </conditionalFormatting>
  <conditionalFormatting sqref="C11:AK11">
    <cfRule type="cellIs" dxfId="17" priority="11" operator="greaterThan">
      <formula>1</formula>
    </cfRule>
  </conditionalFormatting>
  <conditionalFormatting sqref="B17:B19 B21">
    <cfRule type="cellIs" dxfId="16" priority="10" operator="greaterThan">
      <formula>2</formula>
    </cfRule>
  </conditionalFormatting>
  <conditionalFormatting sqref="C17:AK19 C21:AJ21">
    <cfRule type="cellIs" dxfId="15" priority="9" operator="greaterThan">
      <formula>1</formula>
    </cfRule>
  </conditionalFormatting>
  <conditionalFormatting sqref="AK21">
    <cfRule type="cellIs" dxfId="14" priority="8" operator="greaterThan">
      <formula>1</formula>
    </cfRule>
  </conditionalFormatting>
  <conditionalFormatting sqref="AK22">
    <cfRule type="cellIs" dxfId="13" priority="7" operator="greaterThan">
      <formula>1</formula>
    </cfRule>
  </conditionalFormatting>
  <conditionalFormatting sqref="B13">
    <cfRule type="cellIs" dxfId="12" priority="6" operator="greaterThan">
      <formula>2</formula>
    </cfRule>
  </conditionalFormatting>
  <conditionalFormatting sqref="C13:AK13">
    <cfRule type="cellIs" dxfId="11" priority="5" operator="greaterThan">
      <formula>1</formula>
    </cfRule>
  </conditionalFormatting>
  <conditionalFormatting sqref="B20">
    <cfRule type="cellIs" dxfId="10" priority="4" operator="greaterThan">
      <formula>2</formula>
    </cfRule>
  </conditionalFormatting>
  <conditionalFormatting sqref="C20:AJ20">
    <cfRule type="cellIs" dxfId="9" priority="3" operator="greaterThan">
      <formula>1</formula>
    </cfRule>
  </conditionalFormatting>
  <conditionalFormatting sqref="AK20">
    <cfRule type="cellIs" dxfId="8" priority="2" operator="greaterThan">
      <formula>1</formula>
    </cfRule>
  </conditionalFormatting>
  <conditionalFormatting sqref="AL7">
    <cfRule type="cellIs" dxfId="7" priority="1" operator="greaterThan">
      <formula>1</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FFFF99"/>
  </sheetPr>
  <dimension ref="A1:M199"/>
  <sheetViews>
    <sheetView showGridLines="0" topLeftCell="B35" zoomScaleNormal="100" workbookViewId="0">
      <selection activeCell="G133" sqref="G133"/>
    </sheetView>
  </sheetViews>
  <sheetFormatPr defaultColWidth="9.1328125" defaultRowHeight="12.75" x14ac:dyDescent="0.35"/>
  <cols>
    <col min="1" max="1" width="12.265625" style="1393" hidden="1" customWidth="1"/>
    <col min="2" max="2" width="2.59765625" style="7" customWidth="1"/>
    <col min="3" max="3" width="51.3984375" style="7" customWidth="1"/>
    <col min="4" max="4" width="26" style="7" bestFit="1" customWidth="1"/>
    <col min="5" max="5" width="10" style="7" customWidth="1"/>
    <col min="6" max="6" width="2.59765625" style="7" customWidth="1"/>
    <col min="7" max="7" width="31.86328125" style="7" bestFit="1" customWidth="1"/>
    <col min="8" max="8" width="12.59765625" style="7" customWidth="1"/>
    <col min="9" max="9" width="16.59765625" style="7" bestFit="1" customWidth="1"/>
    <col min="10" max="10" width="8" style="7" customWidth="1"/>
    <col min="11" max="12" width="9.1328125" style="7"/>
    <col min="13" max="13" width="16.73046875" style="1393" bestFit="1" customWidth="1"/>
    <col min="14" max="16384" width="9.1328125" style="1393"/>
  </cols>
  <sheetData>
    <row r="1" spans="1:7" ht="15" x14ac:dyDescent="0.4">
      <c r="A1" s="1396" t="s">
        <v>3244</v>
      </c>
      <c r="C1" s="2510" t="s">
        <v>4910</v>
      </c>
      <c r="E1" s="3852" t="str">
        <f>"Calculate Tax and NIC "&amp;tax_year</f>
        <v>Calculate Tax and NIC 2017-18</v>
      </c>
      <c r="F1" s="3852"/>
      <c r="G1" s="3852"/>
    </row>
    <row r="2" spans="1:7" x14ac:dyDescent="0.35">
      <c r="A2" s="1396" t="s">
        <v>3245</v>
      </c>
      <c r="C2" s="1139" t="s">
        <v>4784</v>
      </c>
    </row>
    <row r="3" spans="1:7" x14ac:dyDescent="0.35">
      <c r="A3" s="1396" t="s">
        <v>3246</v>
      </c>
      <c r="C3" s="1139" t="s">
        <v>4785</v>
      </c>
    </row>
    <row r="4" spans="1:7" x14ac:dyDescent="0.35">
      <c r="A4" s="1394" t="s">
        <v>7461</v>
      </c>
      <c r="C4" s="1139" t="s">
        <v>4786</v>
      </c>
    </row>
    <row r="5" spans="1:7" x14ac:dyDescent="0.35">
      <c r="A5" s="1396" t="s">
        <v>3247</v>
      </c>
      <c r="C5" s="1139" t="s">
        <v>4787</v>
      </c>
    </row>
    <row r="6" spans="1:7" x14ac:dyDescent="0.35">
      <c r="A6" s="1396" t="s">
        <v>3248</v>
      </c>
    </row>
    <row r="7" spans="1:7" x14ac:dyDescent="0.35">
      <c r="A7" s="1396" t="s">
        <v>3314</v>
      </c>
      <c r="C7" s="1139" t="str">
        <f>"For example: "&amp;'Tax adj (c9)'!I50&amp;" requires a figure from box "&amp;'allowances (c14c15)'!K132&amp;" or "&amp;'allowances (c14c15)'!K148&amp;". To calculate box "&amp;'allowances (c14c15)'!K132&amp;" or "&amp;'allowances (c14c15)'!K148&amp;" not"</f>
        <v>For example: c9.16 requires a figure from box c15.20 or c15.21. To calculate box c15.20 or c15.21 not</v>
      </c>
    </row>
    <row r="8" spans="1:7" x14ac:dyDescent="0.35">
      <c r="A8" s="1396" t="s">
        <v>3315</v>
      </c>
      <c r="C8" s="1139" t="str">
        <f>"only requires calculating "&amp;'allowances (c14c15)'!K41&amp;" onwards but also "&amp;'allowances (c14c15)'!K6&amp;" through "&amp;'allowances (c14c15)'!K26&amp;", as these are referenced in "&amp;'allowances (c14c15)'!E56</f>
        <v>only requires calculating c15.1 onwards but also c14.1 through c14.6, as these are referenced in c15.6</v>
      </c>
    </row>
    <row r="9" spans="1:7" x14ac:dyDescent="0.35">
      <c r="A9" s="1396" t="s">
        <v>3316</v>
      </c>
      <c r="C9" s="1139" t="str">
        <f>"and "&amp;'allowances (c14c15)'!E59&amp;"."</f>
        <v>and c15.7.</v>
      </c>
    </row>
    <row r="10" spans="1:7" x14ac:dyDescent="0.35">
      <c r="A10" s="1396" t="s">
        <v>3317</v>
      </c>
    </row>
    <row r="11" spans="1:7" x14ac:dyDescent="0.35">
      <c r="A11" s="1396" t="s">
        <v>3318</v>
      </c>
      <c r="C11" s="1139" t="s">
        <v>4788</v>
      </c>
    </row>
    <row r="12" spans="1:7" x14ac:dyDescent="0.35">
      <c r="A12" s="1396" t="s">
        <v>3319</v>
      </c>
    </row>
    <row r="13" spans="1:7" x14ac:dyDescent="0.35">
      <c r="A13" s="1396" t="s">
        <v>3320</v>
      </c>
      <c r="C13" s="1139" t="s">
        <v>4789</v>
      </c>
    </row>
    <row r="14" spans="1:7" x14ac:dyDescent="0.35">
      <c r="A14" s="1396" t="s">
        <v>3321</v>
      </c>
    </row>
    <row r="15" spans="1:7" x14ac:dyDescent="0.35">
      <c r="A15" s="1396" t="s">
        <v>852</v>
      </c>
      <c r="C15" s="1139" t="s">
        <v>4790</v>
      </c>
    </row>
    <row r="16" spans="1:7" x14ac:dyDescent="0.35">
      <c r="A16" s="1396" t="s">
        <v>811</v>
      </c>
      <c r="C16" s="7" t="str">
        <f>"Calculate boxes "&amp;'NS income (c1)'!E5&amp;" through "&amp;'Tax due (c12)'!I81</f>
        <v>Calculate boxes c1.1 through c12.21</v>
      </c>
    </row>
    <row r="17" spans="1:3" x14ac:dyDescent="0.35">
      <c r="A17" s="1396" t="s">
        <v>812</v>
      </c>
      <c r="C17" s="1139" t="str">
        <f>"resident-result = "&amp;'Tax due (c12)'!I62</f>
        <v>resident-result = c12.18</v>
      </c>
    </row>
    <row r="18" spans="1:3" x14ac:dyDescent="0.35">
      <c r="A18" s="1396" t="s">
        <v>813</v>
      </c>
      <c r="C18" s="1139" t="s">
        <v>4791</v>
      </c>
    </row>
    <row r="19" spans="1:3" x14ac:dyDescent="0.35">
      <c r="A19" s="1396" t="s">
        <v>3490</v>
      </c>
      <c r="C19" s="1803" t="s">
        <v>4792</v>
      </c>
    </row>
    <row r="20" spans="1:3" x14ac:dyDescent="0.35">
      <c r="A20" s="1396" t="s">
        <v>2718</v>
      </c>
      <c r="C20" s="1803" t="str">
        <f>"Calculate boxes "&amp;'non-res (c91)'!C16&amp;" through "&amp;'non-res (c91)'!R118</f>
        <v>Calculate boxes c91.1 through c91.35</v>
      </c>
    </row>
    <row r="21" spans="1:3" x14ac:dyDescent="0.35">
      <c r="A21" s="2740" t="s">
        <v>6940</v>
      </c>
      <c r="C21" s="1803" t="str">
        <f>"Calculate boxes "&amp;'Deductions (c4)'!H196&amp;" through "&amp;'Tax due (c12)'!I81</f>
        <v>Calculate boxes c4.64 through c12.21</v>
      </c>
    </row>
    <row r="22" spans="1:3" x14ac:dyDescent="0.35">
      <c r="A22" s="1394" t="s">
        <v>6939</v>
      </c>
      <c r="C22" s="1803" t="str">
        <f>"non-resident-result = "&amp;'Tax due (c12)'!I62</f>
        <v>non-resident-result = c12.18</v>
      </c>
    </row>
    <row r="23" spans="1:3" x14ac:dyDescent="0.35">
      <c r="A23" s="1396" t="s">
        <v>814</v>
      </c>
      <c r="C23" s="1803" t="s">
        <v>4793</v>
      </c>
    </row>
    <row r="24" spans="1:3" x14ac:dyDescent="0.35">
      <c r="A24" s="1396" t="s">
        <v>2388</v>
      </c>
      <c r="C24" s="1804" t="s">
        <v>4790</v>
      </c>
    </row>
    <row r="25" spans="1:3" x14ac:dyDescent="0.35">
      <c r="A25" s="1396" t="s">
        <v>2387</v>
      </c>
      <c r="C25" s="2511" t="str">
        <f>"Calculate boxes c1.1 through "&amp;'Tax due (c12)'!I81</f>
        <v>Calculate boxes c1.1 through c12.21</v>
      </c>
    </row>
    <row r="26" spans="1:3" x14ac:dyDescent="0.35">
      <c r="A26" s="1396" t="s">
        <v>815</v>
      </c>
      <c r="C26" s="1803" t="s">
        <v>2638</v>
      </c>
    </row>
    <row r="27" spans="1:3" x14ac:dyDescent="0.35">
      <c r="C27" s="1809" t="s">
        <v>2638</v>
      </c>
    </row>
    <row r="28" spans="1:3" x14ac:dyDescent="0.35">
      <c r="A28" s="1393" t="s">
        <v>4043</v>
      </c>
    </row>
    <row r="29" spans="1:3" x14ac:dyDescent="0.35">
      <c r="A29" s="1393" t="s">
        <v>2184</v>
      </c>
      <c r="C29" s="2512" t="s">
        <v>4911</v>
      </c>
    </row>
    <row r="30" spans="1:3" x14ac:dyDescent="0.35">
      <c r="A30" s="1393" t="s">
        <v>829</v>
      </c>
    </row>
    <row r="31" spans="1:3" x14ac:dyDescent="0.35">
      <c r="A31" s="1393" t="s">
        <v>3927</v>
      </c>
      <c r="C31" s="1139" t="s">
        <v>5436</v>
      </c>
    </row>
    <row r="32" spans="1:3" x14ac:dyDescent="0.35">
      <c r="A32" s="1393" t="s">
        <v>830</v>
      </c>
      <c r="C32" s="7" t="str">
        <f>"or MAT_IN amount will be set and "&amp;'Deductions (c4)'!H232&amp;" or "&amp;'Tax adj (c9)'!I74&amp;" will be completed with the MAT amount."</f>
        <v>or MAT_IN amount will be set and c4.68 or c9.20 will be completed with the MAT amount.</v>
      </c>
    </row>
    <row r="33" spans="1:13" x14ac:dyDescent="0.35">
      <c r="A33" s="1395" t="s">
        <v>4944</v>
      </c>
    </row>
    <row r="34" spans="1:13" x14ac:dyDescent="0.35">
      <c r="A34" s="1393" t="s">
        <v>3566</v>
      </c>
      <c r="C34" s="7" t="str">
        <f>"Where there is not a digital Marriage Allowance transfer claim in place and the customer completes MAT"&amp;'REL(2)'!C27</f>
        <v>Where there is not a digital Marriage Allowance transfer claim in place and the customer completes MAT1-5</v>
      </c>
    </row>
    <row r="35" spans="1:13" x14ac:dyDescent="0.35">
      <c r="A35" s="1393" t="s">
        <v>3567</v>
      </c>
      <c r="C35" s="1139" t="s">
        <v>5565</v>
      </c>
    </row>
    <row r="36" spans="1:13" x14ac:dyDescent="0.35">
      <c r="A36" s="1393" t="s">
        <v>3568</v>
      </c>
    </row>
    <row r="37" spans="1:13" x14ac:dyDescent="0.35">
      <c r="A37" s="1393" t="s">
        <v>2951</v>
      </c>
      <c r="C37" s="1139" t="str">
        <f>"For Class 2 there are no boxes on the SA Return. Pseudo Return boxes / centralised box will be required to populate "&amp;'Class 4 NIC (c16)'!J176&amp;"."</f>
        <v>For Class 2 there are no boxes on the SA Return. Pseudo Return boxes / centralised box will be required to populate c16.32.</v>
      </c>
    </row>
    <row r="38" spans="1:13" x14ac:dyDescent="0.35">
      <c r="A38" s="1393" t="s">
        <v>3569</v>
      </c>
      <c r="C38" s="1139" t="s">
        <v>5435</v>
      </c>
    </row>
    <row r="39" spans="1:13" x14ac:dyDescent="0.35">
      <c r="A39" s="1393" t="s">
        <v>579</v>
      </c>
    </row>
    <row r="40" spans="1:13" x14ac:dyDescent="0.35">
      <c r="A40" s="1393" t="s">
        <v>3570</v>
      </c>
      <c r="C40" s="1139" t="s">
        <v>5566</v>
      </c>
    </row>
    <row r="41" spans="1:13" x14ac:dyDescent="0.35">
      <c r="A41" s="1393" t="s">
        <v>6</v>
      </c>
      <c r="C41" s="1657" t="str">
        <f>"Pseudo Return boxes will be required to populate "&amp;'Class 4 NIC (c16)'!J94</f>
        <v>Pseudo Return boxes will be required to populate c16.20</v>
      </c>
    </row>
    <row r="42" spans="1:13" x14ac:dyDescent="0.35">
      <c r="A42" s="1393" t="s">
        <v>4112</v>
      </c>
    </row>
    <row r="43" spans="1:13" ht="13.15" x14ac:dyDescent="0.4">
      <c r="A43" s="1393" t="s">
        <v>627</v>
      </c>
      <c r="C43" s="875" t="s">
        <v>2506</v>
      </c>
      <c r="F43" s="2513" t="s">
        <v>5366</v>
      </c>
      <c r="G43" s="2513" t="s">
        <v>4794</v>
      </c>
      <c r="H43" s="580">
        <f>'Swiss Tax Credit'!G35</f>
        <v>0</v>
      </c>
    </row>
    <row r="44" spans="1:13" x14ac:dyDescent="0.35">
      <c r="A44" s="1393" t="s">
        <v>4114</v>
      </c>
      <c r="C44" s="2817" t="s">
        <v>4622</v>
      </c>
      <c r="D44" s="2818" t="s">
        <v>4623</v>
      </c>
      <c r="E44" s="2819">
        <v>0.12</v>
      </c>
      <c r="G44" s="2816" t="s">
        <v>7051</v>
      </c>
    </row>
    <row r="45" spans="1:13" x14ac:dyDescent="0.35">
      <c r="C45" s="1399" t="s">
        <v>4617</v>
      </c>
      <c r="D45" s="1391" t="s">
        <v>3154</v>
      </c>
      <c r="E45" s="1398">
        <v>0.09</v>
      </c>
      <c r="K45" s="1139" t="s">
        <v>6677</v>
      </c>
    </row>
    <row r="46" spans="1:13" ht="13.15" x14ac:dyDescent="0.4">
      <c r="A46" s="1393" t="s">
        <v>1113</v>
      </c>
      <c r="C46" s="1399" t="s">
        <v>4618</v>
      </c>
      <c r="D46" s="1391" t="s">
        <v>623</v>
      </c>
      <c r="E46" s="1398">
        <v>0.02</v>
      </c>
      <c r="G46" s="2514" t="s">
        <v>3336</v>
      </c>
      <c r="I46" s="1139" t="s">
        <v>6671</v>
      </c>
      <c r="J46" s="1139" t="s">
        <v>4497</v>
      </c>
      <c r="K46" s="1139" t="s">
        <v>6676</v>
      </c>
      <c r="L46" s="1139" t="s">
        <v>6678</v>
      </c>
    </row>
    <row r="47" spans="1:13" x14ac:dyDescent="0.35">
      <c r="A47" s="1393" t="s">
        <v>1114</v>
      </c>
      <c r="C47" s="1401" t="s">
        <v>4619</v>
      </c>
      <c r="D47" s="1402" t="s">
        <v>2296</v>
      </c>
      <c r="E47" s="1403">
        <v>0.09</v>
      </c>
      <c r="G47" s="2515" t="s">
        <v>951</v>
      </c>
      <c r="H47" s="2515" t="s">
        <v>952</v>
      </c>
      <c r="I47" s="2516">
        <v>1.08108108108109</v>
      </c>
      <c r="J47" s="2515" t="s">
        <v>6670</v>
      </c>
      <c r="K47" s="2515">
        <v>92.5</v>
      </c>
      <c r="L47" s="2553">
        <v>7.4999999999999997E-2</v>
      </c>
      <c r="M47" s="2493" t="s">
        <v>6576</v>
      </c>
    </row>
    <row r="48" spans="1:13" x14ac:dyDescent="0.35">
      <c r="A48" s="1393" t="s">
        <v>3100</v>
      </c>
      <c r="C48" s="1390" t="s">
        <v>5596</v>
      </c>
      <c r="D48" s="1391" t="s">
        <v>624</v>
      </c>
      <c r="E48" s="1398">
        <v>0</v>
      </c>
      <c r="G48" s="2517" t="s">
        <v>953</v>
      </c>
      <c r="H48" s="2517" t="s">
        <v>954</v>
      </c>
      <c r="I48" s="2517">
        <v>1.25</v>
      </c>
      <c r="J48" s="2551" t="s">
        <v>955</v>
      </c>
      <c r="K48" s="2551">
        <v>80</v>
      </c>
      <c r="L48" s="2554">
        <v>0.2</v>
      </c>
    </row>
    <row r="49" spans="1:13" x14ac:dyDescent="0.35">
      <c r="A49" s="1393" t="s">
        <v>3101</v>
      </c>
      <c r="C49" s="1390" t="s">
        <v>5597</v>
      </c>
      <c r="D49" s="1391" t="s">
        <v>5598</v>
      </c>
      <c r="E49" s="1398">
        <v>0</v>
      </c>
      <c r="G49" s="2517" t="s">
        <v>956</v>
      </c>
      <c r="H49" s="2517" t="s">
        <v>1822</v>
      </c>
      <c r="I49" s="2517">
        <v>1.25</v>
      </c>
      <c r="J49" s="2551" t="s">
        <v>955</v>
      </c>
      <c r="K49" s="2551">
        <v>80</v>
      </c>
      <c r="L49" s="2554">
        <v>0.2</v>
      </c>
    </row>
    <row r="50" spans="1:13" x14ac:dyDescent="0.35">
      <c r="A50" s="1393" t="s">
        <v>1962</v>
      </c>
      <c r="C50" s="1390" t="s">
        <v>1937</v>
      </c>
      <c r="D50" s="1391" t="s">
        <v>1938</v>
      </c>
      <c r="E50" s="1404">
        <v>0.22</v>
      </c>
      <c r="G50" s="2518" t="s">
        <v>3768</v>
      </c>
      <c r="H50" s="2518" t="s">
        <v>3769</v>
      </c>
      <c r="I50" s="2519">
        <v>1.6666666666666701</v>
      </c>
      <c r="J50" s="2518" t="s">
        <v>3770</v>
      </c>
      <c r="K50" s="2518">
        <v>60</v>
      </c>
      <c r="L50" s="2555">
        <v>0.4</v>
      </c>
      <c r="M50" s="1844" t="s">
        <v>6576</v>
      </c>
    </row>
    <row r="51" spans="1:13" x14ac:dyDescent="0.35">
      <c r="A51" s="1393" t="s">
        <v>2194</v>
      </c>
      <c r="C51" s="1399" t="s">
        <v>5437</v>
      </c>
      <c r="D51" s="1391" t="s">
        <v>625</v>
      </c>
      <c r="E51" s="1398">
        <v>0.2</v>
      </c>
      <c r="G51" s="2520" t="s">
        <v>3333</v>
      </c>
      <c r="H51" s="2520" t="s">
        <v>3334</v>
      </c>
      <c r="I51" s="2521">
        <v>1.4814814814814814</v>
      </c>
      <c r="J51" s="2520" t="s">
        <v>3335</v>
      </c>
      <c r="K51" s="2520">
        <v>67.5</v>
      </c>
      <c r="L51" s="2556">
        <v>0.32500000000000001</v>
      </c>
    </row>
    <row r="52" spans="1:13" x14ac:dyDescent="0.35">
      <c r="A52" s="1393" t="s">
        <v>3102</v>
      </c>
      <c r="C52" s="1401" t="s">
        <v>5438</v>
      </c>
      <c r="D52" s="1402" t="s">
        <v>2744</v>
      </c>
      <c r="E52" s="1403">
        <v>0.4</v>
      </c>
      <c r="G52" s="2517" t="s">
        <v>4061</v>
      </c>
      <c r="H52" s="2522" t="s">
        <v>4062</v>
      </c>
      <c r="I52" s="2523">
        <v>1.2820512820512822</v>
      </c>
      <c r="J52" s="2552" t="s">
        <v>4063</v>
      </c>
      <c r="K52" s="2552">
        <v>78</v>
      </c>
      <c r="L52" s="2557">
        <v>0.22</v>
      </c>
    </row>
    <row r="53" spans="1:13" x14ac:dyDescent="0.35">
      <c r="A53" s="1393" t="s">
        <v>3103</v>
      </c>
      <c r="C53" s="1399" t="s">
        <v>5439</v>
      </c>
      <c r="D53" s="1391" t="s">
        <v>3828</v>
      </c>
      <c r="E53" s="1398">
        <v>0.45</v>
      </c>
      <c r="G53" s="2517" t="s">
        <v>4064</v>
      </c>
      <c r="H53" s="2517" t="s">
        <v>2496</v>
      </c>
      <c r="I53" s="2516">
        <v>1.8181818181818181</v>
      </c>
      <c r="J53" s="2551" t="s">
        <v>3788</v>
      </c>
      <c r="K53" s="2551">
        <v>55</v>
      </c>
      <c r="L53" s="2554">
        <v>0.45</v>
      </c>
    </row>
    <row r="54" spans="1:13" x14ac:dyDescent="0.35">
      <c r="A54" s="1393" t="s">
        <v>4160</v>
      </c>
      <c r="C54" s="1399" t="s">
        <v>6320</v>
      </c>
      <c r="D54" s="1400" t="s">
        <v>5441</v>
      </c>
      <c r="E54" s="1398">
        <v>0.2</v>
      </c>
      <c r="G54" s="2515" t="s">
        <v>2407</v>
      </c>
      <c r="H54" s="2515" t="s">
        <v>2408</v>
      </c>
      <c r="I54" s="2516">
        <v>1.6155088852988799</v>
      </c>
      <c r="J54" s="2515" t="s">
        <v>5632</v>
      </c>
      <c r="K54" s="2515">
        <v>61.9</v>
      </c>
      <c r="L54" s="2558">
        <v>0.38100000000000001</v>
      </c>
      <c r="M54" s="2493" t="s">
        <v>6576</v>
      </c>
    </row>
    <row r="55" spans="1:13" x14ac:dyDescent="0.35">
      <c r="C55" s="1399" t="s">
        <v>6291</v>
      </c>
      <c r="D55" s="1400" t="s">
        <v>5442</v>
      </c>
      <c r="E55" s="1398">
        <v>0.4</v>
      </c>
      <c r="G55" s="2517" t="s">
        <v>3285</v>
      </c>
      <c r="H55" s="2517" t="s">
        <v>3286</v>
      </c>
      <c r="I55" s="2517">
        <v>1.25</v>
      </c>
      <c r="J55" s="2551" t="s">
        <v>955</v>
      </c>
      <c r="K55" s="2551">
        <v>80</v>
      </c>
      <c r="L55" s="2554">
        <v>0.2</v>
      </c>
      <c r="M55" s="2494">
        <f>100/61.9</f>
        <v>1.6155088852988693</v>
      </c>
    </row>
    <row r="56" spans="1:13" x14ac:dyDescent="0.35">
      <c r="C56" s="1399" t="s">
        <v>6292</v>
      </c>
      <c r="D56" s="1400" t="s">
        <v>5443</v>
      </c>
      <c r="E56" s="1398">
        <v>0.45</v>
      </c>
    </row>
    <row r="57" spans="1:13" x14ac:dyDescent="0.35">
      <c r="C57" s="1867" t="s">
        <v>3288</v>
      </c>
      <c r="D57" s="1868" t="s">
        <v>3287</v>
      </c>
      <c r="E57" s="1869">
        <v>0.1</v>
      </c>
    </row>
    <row r="58" spans="1:13" x14ac:dyDescent="0.35">
      <c r="C58" s="1401" t="s">
        <v>5594</v>
      </c>
      <c r="D58" s="2526" t="s">
        <v>5595</v>
      </c>
      <c r="E58" s="1398">
        <v>0</v>
      </c>
    </row>
    <row r="59" spans="1:13" x14ac:dyDescent="0.35">
      <c r="C59" s="1401" t="s">
        <v>5430</v>
      </c>
      <c r="D59" s="2526" t="s">
        <v>5432</v>
      </c>
      <c r="E59" s="2527">
        <v>7.4999999999999997E-2</v>
      </c>
    </row>
    <row r="60" spans="1:13" x14ac:dyDescent="0.35">
      <c r="C60" s="1401" t="s">
        <v>5429</v>
      </c>
      <c r="D60" s="2526" t="s">
        <v>5433</v>
      </c>
      <c r="E60" s="2527">
        <v>0.32500000000000001</v>
      </c>
    </row>
    <row r="61" spans="1:13" x14ac:dyDescent="0.35">
      <c r="C61" s="1401" t="s">
        <v>5431</v>
      </c>
      <c r="D61" s="2526" t="s">
        <v>5434</v>
      </c>
      <c r="E61" s="2527">
        <v>0.38100000000000001</v>
      </c>
    </row>
    <row r="62" spans="1:13" x14ac:dyDescent="0.35">
      <c r="C62" s="1390" t="s">
        <v>2299</v>
      </c>
      <c r="D62" s="1391" t="s">
        <v>3707</v>
      </c>
      <c r="E62" s="1404">
        <v>0.3</v>
      </c>
    </row>
    <row r="63" spans="1:13" x14ac:dyDescent="0.35">
      <c r="C63" s="1390" t="s">
        <v>2301</v>
      </c>
      <c r="D63" s="1391" t="s">
        <v>1936</v>
      </c>
      <c r="E63" s="1398">
        <v>0.3</v>
      </c>
    </row>
    <row r="64" spans="1:13" x14ac:dyDescent="0.35">
      <c r="C64" s="1401" t="s">
        <v>5626</v>
      </c>
      <c r="D64" s="1402" t="s">
        <v>2495</v>
      </c>
      <c r="E64" s="1405">
        <v>0.5</v>
      </c>
    </row>
    <row r="65" spans="3:10" x14ac:dyDescent="0.35">
      <c r="C65" s="1390" t="s">
        <v>2772</v>
      </c>
      <c r="D65" s="1391" t="s">
        <v>872</v>
      </c>
      <c r="E65" s="1398">
        <v>0.05</v>
      </c>
    </row>
    <row r="66" spans="3:10" x14ac:dyDescent="0.35">
      <c r="C66" s="1390" t="s">
        <v>2300</v>
      </c>
      <c r="D66" s="1391" t="s">
        <v>1562</v>
      </c>
      <c r="E66" s="1404">
        <v>0.3</v>
      </c>
    </row>
    <row r="67" spans="3:10" x14ac:dyDescent="0.35">
      <c r="C67" s="1399" t="s">
        <v>4655</v>
      </c>
      <c r="D67" s="1391" t="s">
        <v>3289</v>
      </c>
      <c r="E67" s="1398">
        <v>0.1</v>
      </c>
    </row>
    <row r="68" spans="3:10" x14ac:dyDescent="0.35">
      <c r="C68" s="1399" t="s">
        <v>5627</v>
      </c>
      <c r="D68" s="1391" t="s">
        <v>3207</v>
      </c>
      <c r="E68" s="1404">
        <v>0.1</v>
      </c>
    </row>
    <row r="69" spans="3:10" x14ac:dyDescent="0.35">
      <c r="C69" s="1399" t="s">
        <v>5628</v>
      </c>
      <c r="D69" s="1391" t="s">
        <v>5424</v>
      </c>
      <c r="E69" s="1404">
        <v>0.1</v>
      </c>
    </row>
    <row r="70" spans="3:10" x14ac:dyDescent="0.35">
      <c r="C70" s="1399" t="s">
        <v>5629</v>
      </c>
      <c r="D70" s="1391" t="s">
        <v>5425</v>
      </c>
      <c r="E70" s="1404">
        <v>0.2</v>
      </c>
    </row>
    <row r="71" spans="3:10" x14ac:dyDescent="0.35">
      <c r="C71" s="1399" t="s">
        <v>5624</v>
      </c>
      <c r="D71" s="1400" t="s">
        <v>5630</v>
      </c>
      <c r="E71" s="2528">
        <v>0.18</v>
      </c>
    </row>
    <row r="72" spans="3:10" x14ac:dyDescent="0.35">
      <c r="C72" s="1399" t="s">
        <v>5625</v>
      </c>
      <c r="D72" s="1400" t="s">
        <v>5631</v>
      </c>
      <c r="E72" s="2528">
        <v>0.28000000000000003</v>
      </c>
    </row>
    <row r="74" spans="3:10" ht="13.15" x14ac:dyDescent="0.4">
      <c r="C74" s="875" t="s">
        <v>1836</v>
      </c>
    </row>
    <row r="75" spans="3:10" x14ac:dyDescent="0.35">
      <c r="C75" s="1399" t="s">
        <v>4449</v>
      </c>
      <c r="D75" s="1391" t="s">
        <v>626</v>
      </c>
      <c r="E75" s="1392">
        <v>5000</v>
      </c>
      <c r="H75" s="2529"/>
    </row>
    <row r="76" spans="3:10" x14ac:dyDescent="0.35">
      <c r="C76" s="1399" t="s">
        <v>4575</v>
      </c>
      <c r="D76" s="2576" t="s">
        <v>6855</v>
      </c>
      <c r="E76" s="1412">
        <v>28500</v>
      </c>
      <c r="G76" s="1085">
        <f>BR_band-SR_band</f>
        <v>28500</v>
      </c>
      <c r="H76" s="2530" t="s">
        <v>5446</v>
      </c>
    </row>
    <row r="77" spans="3:10" x14ac:dyDescent="0.35">
      <c r="C77" s="1390" t="s">
        <v>621</v>
      </c>
      <c r="D77" s="1391" t="s">
        <v>2294</v>
      </c>
      <c r="E77" s="1412">
        <v>33500</v>
      </c>
      <c r="H77" s="2529"/>
    </row>
    <row r="78" spans="3:10" x14ac:dyDescent="0.35">
      <c r="C78" s="2577" t="s">
        <v>6858</v>
      </c>
      <c r="D78" s="2576" t="s">
        <v>2121</v>
      </c>
      <c r="E78" s="1412">
        <v>31500</v>
      </c>
      <c r="G78" s="2772" t="s">
        <v>6991</v>
      </c>
      <c r="H78" s="1139" t="s">
        <v>6993</v>
      </c>
    </row>
    <row r="79" spans="3:10" x14ac:dyDescent="0.35">
      <c r="C79" s="2686" t="s">
        <v>871</v>
      </c>
      <c r="D79" s="2687" t="s">
        <v>2996</v>
      </c>
      <c r="E79" s="2685">
        <v>33500</v>
      </c>
      <c r="F79" s="1834"/>
      <c r="G79" s="3541">
        <f>HR_threshold+P_A</f>
        <v>45000</v>
      </c>
      <c r="H79" s="2531" t="s">
        <v>5567</v>
      </c>
      <c r="I79" s="1139"/>
      <c r="J79" s="1139" t="s">
        <v>3922</v>
      </c>
    </row>
    <row r="80" spans="3:10" x14ac:dyDescent="0.35">
      <c r="C80" s="1399" t="s">
        <v>4616</v>
      </c>
      <c r="D80" s="1391" t="s">
        <v>2295</v>
      </c>
      <c r="E80" s="1412">
        <v>116500</v>
      </c>
      <c r="G80" s="1085">
        <f>AHR_band-BR_band</f>
        <v>116500</v>
      </c>
      <c r="H80" s="2531" t="s">
        <v>6861</v>
      </c>
    </row>
    <row r="81" spans="3:8" x14ac:dyDescent="0.35">
      <c r="C81" s="2577" t="s">
        <v>6859</v>
      </c>
      <c r="D81" s="2576" t="s">
        <v>6860</v>
      </c>
      <c r="E81" s="1412">
        <v>118500</v>
      </c>
      <c r="G81" s="1085">
        <f>SAHR_band-SBR_band</f>
        <v>118500</v>
      </c>
      <c r="H81" s="2531" t="s">
        <v>6992</v>
      </c>
    </row>
    <row r="82" spans="3:8" x14ac:dyDescent="0.35">
      <c r="C82" s="1399" t="s">
        <v>3545</v>
      </c>
      <c r="D82" s="1391" t="s">
        <v>2558</v>
      </c>
      <c r="E82" s="1392">
        <v>150000</v>
      </c>
    </row>
    <row r="83" spans="3:8" x14ac:dyDescent="0.35">
      <c r="C83" s="2577" t="s">
        <v>6865</v>
      </c>
      <c r="D83" s="2576" t="s">
        <v>6866</v>
      </c>
      <c r="E83" s="1412">
        <v>150000</v>
      </c>
    </row>
    <row r="84" spans="3:8" x14ac:dyDescent="0.35">
      <c r="C84" s="3533" t="s">
        <v>7049</v>
      </c>
      <c r="D84" s="3534" t="s">
        <v>7047</v>
      </c>
      <c r="E84" s="3535">
        <v>8164</v>
      </c>
      <c r="F84" s="3536"/>
      <c r="G84" s="3536" t="s">
        <v>7051</v>
      </c>
    </row>
    <row r="85" spans="3:8" x14ac:dyDescent="0.35">
      <c r="C85" s="3533" t="s">
        <v>7050</v>
      </c>
      <c r="D85" s="3534" t="s">
        <v>7048</v>
      </c>
      <c r="E85" s="3535">
        <v>45000</v>
      </c>
      <c r="F85" s="3536"/>
      <c r="G85" s="3536" t="s">
        <v>7051</v>
      </c>
    </row>
    <row r="86" spans="3:8" x14ac:dyDescent="0.35">
      <c r="C86" s="1399" t="s">
        <v>4621</v>
      </c>
      <c r="D86" s="1400" t="s">
        <v>4620</v>
      </c>
      <c r="E86" s="2573">
        <v>2.85</v>
      </c>
      <c r="G86" s="2531" t="s">
        <v>4966</v>
      </c>
    </row>
    <row r="87" spans="3:8" x14ac:dyDescent="0.35">
      <c r="C87" s="1399" t="s">
        <v>4802</v>
      </c>
      <c r="D87" s="1400" t="s">
        <v>4803</v>
      </c>
      <c r="E87" s="2573">
        <v>151.05000000000001</v>
      </c>
      <c r="G87" s="2532">
        <f>NIC2_weekamt*53</f>
        <v>151.05000000000001</v>
      </c>
      <c r="H87" s="2531" t="s">
        <v>5444</v>
      </c>
    </row>
    <row r="88" spans="3:8" x14ac:dyDescent="0.35">
      <c r="C88" s="1399" t="s">
        <v>4967</v>
      </c>
      <c r="D88" s="1400" t="s">
        <v>4959</v>
      </c>
      <c r="E88" s="2573">
        <v>3.5</v>
      </c>
      <c r="G88" s="7" t="s">
        <v>4943</v>
      </c>
    </row>
    <row r="89" spans="3:8" x14ac:dyDescent="0.35">
      <c r="C89" s="1399" t="s">
        <v>4968</v>
      </c>
      <c r="D89" s="1400" t="s">
        <v>4960</v>
      </c>
      <c r="E89" s="2573">
        <v>185.5</v>
      </c>
      <c r="G89" s="2532">
        <f>NIC2SF_weekamt*53</f>
        <v>185.5</v>
      </c>
      <c r="H89" s="2531" t="s">
        <v>5445</v>
      </c>
    </row>
    <row r="90" spans="3:8" x14ac:dyDescent="0.35">
      <c r="C90" s="1399" t="s">
        <v>4615</v>
      </c>
      <c r="D90" s="1400" t="s">
        <v>4614</v>
      </c>
      <c r="E90" s="2573">
        <v>6025</v>
      </c>
    </row>
    <row r="91" spans="3:8" x14ac:dyDescent="0.35">
      <c r="C91" s="3537" t="s">
        <v>7067</v>
      </c>
      <c r="D91" s="3538" t="s">
        <v>7068</v>
      </c>
      <c r="E91" s="3539">
        <v>827</v>
      </c>
      <c r="F91" s="3540"/>
      <c r="G91" s="3540" t="s">
        <v>7069</v>
      </c>
    </row>
    <row r="92" spans="3:8" x14ac:dyDescent="0.35">
      <c r="C92" s="3537" t="s">
        <v>7070</v>
      </c>
      <c r="D92" s="3538" t="s">
        <v>7071</v>
      </c>
      <c r="E92" s="3539">
        <v>155</v>
      </c>
      <c r="F92" s="3540"/>
      <c r="G92" s="3540" t="s">
        <v>7069</v>
      </c>
    </row>
    <row r="93" spans="3:8" x14ac:dyDescent="0.35">
      <c r="C93" s="1390" t="s">
        <v>4321</v>
      </c>
      <c r="D93" s="1391" t="s">
        <v>1215</v>
      </c>
      <c r="E93" s="1412">
        <v>45000</v>
      </c>
    </row>
    <row r="94" spans="3:8" x14ac:dyDescent="0.35">
      <c r="C94" s="1390" t="s">
        <v>4322</v>
      </c>
      <c r="D94" s="1391" t="s">
        <v>1942</v>
      </c>
      <c r="E94" s="1412">
        <v>8164</v>
      </c>
    </row>
    <row r="95" spans="3:8" x14ac:dyDescent="0.35">
      <c r="C95" s="1390" t="s">
        <v>1216</v>
      </c>
      <c r="D95" s="1391" t="s">
        <v>4301</v>
      </c>
      <c r="E95" s="1412">
        <v>36836</v>
      </c>
      <c r="G95" s="1085">
        <f>NIC_UEL-NIC_LEL</f>
        <v>36836</v>
      </c>
      <c r="H95" s="2531" t="s">
        <v>5448</v>
      </c>
    </row>
    <row r="96" spans="3:8" x14ac:dyDescent="0.35">
      <c r="C96" s="1390" t="s">
        <v>4320</v>
      </c>
      <c r="D96" s="1391" t="s">
        <v>4106</v>
      </c>
      <c r="E96" s="2574">
        <v>3315.24</v>
      </c>
      <c r="G96" s="2532">
        <f>NIC_Band*NIC_rate</f>
        <v>3315.24</v>
      </c>
      <c r="H96" s="2531" t="s">
        <v>5447</v>
      </c>
    </row>
    <row r="97" spans="1:10" x14ac:dyDescent="0.35">
      <c r="C97" s="1399" t="s">
        <v>5560</v>
      </c>
      <c r="D97" s="1400" t="s">
        <v>5562</v>
      </c>
      <c r="E97" s="2568">
        <v>17775</v>
      </c>
    </row>
    <row r="98" spans="1:10" x14ac:dyDescent="0.35">
      <c r="C98" s="1399" t="s">
        <v>5561</v>
      </c>
      <c r="D98" s="1400" t="s">
        <v>5563</v>
      </c>
      <c r="E98" s="1406">
        <v>21000</v>
      </c>
    </row>
    <row r="99" spans="1:10" x14ac:dyDescent="0.35">
      <c r="C99" s="1399" t="s">
        <v>4450</v>
      </c>
      <c r="D99" s="1391" t="s">
        <v>1230</v>
      </c>
      <c r="E99" s="1392">
        <v>2000</v>
      </c>
    </row>
    <row r="101" spans="1:10" ht="13.15" x14ac:dyDescent="0.4">
      <c r="C101" s="2533" t="s">
        <v>1231</v>
      </c>
      <c r="J101" s="583">
        <f>IF(ppr_extender&lt;1000,ppr_extender,H102&amp;","&amp;IF(I102&lt;10,"00"&amp;I102,IF(I102&lt;100,"0"&amp;I102,I102)))</f>
        <v>0</v>
      </c>
    </row>
    <row r="102" spans="1:10" x14ac:dyDescent="0.35">
      <c r="C102" s="1390" t="s">
        <v>1940</v>
      </c>
      <c r="D102" s="1391" t="s">
        <v>1941</v>
      </c>
      <c r="E102" s="1407">
        <v>1000</v>
      </c>
      <c r="G102" s="580" t="s">
        <v>3078</v>
      </c>
      <c r="H102" s="580">
        <f>TRUNC(ppr_extender/1000,0)</f>
        <v>0</v>
      </c>
      <c r="I102" s="580">
        <f>ppr_extender-(H102*1000)</f>
        <v>0</v>
      </c>
      <c r="J102" s="583">
        <f>IF(gift_extender&lt;1000,gift_extender,H103&amp;","&amp;IF(I103&lt;10,"00"&amp;I103,IF(I103&lt;100,"0"&amp;I103,I103)))</f>
        <v>0</v>
      </c>
    </row>
    <row r="103" spans="1:10" x14ac:dyDescent="0.35">
      <c r="A103" s="1393" t="s">
        <v>2634</v>
      </c>
      <c r="C103" s="1399" t="s">
        <v>4451</v>
      </c>
      <c r="D103" s="1391" t="s">
        <v>5426</v>
      </c>
      <c r="E103" s="1407">
        <v>30000</v>
      </c>
      <c r="G103" s="580" t="s">
        <v>2706</v>
      </c>
      <c r="H103" s="580">
        <f>TRUNC(gift_extender/1000,0)</f>
        <v>0</v>
      </c>
      <c r="I103" s="580">
        <f>gift_extender-(H103*1000)</f>
        <v>0</v>
      </c>
      <c r="J103" s="583" t="str">
        <f>IF(extended_BR&lt;1000,extended_BR,H104&amp;","&amp;IF(I104&lt;10,"00"&amp;I104,IF(I104&lt;100,"0"&amp;I104,I104)))</f>
        <v>33,500</v>
      </c>
    </row>
    <row r="104" spans="1:10" x14ac:dyDescent="0.35">
      <c r="C104" s="1390" t="s">
        <v>3296</v>
      </c>
      <c r="D104" s="1391" t="s">
        <v>5427</v>
      </c>
      <c r="E104" s="1392">
        <v>60000</v>
      </c>
      <c r="G104" s="580" t="s">
        <v>1205</v>
      </c>
      <c r="H104" s="580">
        <f>TRUNC(extended_BR/1000,0)</f>
        <v>33</v>
      </c>
      <c r="I104" s="580">
        <f>extended_BR-(H104*1000)</f>
        <v>500</v>
      </c>
      <c r="J104" s="583" t="str">
        <f>IF((extended_BR+SR_band)&lt;1000,(extended_BR+SR_band),H105&amp;","&amp;IF(I105&lt;10,"00"&amp;I105,IF(I105&lt;100,"0"&amp;I105,I105)))</f>
        <v>38,500</v>
      </c>
    </row>
    <row r="105" spans="1:10" x14ac:dyDescent="0.35">
      <c r="C105" s="1399" t="s">
        <v>4326</v>
      </c>
      <c r="D105" s="1400" t="s">
        <v>4327</v>
      </c>
      <c r="E105" s="1406">
        <v>90000</v>
      </c>
      <c r="G105" s="580" t="s">
        <v>1206</v>
      </c>
      <c r="H105" s="580">
        <f>TRUNC((extended_BR+SR_band)/1000,0)</f>
        <v>38</v>
      </c>
      <c r="I105" s="580">
        <f>(extended_BR+SR_band)-(H105*1000)</f>
        <v>500</v>
      </c>
      <c r="J105" s="583" t="str">
        <f>IF((SR_band)&lt;1000,(SR_band),H106&amp;","&amp;IF(I106&lt;10,"00"&amp;I106,IF(I106&lt;100,"0"&amp;I106,I106)))</f>
        <v>5,000</v>
      </c>
    </row>
    <row r="106" spans="1:10" x14ac:dyDescent="0.35">
      <c r="C106" s="1399" t="s">
        <v>4452</v>
      </c>
      <c r="D106" s="1400" t="s">
        <v>4453</v>
      </c>
      <c r="E106" s="1407">
        <v>2000</v>
      </c>
      <c r="G106" s="580" t="s">
        <v>1207</v>
      </c>
      <c r="H106" s="580">
        <f>TRUNC((SR_band)/1000,0)</f>
        <v>5</v>
      </c>
      <c r="I106" s="580">
        <f>(SR_band)-(H106*1000)</f>
        <v>0</v>
      </c>
    </row>
    <row r="107" spans="1:10" x14ac:dyDescent="0.35">
      <c r="C107" s="1390" t="s">
        <v>966</v>
      </c>
      <c r="D107" s="1391" t="s">
        <v>967</v>
      </c>
      <c r="E107" s="1407">
        <v>3000</v>
      </c>
    </row>
    <row r="108" spans="1:10" x14ac:dyDescent="0.35">
      <c r="C108" s="1390" t="s">
        <v>2599</v>
      </c>
      <c r="D108" s="1391" t="s">
        <v>2600</v>
      </c>
      <c r="E108" s="1392">
        <v>50000</v>
      </c>
    </row>
    <row r="109" spans="1:10" x14ac:dyDescent="0.35">
      <c r="C109" s="1390" t="s">
        <v>3267</v>
      </c>
      <c r="D109" s="1391" t="s">
        <v>3268</v>
      </c>
      <c r="E109" s="1408">
        <v>0.01</v>
      </c>
    </row>
    <row r="111" spans="1:10" ht="13.15" x14ac:dyDescent="0.4">
      <c r="C111" s="875" t="s">
        <v>616</v>
      </c>
    </row>
    <row r="112" spans="1:10" x14ac:dyDescent="0.35">
      <c r="C112" s="1390" t="s">
        <v>3375</v>
      </c>
      <c r="D112" s="1391" t="s">
        <v>2297</v>
      </c>
      <c r="E112" s="1412">
        <v>11500</v>
      </c>
    </row>
    <row r="113" spans="3:8" x14ac:dyDescent="0.35">
      <c r="C113" s="1390" t="s">
        <v>3301</v>
      </c>
      <c r="D113" s="1391" t="s">
        <v>2745</v>
      </c>
      <c r="E113" s="1412">
        <v>28000</v>
      </c>
    </row>
    <row r="114" spans="3:8" x14ac:dyDescent="0.35">
      <c r="C114" s="1390" t="s">
        <v>2560</v>
      </c>
      <c r="D114" s="1391" t="s">
        <v>2559</v>
      </c>
      <c r="E114" s="1392">
        <v>100000</v>
      </c>
    </row>
    <row r="115" spans="3:8" x14ac:dyDescent="0.35">
      <c r="C115" s="1390" t="s">
        <v>3302</v>
      </c>
      <c r="D115" s="1391" t="s">
        <v>3303</v>
      </c>
      <c r="E115" s="1404">
        <v>0.5</v>
      </c>
    </row>
    <row r="116" spans="3:8" x14ac:dyDescent="0.35">
      <c r="C116" s="1399" t="s">
        <v>5418</v>
      </c>
      <c r="D116" s="1400" t="s">
        <v>5419</v>
      </c>
      <c r="E116" s="1392">
        <v>1000</v>
      </c>
    </row>
    <row r="117" spans="3:8" x14ac:dyDescent="0.35">
      <c r="C117" s="1399" t="s">
        <v>5420</v>
      </c>
      <c r="D117" s="1400" t="s">
        <v>5421</v>
      </c>
      <c r="E117" s="1392">
        <v>500</v>
      </c>
    </row>
    <row r="118" spans="3:8" x14ac:dyDescent="0.35">
      <c r="C118" s="1399" t="s">
        <v>5422</v>
      </c>
      <c r="D118" s="1400" t="s">
        <v>5423</v>
      </c>
      <c r="E118" s="1392">
        <v>0</v>
      </c>
    </row>
    <row r="119" spans="3:8" x14ac:dyDescent="0.35">
      <c r="C119" s="1399" t="s">
        <v>5474</v>
      </c>
      <c r="D119" s="1400" t="s">
        <v>6652</v>
      </c>
      <c r="E119" s="1392">
        <v>5000</v>
      </c>
    </row>
    <row r="120" spans="3:8" x14ac:dyDescent="0.35">
      <c r="C120" s="1399" t="s">
        <v>4324</v>
      </c>
      <c r="D120" s="1400" t="s">
        <v>4325</v>
      </c>
      <c r="E120" s="2568">
        <v>1150</v>
      </c>
      <c r="G120" s="1085">
        <f>P_A*10%</f>
        <v>1150</v>
      </c>
    </row>
    <row r="121" spans="3:8" x14ac:dyDescent="0.35">
      <c r="C121" s="1390" t="s">
        <v>3875</v>
      </c>
      <c r="D121" s="1391" t="s">
        <v>627</v>
      </c>
      <c r="E121" s="1412">
        <v>3260</v>
      </c>
    </row>
    <row r="122" spans="3:8" x14ac:dyDescent="0.35">
      <c r="C122" s="1390" t="s">
        <v>3876</v>
      </c>
      <c r="D122" s="1391" t="s">
        <v>3877</v>
      </c>
      <c r="E122" s="1412">
        <v>1630</v>
      </c>
      <c r="G122" s="1085">
        <f>MCA/2</f>
        <v>1630</v>
      </c>
    </row>
    <row r="123" spans="3:8" x14ac:dyDescent="0.35">
      <c r="C123" s="1390" t="s">
        <v>3873</v>
      </c>
      <c r="D123" s="1391" t="s">
        <v>3874</v>
      </c>
      <c r="E123" s="1412">
        <v>8445</v>
      </c>
      <c r="G123" s="1409"/>
    </row>
    <row r="124" spans="3:8" x14ac:dyDescent="0.35">
      <c r="C124" s="1390" t="s">
        <v>3662</v>
      </c>
      <c r="D124" s="1391" t="s">
        <v>1011</v>
      </c>
      <c r="E124" s="1412">
        <v>2320</v>
      </c>
    </row>
    <row r="125" spans="3:8" x14ac:dyDescent="0.35">
      <c r="C125" s="1390" t="s">
        <v>3961</v>
      </c>
      <c r="D125" s="1391" t="s">
        <v>930</v>
      </c>
      <c r="E125" s="1412">
        <v>3260</v>
      </c>
      <c r="G125" s="1085">
        <f>MCA</f>
        <v>3260</v>
      </c>
      <c r="H125" s="2531" t="s">
        <v>5440</v>
      </c>
    </row>
    <row r="126" spans="3:8" x14ac:dyDescent="0.35">
      <c r="C126" s="1390" t="s">
        <v>3898</v>
      </c>
      <c r="D126" s="1391" t="s">
        <v>597</v>
      </c>
      <c r="E126" s="1412">
        <v>11300</v>
      </c>
    </row>
    <row r="127" spans="3:8" x14ac:dyDescent="0.35">
      <c r="C127" s="1390" t="s">
        <v>732</v>
      </c>
      <c r="D127" s="1391" t="s">
        <v>734</v>
      </c>
      <c r="E127" s="1392">
        <v>50000</v>
      </c>
    </row>
    <row r="128" spans="3:8" x14ac:dyDescent="0.35">
      <c r="C128" s="1390" t="s">
        <v>733</v>
      </c>
      <c r="D128" s="1391" t="s">
        <v>735</v>
      </c>
      <c r="E128" s="1404">
        <v>0.25</v>
      </c>
    </row>
    <row r="130" spans="1:10" ht="13.15" x14ac:dyDescent="0.4">
      <c r="C130" s="875" t="s">
        <v>3304</v>
      </c>
      <c r="H130" s="7" t="s">
        <v>2160</v>
      </c>
      <c r="I130" s="7">
        <v>1</v>
      </c>
      <c r="J130" s="7" t="s">
        <v>2161</v>
      </c>
    </row>
    <row r="131" spans="1:10" x14ac:dyDescent="0.35">
      <c r="C131" s="2524" t="s">
        <v>4456</v>
      </c>
      <c r="D131" s="2525" t="s">
        <v>4457</v>
      </c>
      <c r="E131" s="2534">
        <v>1948</v>
      </c>
      <c r="H131" s="2535">
        <f ca="1">NOW()</f>
        <v>43088.671746874999</v>
      </c>
      <c r="I131" s="7">
        <v>2</v>
      </c>
      <c r="J131" s="7" t="s">
        <v>2162</v>
      </c>
    </row>
    <row r="132" spans="1:10" x14ac:dyDescent="0.35">
      <c r="C132" s="2524" t="s">
        <v>4458</v>
      </c>
      <c r="D132" s="2525" t="s">
        <v>4459</v>
      </c>
      <c r="E132" s="2534">
        <v>1938</v>
      </c>
      <c r="H132" s="2536">
        <f>'Add pages'!H5</f>
        <v>0</v>
      </c>
      <c r="I132" s="7">
        <v>3</v>
      </c>
      <c r="J132" s="7" t="s">
        <v>1451</v>
      </c>
    </row>
    <row r="133" spans="1:10" x14ac:dyDescent="0.35">
      <c r="C133" s="1390" t="s">
        <v>1102</v>
      </c>
      <c r="D133" s="1391" t="s">
        <v>1101</v>
      </c>
      <c r="E133" s="1410">
        <v>1935</v>
      </c>
      <c r="F133" s="1413" t="s">
        <v>1877</v>
      </c>
      <c r="H133" s="7">
        <f ca="1">IF(H132=0,H131,H132)</f>
        <v>43088.671746874999</v>
      </c>
      <c r="I133" s="7">
        <v>4</v>
      </c>
      <c r="J133" s="7" t="s">
        <v>1452</v>
      </c>
    </row>
    <row r="134" spans="1:10" x14ac:dyDescent="0.35">
      <c r="C134" s="1922" t="s">
        <v>931</v>
      </c>
      <c r="D134" s="1923" t="s">
        <v>2517</v>
      </c>
      <c r="E134" s="1924" t="str">
        <f>20&amp;F133</f>
        <v>2017</v>
      </c>
      <c r="F134" s="1413" t="s">
        <v>1880</v>
      </c>
      <c r="H134" s="7" t="str">
        <f ca="1">DAY(H133)&amp;" "&amp;VLOOKUP(MONTH(H133),I130:J141,2)&amp;" "&amp;YEAR(H133)</f>
        <v>19 December 2017</v>
      </c>
      <c r="I134" s="7">
        <v>5</v>
      </c>
      <c r="J134" s="7" t="s">
        <v>1453</v>
      </c>
    </row>
    <row r="135" spans="1:10" x14ac:dyDescent="0.35">
      <c r="C135" s="1922" t="s">
        <v>983</v>
      </c>
      <c r="D135" s="1923" t="s">
        <v>1100</v>
      </c>
      <c r="E135" s="1924" t="str">
        <f>20&amp;F134</f>
        <v>2018</v>
      </c>
      <c r="F135" s="1413" t="s">
        <v>43</v>
      </c>
      <c r="I135" s="7">
        <v>6</v>
      </c>
      <c r="J135" s="7" t="s">
        <v>1454</v>
      </c>
    </row>
    <row r="136" spans="1:10" x14ac:dyDescent="0.35">
      <c r="A136" s="1393" t="s">
        <v>3919</v>
      </c>
      <c r="C136" s="1922" t="s">
        <v>1577</v>
      </c>
      <c r="D136" s="1923" t="s">
        <v>1578</v>
      </c>
      <c r="E136" s="1924" t="str">
        <f>20&amp;F135</f>
        <v>2019</v>
      </c>
      <c r="I136" s="7">
        <v>7</v>
      </c>
      <c r="J136" s="7" t="s">
        <v>1455</v>
      </c>
    </row>
    <row r="137" spans="1:10" x14ac:dyDescent="0.35">
      <c r="I137" s="7">
        <v>8</v>
      </c>
      <c r="J137" s="7" t="s">
        <v>1456</v>
      </c>
    </row>
    <row r="138" spans="1:10" x14ac:dyDescent="0.35">
      <c r="C138" s="1390" t="s">
        <v>1103</v>
      </c>
      <c r="D138" s="1391" t="s">
        <v>1104</v>
      </c>
      <c r="E138" s="1410" t="str">
        <f>Tax_year_start&amp;"-"&amp;F134</f>
        <v>2017-18</v>
      </c>
      <c r="I138" s="7">
        <v>9</v>
      </c>
      <c r="J138" s="7" t="s">
        <v>1674</v>
      </c>
    </row>
    <row r="139" spans="1:10" x14ac:dyDescent="0.35">
      <c r="C139" s="1390" t="s">
        <v>1105</v>
      </c>
      <c r="D139" s="1391" t="s">
        <v>1106</v>
      </c>
      <c r="E139" s="1410" t="str">
        <f>Tax_year_end&amp;"-"&amp;F135</f>
        <v>2018-19</v>
      </c>
      <c r="I139" s="7">
        <v>10</v>
      </c>
      <c r="J139" s="7" t="s">
        <v>1675</v>
      </c>
    </row>
    <row r="140" spans="1:10" x14ac:dyDescent="0.35">
      <c r="C140" s="1390" t="s">
        <v>2632</v>
      </c>
      <c r="D140" s="1391" t="s">
        <v>2633</v>
      </c>
      <c r="E140" s="1410" t="str">
        <f>Tax_year_start-1&amp;"-"&amp;F133</f>
        <v>2016-17</v>
      </c>
      <c r="I140" s="7">
        <v>11</v>
      </c>
      <c r="J140" s="7" t="s">
        <v>1676</v>
      </c>
    </row>
    <row r="141" spans="1:10" x14ac:dyDescent="0.35">
      <c r="A141" s="1393" t="s">
        <v>3920</v>
      </c>
      <c r="C141" s="38"/>
      <c r="D141" s="38"/>
      <c r="E141" s="2537"/>
      <c r="I141" s="7">
        <v>12</v>
      </c>
      <c r="J141" s="7" t="s">
        <v>1677</v>
      </c>
    </row>
    <row r="142" spans="1:10" ht="13.15" x14ac:dyDescent="0.4">
      <c r="C142" s="875" t="s">
        <v>2159</v>
      </c>
    </row>
    <row r="143" spans="1:10" x14ac:dyDescent="0.35">
      <c r="C143" s="580" t="s">
        <v>3551</v>
      </c>
      <c r="D143" s="580" t="s">
        <v>3553</v>
      </c>
      <c r="E143" s="877">
        <v>0.55000000000000004</v>
      </c>
    </row>
    <row r="144" spans="1:10" ht="13.15" x14ac:dyDescent="0.4">
      <c r="A144" s="1397" t="s">
        <v>627</v>
      </c>
      <c r="C144" s="580" t="s">
        <v>3552</v>
      </c>
      <c r="D144" s="580" t="s">
        <v>3554</v>
      </c>
      <c r="E144" s="877">
        <v>0.25</v>
      </c>
      <c r="H144" s="1139" t="s">
        <v>5611</v>
      </c>
      <c r="I144" s="7">
        <v>1</v>
      </c>
      <c r="J144" s="7" t="s">
        <v>5612</v>
      </c>
    </row>
    <row r="145" spans="1:10" x14ac:dyDescent="0.35">
      <c r="C145" s="580" t="s">
        <v>3827</v>
      </c>
      <c r="D145" s="580" t="s">
        <v>1536</v>
      </c>
      <c r="E145" s="1112">
        <v>40000</v>
      </c>
      <c r="H145" s="2535">
        <f ca="1">NOW()</f>
        <v>43088.671746874999</v>
      </c>
      <c r="I145" s="7">
        <v>2</v>
      </c>
      <c r="J145" s="7" t="s">
        <v>5613</v>
      </c>
    </row>
    <row r="146" spans="1:10" x14ac:dyDescent="0.35">
      <c r="C146" s="1411" t="s">
        <v>4751</v>
      </c>
      <c r="D146" s="1411" t="s">
        <v>4750</v>
      </c>
      <c r="E146" s="2575">
        <v>4000</v>
      </c>
      <c r="H146" s="2536">
        <f>'Add pages'!H5</f>
        <v>0</v>
      </c>
      <c r="I146" s="7">
        <v>3</v>
      </c>
      <c r="J146" s="7" t="s">
        <v>5614</v>
      </c>
    </row>
    <row r="147" spans="1:10" x14ac:dyDescent="0.35">
      <c r="C147" s="580" t="s">
        <v>557</v>
      </c>
      <c r="D147" s="580" t="s">
        <v>2581</v>
      </c>
      <c r="E147" s="877">
        <v>0.4</v>
      </c>
      <c r="H147" s="7">
        <f ca="1">IF(H146=0,H145,H146)</f>
        <v>43088.671746874999</v>
      </c>
      <c r="I147" s="7">
        <v>4</v>
      </c>
      <c r="J147" s="7" t="s">
        <v>5615</v>
      </c>
    </row>
    <row r="148" spans="1:10" x14ac:dyDescent="0.35">
      <c r="C148" s="580" t="s">
        <v>5428</v>
      </c>
      <c r="D148" s="580" t="s">
        <v>2582</v>
      </c>
      <c r="E148" s="877">
        <v>0.4</v>
      </c>
      <c r="H148" s="7" t="str">
        <f ca="1">DAY(H147)&amp;" "&amp;VLOOKUP(MONTH(H147),I144:J155,2)&amp;" "&amp;YEAR(H147)</f>
        <v>19 Rhagfyr 2017</v>
      </c>
      <c r="I148" s="7">
        <v>5</v>
      </c>
      <c r="J148" s="7" t="s">
        <v>5616</v>
      </c>
    </row>
    <row r="149" spans="1:10" x14ac:dyDescent="0.35">
      <c r="C149" s="580" t="s">
        <v>2629</v>
      </c>
      <c r="D149" s="1411" t="s">
        <v>4815</v>
      </c>
      <c r="E149" s="877">
        <v>0.55000000000000004</v>
      </c>
      <c r="I149" s="7">
        <v>6</v>
      </c>
      <c r="J149" s="7" t="s">
        <v>5617</v>
      </c>
    </row>
    <row r="150" spans="1:10" x14ac:dyDescent="0.35">
      <c r="C150" s="580" t="s">
        <v>2584</v>
      </c>
      <c r="D150" s="580" t="s">
        <v>2583</v>
      </c>
      <c r="E150" s="877">
        <v>0.2</v>
      </c>
      <c r="I150" s="7">
        <v>7</v>
      </c>
      <c r="J150" s="7" t="s">
        <v>5618</v>
      </c>
    </row>
    <row r="151" spans="1:10" x14ac:dyDescent="0.35">
      <c r="C151" s="580" t="s">
        <v>2153</v>
      </c>
      <c r="D151" s="580" t="s">
        <v>2154</v>
      </c>
      <c r="E151" s="981">
        <v>20000</v>
      </c>
      <c r="H151" s="1139"/>
      <c r="I151" s="7">
        <v>8</v>
      </c>
      <c r="J151" s="7" t="s">
        <v>5619</v>
      </c>
    </row>
    <row r="152" spans="1:10" x14ac:dyDescent="0.35">
      <c r="B152" s="580">
        <v>1</v>
      </c>
      <c r="C152" s="580" t="s">
        <v>3549</v>
      </c>
      <c r="D152" s="580" t="s">
        <v>2155</v>
      </c>
      <c r="E152" s="877">
        <v>0.5</v>
      </c>
      <c r="G152" s="878"/>
      <c r="I152" s="7">
        <v>9</v>
      </c>
      <c r="J152" s="7" t="s">
        <v>5620</v>
      </c>
    </row>
    <row r="153" spans="1:10" x14ac:dyDescent="0.35">
      <c r="B153" s="580">
        <v>2</v>
      </c>
      <c r="C153" s="580" t="s">
        <v>2156</v>
      </c>
      <c r="D153" s="580" t="s">
        <v>2157</v>
      </c>
      <c r="E153" s="877">
        <v>0.45</v>
      </c>
      <c r="I153" s="7">
        <v>10</v>
      </c>
      <c r="J153" s="7" t="s">
        <v>5621</v>
      </c>
    </row>
    <row r="154" spans="1:10" x14ac:dyDescent="0.35">
      <c r="B154" s="580">
        <v>3</v>
      </c>
      <c r="C154" s="3367" t="s">
        <v>7941</v>
      </c>
      <c r="D154" s="3367" t="s">
        <v>7943</v>
      </c>
      <c r="E154" s="3368">
        <v>0.25</v>
      </c>
      <c r="I154" s="7">
        <v>11</v>
      </c>
      <c r="J154" s="7" t="s">
        <v>5622</v>
      </c>
    </row>
    <row r="155" spans="1:10" x14ac:dyDescent="0.35">
      <c r="C155" s="580" t="s">
        <v>3550</v>
      </c>
      <c r="D155" s="580" t="s">
        <v>2158</v>
      </c>
      <c r="E155" s="973">
        <v>3600</v>
      </c>
      <c r="I155" s="7">
        <v>12</v>
      </c>
      <c r="J155" s="7" t="s">
        <v>5623</v>
      </c>
    </row>
    <row r="157" spans="1:10" ht="13.15" x14ac:dyDescent="0.4">
      <c r="C157" s="875" t="s">
        <v>5449</v>
      </c>
    </row>
    <row r="158" spans="1:10" ht="13.15" x14ac:dyDescent="0.4">
      <c r="A158" s="1397" t="s">
        <v>2628</v>
      </c>
      <c r="B158" s="580">
        <v>1</v>
      </c>
      <c r="C158" s="2538" t="str">
        <f>"Before 6/4/"&amp;MCA_year&amp;" (age over "&amp;Tax_year_start-MCA_year&amp;")"</f>
        <v>Before 6/4/1935 (age over 82)</v>
      </c>
      <c r="D158" s="20" t="b">
        <f>tp_age_ind=1</f>
        <v>0</v>
      </c>
    </row>
    <row r="159" spans="1:10" x14ac:dyDescent="0.35">
      <c r="A159" s="1394" t="s">
        <v>4630</v>
      </c>
      <c r="B159" s="580">
        <v>2</v>
      </c>
      <c r="C159" s="2538" t="str">
        <f>"After 6/4/"&amp;MCA_year&amp;" (age "&amp;Tax_year_start-MCA_year&amp;" or under)"</f>
        <v>After 6/4/1935 (age 82 or under)</v>
      </c>
      <c r="D159" s="580" t="b">
        <f>tp_age_ind=2</f>
        <v>1</v>
      </c>
    </row>
    <row r="160" spans="1:10" x14ac:dyDescent="0.35">
      <c r="B160" s="2539">
        <v>3</v>
      </c>
      <c r="C160" s="2540" t="str">
        <f>"After 5/4/1938 (age under "&amp;Tax_year_end-1938&amp;")"</f>
        <v>After 5/4/1938 (age under 80)</v>
      </c>
      <c r="D160" s="2541" t="b">
        <v>0</v>
      </c>
      <c r="E160" s="2542" t="s">
        <v>6293</v>
      </c>
    </row>
    <row r="161" spans="1:7" x14ac:dyDescent="0.35">
      <c r="B161" s="580"/>
      <c r="C161" s="580"/>
      <c r="D161" s="580"/>
      <c r="F161" s="2543" t="s">
        <v>6294</v>
      </c>
      <c r="G161" s="2544" t="b">
        <v>1</v>
      </c>
    </row>
    <row r="162" spans="1:7" x14ac:dyDescent="0.35">
      <c r="A162" s="1394" t="s">
        <v>4631</v>
      </c>
    </row>
    <row r="163" spans="1:7" ht="13.15" x14ac:dyDescent="0.4">
      <c r="C163" s="875" t="s">
        <v>5450</v>
      </c>
      <c r="G163" s="38"/>
    </row>
    <row r="164" spans="1:7" x14ac:dyDescent="0.35">
      <c r="B164" s="580">
        <v>1</v>
      </c>
      <c r="C164" s="2538" t="str">
        <f>IF(MCA_claim=1,"","1) Before 6/4/"&amp;MCA_year)</f>
        <v/>
      </c>
      <c r="D164" s="20" t="b">
        <f>Wife_age_ind=1</f>
        <v>0</v>
      </c>
      <c r="E164" s="2545" t="str">
        <f>"over "&amp;Tax_year_start-MCA_year</f>
        <v>over 82</v>
      </c>
    </row>
    <row r="165" spans="1:7" x14ac:dyDescent="0.35">
      <c r="B165" s="580">
        <v>2</v>
      </c>
      <c r="C165" s="2538" t="str">
        <f>IF(MCA_claim=1,"","2) After 5/4/"&amp;MCA_year&amp;" or not present")</f>
        <v/>
      </c>
      <c r="D165" s="20" t="b">
        <f>Wife_age_ind=2</f>
        <v>1</v>
      </c>
      <c r="E165" s="2545"/>
    </row>
    <row r="167" spans="1:7" x14ac:dyDescent="0.35">
      <c r="B167" s="580">
        <v>1</v>
      </c>
      <c r="C167" s="580" t="s">
        <v>1607</v>
      </c>
      <c r="D167" s="580" t="b">
        <f>MCA!F5=1</f>
        <v>1</v>
      </c>
    </row>
    <row r="168" spans="1:7" x14ac:dyDescent="0.35">
      <c r="B168" s="580">
        <v>2</v>
      </c>
      <c r="C168" s="580" t="str">
        <f>"2) husband / higher income partner (box "&amp;MCA!$C$4&amp;" present)"</f>
        <v>2) husband / higher income partner (box 1 present)</v>
      </c>
      <c r="D168" s="580" t="b">
        <f>MCA!F5=2</f>
        <v>0</v>
      </c>
    </row>
    <row r="169" spans="1:7" x14ac:dyDescent="0.35">
      <c r="B169" s="580">
        <v>3</v>
      </c>
      <c r="C169" s="580" t="str">
        <f>"3) wife / lower income partner (box "&amp;MCA!$C$5&amp;" present)"</f>
        <v>3) wife / lower income partner (box 8 present)</v>
      </c>
      <c r="D169" s="580" t="b">
        <f>MCA!F5=3</f>
        <v>0</v>
      </c>
    </row>
    <row r="171" spans="1:7" x14ac:dyDescent="0.35">
      <c r="B171" s="580">
        <v>1</v>
      </c>
      <c r="C171" s="2546" t="str">
        <f>IF(mca_not_claimed,"","1) None to spouse/partner")</f>
        <v/>
      </c>
      <c r="D171" s="580" t="b">
        <f>MCA!F13=1</f>
        <v>1</v>
      </c>
    </row>
    <row r="172" spans="1:7" x14ac:dyDescent="0.35">
      <c r="B172" s="580">
        <v>2</v>
      </c>
      <c r="C172" s="2546" t="str">
        <f>IF(MCA_claim&gt;1,"2) 50% to spouse/partner (box "&amp;MCA!$C$12&amp;" ticked)","")</f>
        <v/>
      </c>
      <c r="D172" s="20" t="b">
        <f>MCA!F13=2</f>
        <v>0</v>
      </c>
    </row>
    <row r="173" spans="1:7" x14ac:dyDescent="0.35">
      <c r="B173" s="580">
        <v>3</v>
      </c>
      <c r="C173" s="2546" t="str">
        <f>IF(MCA_claim&gt;1,"3) All to spouse/partner (box "&amp;MCA!$C$13&amp;" ticked)","")</f>
        <v/>
      </c>
      <c r="D173" s="580" t="b">
        <f>MCA!F13=3</f>
        <v>0</v>
      </c>
    </row>
    <row r="175" spans="1:7" x14ac:dyDescent="0.35">
      <c r="C175" s="2545" t="s">
        <v>3921</v>
      </c>
      <c r="D175" s="2547">
        <f>MIN(tp_age_ind,Wife_age_ind)</f>
        <v>2</v>
      </c>
    </row>
    <row r="177" spans="3:4" x14ac:dyDescent="0.35">
      <c r="C177" s="7" t="s">
        <v>2627</v>
      </c>
      <c r="D177" s="580">
        <f>months_married-1</f>
        <v>0</v>
      </c>
    </row>
    <row r="178" spans="3:4" x14ac:dyDescent="0.35">
      <c r="C178" s="580" t="str">
        <f>IF(MCA!$F$5=1,"","1) "&amp;'allowances (c14c15)'!N85)</f>
        <v/>
      </c>
    </row>
    <row r="179" spans="3:4" x14ac:dyDescent="0.35">
      <c r="C179" s="580" t="str">
        <f>IF(MCA!$F$5=1,"","2) "&amp;'allowances (c14c15)'!N86)</f>
        <v/>
      </c>
    </row>
    <row r="180" spans="3:4" x14ac:dyDescent="0.35">
      <c r="C180" s="580" t="str">
        <f>IF(MCA!$F$5=1,"","3) "&amp;'allowances (c14c15)'!N87)</f>
        <v/>
      </c>
    </row>
    <row r="181" spans="3:4" x14ac:dyDescent="0.35">
      <c r="C181" s="580" t="str">
        <f>IF(MCA!$F$5=1,"","4) "&amp;'allowances (c14c15)'!N88)</f>
        <v/>
      </c>
    </row>
    <row r="182" spans="3:4" x14ac:dyDescent="0.35">
      <c r="C182" s="580" t="str">
        <f>IF(MCA!$F$5=1,"","5) "&amp;'allowances (c14c15)'!N89)</f>
        <v/>
      </c>
    </row>
    <row r="183" spans="3:4" x14ac:dyDescent="0.35">
      <c r="C183" s="580" t="str">
        <f>IF(MCA!$F$5=1,"","6) "&amp;'allowances (c14c15)'!N90)</f>
        <v/>
      </c>
    </row>
    <row r="184" spans="3:4" x14ac:dyDescent="0.35">
      <c r="C184" s="580" t="str">
        <f>IF(MCA!$F$5=1,"","7) "&amp;'allowances (c14c15)'!N91)</f>
        <v/>
      </c>
    </row>
    <row r="185" spans="3:4" x14ac:dyDescent="0.35">
      <c r="C185" s="580" t="str">
        <f>IF(MCA!$F$5=1,"","8) "&amp;'allowances (c14c15)'!N92)</f>
        <v/>
      </c>
    </row>
    <row r="186" spans="3:4" x14ac:dyDescent="0.35">
      <c r="C186" s="580" t="str">
        <f>IF(MCA!$F$5=1,"","9) "&amp;'allowances (c14c15)'!N93)</f>
        <v/>
      </c>
    </row>
    <row r="187" spans="3:4" x14ac:dyDescent="0.35">
      <c r="C187" s="580" t="str">
        <f>IF(MCA!$F$5=1,"","10) "&amp;'allowances (c14c15)'!N94)</f>
        <v/>
      </c>
    </row>
    <row r="188" spans="3:4" x14ac:dyDescent="0.35">
      <c r="C188" s="580" t="str">
        <f>IF(MCA!$F$5=1,"","11) "&amp;'allowances (c14c15)'!N95)</f>
        <v/>
      </c>
    </row>
    <row r="189" spans="3:4" x14ac:dyDescent="0.35">
      <c r="C189" s="580" t="str">
        <f>IF(MCA!$F$5=1,"","12) "&amp;'allowances (c14c15)'!N96)</f>
        <v/>
      </c>
    </row>
    <row r="190" spans="3:4" x14ac:dyDescent="0.35">
      <c r="C190" s="580" t="str">
        <f>IF(MCA!$F$5=1,"","13) "&amp;'allowances (c14c15)'!N97)</f>
        <v/>
      </c>
    </row>
    <row r="192" spans="3:4" ht="13.15" x14ac:dyDescent="0.4">
      <c r="C192" s="875" t="s">
        <v>4323</v>
      </c>
      <c r="D192" s="20" t="b">
        <f>OR(SE!L21,SE!M21,LUN!P20,PS!R20,PS!S20,NIC_ex_set)</f>
        <v>0</v>
      </c>
    </row>
    <row r="193" spans="3:4" x14ac:dyDescent="0.35">
      <c r="C193" s="2548" t="s">
        <v>4092</v>
      </c>
      <c r="D193" s="20" t="b">
        <f>NIC_x</f>
        <v>0</v>
      </c>
    </row>
    <row r="195" spans="3:4" ht="13.15" x14ac:dyDescent="0.4">
      <c r="C195" s="875" t="s">
        <v>4604</v>
      </c>
      <c r="D195" s="2549" t="str">
        <f>IF(AND('Class 4 NIC (c16)'!H72&lt;NIC2_SPT,OR(SE!L20,SE!M20,LUN!P19,PS!R19,PS!S19,NIC2_Vol)),"TRUE","FALSE")</f>
        <v>FALSE</v>
      </c>
    </row>
    <row r="196" spans="3:4" x14ac:dyDescent="0.35">
      <c r="C196" s="2550" t="s">
        <v>4633</v>
      </c>
      <c r="D196" s="2549" t="str">
        <f>NIC2_v</f>
        <v>FALSE</v>
      </c>
    </row>
    <row r="198" spans="3:4" x14ac:dyDescent="0.35">
      <c r="C198" s="7" t="str">
        <f>IF(not_to_be_coded,"Not used",D198)</f>
        <v>On or before 31 October 2018</v>
      </c>
      <c r="D198" s="7" t="str">
        <f>"On or before 31 October "&amp;Tax_year_end</f>
        <v>On or before 31 October 2018</v>
      </c>
    </row>
    <row r="199" spans="3:4" x14ac:dyDescent="0.35">
      <c r="C199" s="7" t="str">
        <f>IF(not_to_be_coded,"",D199)</f>
        <v>After 31 October 2018</v>
      </c>
      <c r="D199" s="7" t="str">
        <f>"After 31 October "&amp;Tax_year_end</f>
        <v>After 31 October 2018</v>
      </c>
    </row>
  </sheetData>
  <dataConsolidate/>
  <mergeCells count="1">
    <mergeCell ref="E1:G1"/>
  </mergeCells>
  <phoneticPr fontId="68" type="noConversion"/>
  <pageMargins left="0.196850393700787" right="0.196850393700787" top="0.196850393700787" bottom="0.196850393700787"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Recheck_Calc_figure">
                <anchor moveWithCells="1" sizeWithCells="1">
                  <from>
                    <xdr:col>5</xdr:col>
                    <xdr:colOff>152400</xdr:colOff>
                    <xdr:row>55</xdr:row>
                    <xdr:rowOff>47625</xdr:rowOff>
                  </from>
                  <to>
                    <xdr:col>7</xdr:col>
                    <xdr:colOff>285750</xdr:colOff>
                    <xdr:row>58</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XFB776"/>
  <sheetViews>
    <sheetView showGridLines="0" workbookViewId="0">
      <pane ySplit="1" topLeftCell="A765" activePane="bottomLeft" state="frozen"/>
      <selection pane="bottomLeft" activeCell="A775" sqref="A775:XFD775"/>
    </sheetView>
  </sheetViews>
  <sheetFormatPr defaultRowHeight="13.15" x14ac:dyDescent="0.35"/>
  <cols>
    <col min="1" max="1" width="53.1328125" style="2500" customWidth="1"/>
    <col min="2" max="2" width="32.73046875" style="3288" bestFit="1" customWidth="1"/>
    <col min="3" max="3" width="94.59765625" style="1704" customWidth="1"/>
    <col min="4" max="4" width="50.73046875" style="1704" customWidth="1"/>
  </cols>
  <sheetData>
    <row r="1" spans="1:4" x14ac:dyDescent="0.4">
      <c r="A1" s="1502" t="s">
        <v>15</v>
      </c>
      <c r="B1" s="1502" t="s">
        <v>5666</v>
      </c>
      <c r="C1" s="1701" t="s">
        <v>5668</v>
      </c>
      <c r="D1" s="1702" t="s">
        <v>5020</v>
      </c>
    </row>
    <row r="2" spans="1:4" x14ac:dyDescent="0.35">
      <c r="A2" s="2629" t="s">
        <v>4328</v>
      </c>
      <c r="B2" s="3255">
        <v>42758</v>
      </c>
      <c r="D2" s="2630"/>
    </row>
    <row r="3" spans="1:4" s="7" customFormat="1" x14ac:dyDescent="0.35">
      <c r="A3" s="2642" t="s">
        <v>6871</v>
      </c>
      <c r="B3" s="3256" t="s">
        <v>6872</v>
      </c>
      <c r="C3" s="2632" t="s">
        <v>6854</v>
      </c>
      <c r="D3" s="2631"/>
    </row>
    <row r="4" spans="1:4" s="7" customFormat="1" x14ac:dyDescent="0.35">
      <c r="A4" s="2643"/>
      <c r="B4" s="3256" t="s">
        <v>6872</v>
      </c>
      <c r="C4" s="2632" t="s">
        <v>6873</v>
      </c>
      <c r="D4" s="2631"/>
    </row>
    <row r="5" spans="1:4" x14ac:dyDescent="0.35">
      <c r="A5" s="2496" t="s">
        <v>5667</v>
      </c>
      <c r="B5" s="3257" t="s">
        <v>4329</v>
      </c>
      <c r="C5" s="1703"/>
      <c r="D5" s="1703"/>
    </row>
    <row r="6" spans="1:4" s="7" customFormat="1" x14ac:dyDescent="0.35">
      <c r="A6" s="2496" t="s">
        <v>5667</v>
      </c>
      <c r="B6" s="3256" t="s">
        <v>6872</v>
      </c>
      <c r="C6" s="2632" t="s">
        <v>6874</v>
      </c>
      <c r="D6" s="2631"/>
    </row>
    <row r="7" spans="1:4" x14ac:dyDescent="0.35">
      <c r="A7" s="2497" t="s">
        <v>6987</v>
      </c>
      <c r="B7" s="3258" t="s">
        <v>6856</v>
      </c>
      <c r="C7" s="2578" t="s">
        <v>6857</v>
      </c>
      <c r="D7" s="2579"/>
    </row>
    <row r="8" spans="1:4" ht="12.75" x14ac:dyDescent="0.35">
      <c r="A8" s="3855" t="s">
        <v>7090</v>
      </c>
      <c r="B8" s="3259" t="s">
        <v>6856</v>
      </c>
      <c r="C8" s="2578" t="s">
        <v>6864</v>
      </c>
      <c r="D8" s="2579"/>
    </row>
    <row r="9" spans="1:4" ht="12.75" x14ac:dyDescent="0.35">
      <c r="A9" s="3855"/>
      <c r="B9" s="3259" t="s">
        <v>6856</v>
      </c>
      <c r="C9" s="2578" t="s">
        <v>6863</v>
      </c>
      <c r="D9" s="2578" t="s">
        <v>6868</v>
      </c>
    </row>
    <row r="10" spans="1:4" ht="25.5" x14ac:dyDescent="0.35">
      <c r="A10" s="3855"/>
      <c r="B10" s="3259" t="s">
        <v>6856</v>
      </c>
      <c r="C10" s="2578" t="s">
        <v>6862</v>
      </c>
      <c r="D10" s="2578" t="s">
        <v>6870</v>
      </c>
    </row>
    <row r="11" spans="1:4" ht="12.75" x14ac:dyDescent="0.35">
      <c r="A11" s="3855"/>
      <c r="B11" s="3259" t="s">
        <v>6856</v>
      </c>
      <c r="C11" s="2578" t="s">
        <v>6867</v>
      </c>
      <c r="D11" s="2578" t="s">
        <v>6869</v>
      </c>
    </row>
    <row r="12" spans="1:4" ht="25.5" x14ac:dyDescent="0.35">
      <c r="A12" s="3855"/>
      <c r="B12" s="3259" t="s">
        <v>6893</v>
      </c>
      <c r="C12" s="2634" t="s">
        <v>6967</v>
      </c>
      <c r="D12" s="2634"/>
    </row>
    <row r="13" spans="1:4" ht="25.5" x14ac:dyDescent="0.35">
      <c r="A13" s="3855"/>
      <c r="B13" s="3259" t="s">
        <v>6893</v>
      </c>
      <c r="C13" s="2868" t="s">
        <v>7119</v>
      </c>
      <c r="D13" s="2634" t="s">
        <v>6912</v>
      </c>
    </row>
    <row r="14" spans="1:4" ht="25.5" x14ac:dyDescent="0.35">
      <c r="A14" s="3855"/>
      <c r="B14" s="3259" t="s">
        <v>6893</v>
      </c>
      <c r="C14" s="2634" t="s">
        <v>6968</v>
      </c>
      <c r="D14" s="2634" t="s">
        <v>6913</v>
      </c>
    </row>
    <row r="15" spans="1:4" ht="12.75" x14ac:dyDescent="0.35">
      <c r="A15" s="3855"/>
      <c r="B15" s="3258" t="s">
        <v>6894</v>
      </c>
      <c r="C15" s="2578" t="s">
        <v>6923</v>
      </c>
      <c r="D15" s="2579"/>
    </row>
    <row r="16" spans="1:4" ht="25.5" x14ac:dyDescent="0.35">
      <c r="A16" s="3855"/>
      <c r="B16" s="3258" t="s">
        <v>6894</v>
      </c>
      <c r="C16" s="2578" t="s">
        <v>6925</v>
      </c>
      <c r="D16" s="2579"/>
    </row>
    <row r="17" spans="1:4" ht="25.5" x14ac:dyDescent="0.35">
      <c r="A17" s="3855"/>
      <c r="B17" s="3258" t="s">
        <v>6894</v>
      </c>
      <c r="C17" s="2578" t="s">
        <v>6926</v>
      </c>
      <c r="D17" s="2579"/>
    </row>
    <row r="18" spans="1:4" ht="25.5" x14ac:dyDescent="0.35">
      <c r="A18" s="3855"/>
      <c r="B18" s="3258" t="s">
        <v>6894</v>
      </c>
      <c r="C18" s="2578" t="s">
        <v>6927</v>
      </c>
      <c r="D18" s="2579"/>
    </row>
    <row r="19" spans="1:4" ht="25.5" x14ac:dyDescent="0.35">
      <c r="A19" s="3855"/>
      <c r="B19" s="3258" t="s">
        <v>6894</v>
      </c>
      <c r="C19" s="2578" t="s">
        <v>6928</v>
      </c>
      <c r="D19" s="2579"/>
    </row>
    <row r="20" spans="1:4" ht="25.5" x14ac:dyDescent="0.35">
      <c r="A20" s="3855"/>
      <c r="B20" s="3258" t="s">
        <v>6895</v>
      </c>
      <c r="C20" s="2578" t="s">
        <v>6929</v>
      </c>
      <c r="D20" s="2579"/>
    </row>
    <row r="21" spans="1:4" ht="12.75" x14ac:dyDescent="0.35">
      <c r="A21" s="3855"/>
      <c r="B21" s="3258" t="s">
        <v>6895</v>
      </c>
      <c r="C21" s="2578" t="s">
        <v>6924</v>
      </c>
      <c r="D21" s="2579"/>
    </row>
    <row r="22" spans="1:4" s="21" customFormat="1" ht="12.75" x14ac:dyDescent="0.35">
      <c r="A22" s="3855"/>
      <c r="B22" s="3258" t="s">
        <v>6896</v>
      </c>
      <c r="C22" s="2578" t="s">
        <v>6933</v>
      </c>
      <c r="D22" s="2580"/>
    </row>
    <row r="23" spans="1:4" s="21" customFormat="1" ht="25.5" x14ac:dyDescent="0.35">
      <c r="A23" s="3855"/>
      <c r="B23" s="3258" t="s">
        <v>6896</v>
      </c>
      <c r="C23" s="2578" t="s">
        <v>6931</v>
      </c>
      <c r="D23" s="2580"/>
    </row>
    <row r="24" spans="1:4" ht="12.75" x14ac:dyDescent="0.35">
      <c r="A24" s="3856"/>
      <c r="B24" s="3258" t="s">
        <v>6897</v>
      </c>
      <c r="C24" s="2578" t="s">
        <v>6930</v>
      </c>
      <c r="D24" s="2579"/>
    </row>
    <row r="25" spans="1:4" ht="25.5" x14ac:dyDescent="0.35">
      <c r="A25" s="2499"/>
      <c r="B25" s="3258" t="s">
        <v>6897</v>
      </c>
      <c r="C25" s="2578" t="s">
        <v>6932</v>
      </c>
      <c r="D25" s="2579"/>
    </row>
    <row r="26" spans="1:4" ht="63.75" x14ac:dyDescent="0.35">
      <c r="A26" s="2633" t="s">
        <v>6875</v>
      </c>
      <c r="B26" s="3260" t="s">
        <v>6879</v>
      </c>
      <c r="C26" s="2634" t="s">
        <v>7055</v>
      </c>
      <c r="D26" s="2634" t="s">
        <v>7056</v>
      </c>
    </row>
    <row r="27" spans="1:4" x14ac:dyDescent="0.35">
      <c r="A27" s="2667" t="s">
        <v>6876</v>
      </c>
      <c r="B27" s="2636" t="s">
        <v>6877</v>
      </c>
      <c r="C27" s="2636" t="s">
        <v>6878</v>
      </c>
      <c r="D27" s="2634" t="s">
        <v>7057</v>
      </c>
    </row>
    <row r="28" spans="1:4" ht="38.25" x14ac:dyDescent="0.35">
      <c r="A28" s="2667" t="s">
        <v>6881</v>
      </c>
      <c r="B28" s="2636" t="s">
        <v>6882</v>
      </c>
      <c r="C28" s="2636" t="s">
        <v>6886</v>
      </c>
      <c r="D28" s="2644" t="s">
        <v>6885</v>
      </c>
    </row>
    <row r="29" spans="1:4" x14ac:dyDescent="0.35">
      <c r="A29" s="2667" t="s">
        <v>6881</v>
      </c>
      <c r="B29" s="2636" t="s">
        <v>6883</v>
      </c>
      <c r="C29" s="2636" t="s">
        <v>6884</v>
      </c>
      <c r="D29" s="2634"/>
    </row>
    <row r="30" spans="1:4" x14ac:dyDescent="0.35">
      <c r="A30" s="2738" t="s">
        <v>6935</v>
      </c>
      <c r="B30" s="3260" t="s">
        <v>6891</v>
      </c>
      <c r="C30" s="2634" t="s">
        <v>6934</v>
      </c>
      <c r="D30" s="2634" t="s">
        <v>6990</v>
      </c>
    </row>
    <row r="31" spans="1:4" x14ac:dyDescent="0.35">
      <c r="A31" s="2498"/>
      <c r="B31" s="3260" t="s">
        <v>6883</v>
      </c>
      <c r="C31" s="2634" t="s">
        <v>6892</v>
      </c>
      <c r="D31" s="2634"/>
    </row>
    <row r="32" spans="1:4" x14ac:dyDescent="0.35">
      <c r="A32" s="2498"/>
      <c r="B32" s="3260" t="s">
        <v>6898</v>
      </c>
      <c r="C32" s="2634" t="s">
        <v>6899</v>
      </c>
      <c r="D32" s="2634"/>
    </row>
    <row r="33" spans="1:4" x14ac:dyDescent="0.35">
      <c r="A33" s="2498"/>
      <c r="B33" s="3260" t="s">
        <v>6900</v>
      </c>
      <c r="C33" s="2634" t="s">
        <v>6899</v>
      </c>
      <c r="D33" s="2634"/>
    </row>
    <row r="34" spans="1:4" x14ac:dyDescent="0.35">
      <c r="A34" s="2499"/>
      <c r="B34" s="3260" t="s">
        <v>6901</v>
      </c>
      <c r="C34" s="2634" t="s">
        <v>6899</v>
      </c>
      <c r="D34" s="2634"/>
    </row>
    <row r="35" spans="1:4" x14ac:dyDescent="0.35">
      <c r="A35" s="2629" t="s">
        <v>6936</v>
      </c>
      <c r="B35" s="3255">
        <v>42758</v>
      </c>
      <c r="C35" s="2739"/>
      <c r="D35" s="2630"/>
    </row>
    <row r="36" spans="1:4" x14ac:dyDescent="0.35">
      <c r="A36" s="2497" t="s">
        <v>6937</v>
      </c>
      <c r="B36" s="3259" t="s">
        <v>6979</v>
      </c>
      <c r="C36" s="2578" t="s">
        <v>6981</v>
      </c>
      <c r="D36" s="2578" t="s">
        <v>6980</v>
      </c>
    </row>
    <row r="37" spans="1:4" x14ac:dyDescent="0.35">
      <c r="A37" s="2498"/>
      <c r="B37" s="3258" t="s">
        <v>6939</v>
      </c>
      <c r="C37" s="2578" t="s">
        <v>6978</v>
      </c>
      <c r="D37" s="2579"/>
    </row>
    <row r="38" spans="1:4" x14ac:dyDescent="0.35">
      <c r="A38" s="2498"/>
      <c r="B38" s="3258" t="s">
        <v>6939</v>
      </c>
      <c r="C38" s="2578" t="s">
        <v>6988</v>
      </c>
      <c r="D38" s="2578"/>
    </row>
    <row r="39" spans="1:4" x14ac:dyDescent="0.35">
      <c r="A39" s="2498"/>
      <c r="B39" s="3259" t="s">
        <v>3566</v>
      </c>
      <c r="C39" s="2634" t="s">
        <v>6997</v>
      </c>
      <c r="D39" s="2578" t="s">
        <v>7021</v>
      </c>
    </row>
    <row r="40" spans="1:4" x14ac:dyDescent="0.35">
      <c r="A40" s="2498"/>
      <c r="B40" s="3259" t="s">
        <v>3567</v>
      </c>
      <c r="C40" s="2578" t="s">
        <v>6998</v>
      </c>
      <c r="D40" s="2578" t="s">
        <v>7021</v>
      </c>
    </row>
    <row r="41" spans="1:4" x14ac:dyDescent="0.35">
      <c r="A41" s="2498"/>
      <c r="B41" s="3259" t="s">
        <v>830</v>
      </c>
      <c r="C41" s="2578" t="s">
        <v>7020</v>
      </c>
      <c r="D41" s="2578" t="s">
        <v>7021</v>
      </c>
    </row>
    <row r="42" spans="1:4" x14ac:dyDescent="0.35">
      <c r="A42" s="2498"/>
      <c r="B42" s="3259" t="s">
        <v>3568</v>
      </c>
      <c r="C42" s="2578" t="s">
        <v>7041</v>
      </c>
      <c r="D42" s="2578" t="s">
        <v>7021</v>
      </c>
    </row>
    <row r="43" spans="1:4" x14ac:dyDescent="0.35">
      <c r="A43" s="2498"/>
      <c r="B43" s="3259" t="s">
        <v>6996</v>
      </c>
      <c r="C43" s="2634" t="s">
        <v>6997</v>
      </c>
      <c r="D43" s="2578" t="s">
        <v>7021</v>
      </c>
    </row>
    <row r="44" spans="1:4" x14ac:dyDescent="0.35">
      <c r="A44" s="2498"/>
      <c r="B44" s="3259" t="s">
        <v>6996</v>
      </c>
      <c r="C44" s="2578" t="s">
        <v>7030</v>
      </c>
      <c r="D44" s="2578" t="s">
        <v>7021</v>
      </c>
    </row>
    <row r="45" spans="1:4" x14ac:dyDescent="0.35">
      <c r="A45" s="2498"/>
      <c r="B45" s="3258" t="s">
        <v>6996</v>
      </c>
      <c r="C45" s="2578" t="s">
        <v>7029</v>
      </c>
      <c r="D45" s="2578" t="s">
        <v>7021</v>
      </c>
    </row>
    <row r="46" spans="1:4" x14ac:dyDescent="0.35">
      <c r="A46" s="2498"/>
      <c r="B46" s="3258" t="s">
        <v>6996</v>
      </c>
      <c r="C46" s="2578" t="s">
        <v>7041</v>
      </c>
      <c r="D46" s="2578" t="s">
        <v>7021</v>
      </c>
    </row>
    <row r="47" spans="1:4" x14ac:dyDescent="0.35">
      <c r="A47" s="2498"/>
      <c r="B47" s="3258" t="s">
        <v>7001</v>
      </c>
      <c r="C47" s="2578" t="s">
        <v>6997</v>
      </c>
      <c r="D47" s="2578" t="s">
        <v>7021</v>
      </c>
    </row>
    <row r="48" spans="1:4" x14ac:dyDescent="0.35">
      <c r="A48" s="2498"/>
      <c r="B48" s="3258" t="s">
        <v>7000</v>
      </c>
      <c r="C48" s="2578" t="s">
        <v>7032</v>
      </c>
      <c r="D48" s="2578" t="s">
        <v>7021</v>
      </c>
    </row>
    <row r="49" spans="1:4" x14ac:dyDescent="0.35">
      <c r="A49" s="2498"/>
      <c r="B49" s="3258" t="s">
        <v>7002</v>
      </c>
      <c r="C49" s="2578" t="s">
        <v>7018</v>
      </c>
      <c r="D49" s="2578" t="s">
        <v>7021</v>
      </c>
    </row>
    <row r="50" spans="1:4" x14ac:dyDescent="0.35">
      <c r="A50" s="2498"/>
      <c r="B50" s="3258" t="s">
        <v>7003</v>
      </c>
      <c r="C50" s="2578" t="s">
        <v>7041</v>
      </c>
      <c r="D50" s="2578" t="s">
        <v>7021</v>
      </c>
    </row>
    <row r="51" spans="1:4" x14ac:dyDescent="0.35">
      <c r="A51" s="2498"/>
      <c r="B51" s="3258" t="s">
        <v>6900</v>
      </c>
      <c r="C51" s="2578" t="s">
        <v>7009</v>
      </c>
      <c r="D51" s="2578"/>
    </row>
    <row r="52" spans="1:4" x14ac:dyDescent="0.35">
      <c r="A52" s="2498"/>
      <c r="B52" s="3258" t="s">
        <v>6970</v>
      </c>
      <c r="C52" s="2578" t="s">
        <v>7009</v>
      </c>
      <c r="D52" s="2580"/>
    </row>
    <row r="53" spans="1:4" x14ac:dyDescent="0.35">
      <c r="A53" s="2498"/>
      <c r="B53" s="3258" t="s">
        <v>6898</v>
      </c>
      <c r="C53" s="2578" t="s">
        <v>7010</v>
      </c>
      <c r="D53" s="2579"/>
    </row>
    <row r="54" spans="1:4" ht="25.5" x14ac:dyDescent="0.35">
      <c r="A54" s="2738" t="s">
        <v>6972</v>
      </c>
      <c r="B54" s="3261" t="s">
        <v>6969</v>
      </c>
      <c r="C54" s="2634" t="s">
        <v>6975</v>
      </c>
      <c r="D54" s="2634" t="s">
        <v>6974</v>
      </c>
    </row>
    <row r="55" spans="1:4" ht="25.5" x14ac:dyDescent="0.35">
      <c r="A55" s="2767"/>
      <c r="B55" s="3261" t="s">
        <v>6970</v>
      </c>
      <c r="C55" s="2634" t="s">
        <v>6975</v>
      </c>
      <c r="D55" s="2634" t="s">
        <v>6974</v>
      </c>
    </row>
    <row r="56" spans="1:4" ht="25.5" x14ac:dyDescent="0.35">
      <c r="A56" s="2738"/>
      <c r="B56" s="3261" t="s">
        <v>6969</v>
      </c>
      <c r="C56" s="2634" t="s">
        <v>6971</v>
      </c>
      <c r="D56" s="2634" t="s">
        <v>6973</v>
      </c>
    </row>
    <row r="57" spans="1:4" ht="25.5" x14ac:dyDescent="0.35">
      <c r="A57" s="2767"/>
      <c r="B57" s="3261" t="s">
        <v>6970</v>
      </c>
      <c r="C57" s="2634" t="s">
        <v>6971</v>
      </c>
      <c r="D57" s="2634" t="s">
        <v>6973</v>
      </c>
    </row>
    <row r="58" spans="1:4" ht="25.5" x14ac:dyDescent="0.35">
      <c r="A58" s="2767"/>
      <c r="B58" s="3261" t="s">
        <v>6970</v>
      </c>
      <c r="C58" s="2634" t="s">
        <v>6977</v>
      </c>
      <c r="D58" s="2634"/>
    </row>
    <row r="59" spans="1:4" ht="25.5" x14ac:dyDescent="0.35">
      <c r="A59" s="2767" t="s">
        <v>6972</v>
      </c>
      <c r="B59" s="3261" t="s">
        <v>4160</v>
      </c>
      <c r="C59" s="2634" t="s">
        <v>6994</v>
      </c>
      <c r="D59" s="2634"/>
    </row>
    <row r="60" spans="1:4" x14ac:dyDescent="0.35">
      <c r="A60" s="2629" t="s">
        <v>7019</v>
      </c>
      <c r="B60" s="3255">
        <v>42811</v>
      </c>
      <c r="C60" s="2773"/>
      <c r="D60" s="2630"/>
    </row>
    <row r="61" spans="1:4" ht="38.25" x14ac:dyDescent="0.35">
      <c r="A61" s="2738" t="s">
        <v>7024</v>
      </c>
      <c r="B61" s="3262" t="s">
        <v>6894</v>
      </c>
      <c r="C61" s="2634" t="s">
        <v>7037</v>
      </c>
      <c r="D61" s="2798" t="s">
        <v>7099</v>
      </c>
    </row>
    <row r="62" spans="1:4" ht="38.25" x14ac:dyDescent="0.35">
      <c r="A62" s="2498"/>
      <c r="B62" s="3262" t="s">
        <v>6894</v>
      </c>
      <c r="C62" s="2812" t="s">
        <v>7038</v>
      </c>
      <c r="D62" s="2813"/>
    </row>
    <row r="63" spans="1:4" ht="38.25" x14ac:dyDescent="0.35">
      <c r="A63" s="2498"/>
      <c r="B63" s="3262" t="s">
        <v>6894</v>
      </c>
      <c r="C63" s="2812" t="s">
        <v>7043</v>
      </c>
      <c r="D63" s="2812" t="s">
        <v>7072</v>
      </c>
    </row>
    <row r="64" spans="1:4" ht="38.25" x14ac:dyDescent="0.35">
      <c r="A64" s="2498"/>
      <c r="B64" s="3262" t="s">
        <v>6894</v>
      </c>
      <c r="C64" s="2634" t="s">
        <v>7044</v>
      </c>
      <c r="D64" s="2634" t="s">
        <v>7045</v>
      </c>
    </row>
    <row r="65" spans="1:4" x14ac:dyDescent="0.35">
      <c r="A65" s="2738" t="s">
        <v>6937</v>
      </c>
      <c r="B65" s="3263" t="s">
        <v>7001</v>
      </c>
      <c r="C65" s="2798" t="s">
        <v>7022</v>
      </c>
      <c r="D65" s="2798" t="s">
        <v>7023</v>
      </c>
    </row>
    <row r="66" spans="1:4" x14ac:dyDescent="0.35">
      <c r="A66" s="2498"/>
      <c r="B66" s="3263" t="s">
        <v>7000</v>
      </c>
      <c r="C66" s="2798" t="s">
        <v>7033</v>
      </c>
      <c r="D66" s="2798" t="s">
        <v>7023</v>
      </c>
    </row>
    <row r="67" spans="1:4" x14ac:dyDescent="0.35">
      <c r="A67" s="2498"/>
      <c r="B67" s="3263" t="s">
        <v>7002</v>
      </c>
      <c r="C67" s="2797" t="s">
        <v>7034</v>
      </c>
      <c r="D67" s="2798" t="s">
        <v>7023</v>
      </c>
    </row>
    <row r="68" spans="1:4" x14ac:dyDescent="0.35">
      <c r="A68" s="2498"/>
      <c r="B68" s="3264" t="s">
        <v>7003</v>
      </c>
      <c r="C68" s="2797" t="s">
        <v>7031</v>
      </c>
      <c r="D68" s="2798" t="s">
        <v>7023</v>
      </c>
    </row>
    <row r="69" spans="1:4" x14ac:dyDescent="0.35">
      <c r="A69" s="2498"/>
      <c r="B69" s="3265" t="s">
        <v>7039</v>
      </c>
      <c r="C69" s="2813" t="s">
        <v>7040</v>
      </c>
      <c r="D69" s="2798" t="s">
        <v>7023</v>
      </c>
    </row>
    <row r="70" spans="1:4" s="2807" customFormat="1" x14ac:dyDescent="0.35">
      <c r="A70" s="2808"/>
      <c r="B70" s="3265" t="s">
        <v>6939</v>
      </c>
      <c r="C70" s="2797" t="s">
        <v>7035</v>
      </c>
      <c r="D70" s="2798" t="s">
        <v>7036</v>
      </c>
    </row>
    <row r="71" spans="1:4" ht="25.5" x14ac:dyDescent="0.35">
      <c r="A71" s="2633" t="s">
        <v>6972</v>
      </c>
      <c r="B71" s="3266"/>
      <c r="C71" s="2815"/>
      <c r="D71" s="2798" t="s">
        <v>7042</v>
      </c>
    </row>
    <row r="72" spans="1:4" x14ac:dyDescent="0.4">
      <c r="A72" s="2629" t="s">
        <v>7093</v>
      </c>
      <c r="B72" s="3255">
        <v>42831</v>
      </c>
      <c r="C72" s="2864" t="s">
        <v>7101</v>
      </c>
      <c r="D72" s="2630"/>
    </row>
    <row r="73" spans="1:4" x14ac:dyDescent="0.35">
      <c r="A73" s="2856" t="s">
        <v>7085</v>
      </c>
      <c r="B73" s="3262" t="s">
        <v>6856</v>
      </c>
      <c r="C73" s="2634" t="s">
        <v>7052</v>
      </c>
      <c r="D73" s="2634" t="s">
        <v>7021</v>
      </c>
    </row>
    <row r="74" spans="1:4" x14ac:dyDescent="0.35">
      <c r="A74" s="2498"/>
      <c r="B74" s="3267" t="s">
        <v>7053</v>
      </c>
      <c r="C74" s="2812" t="s">
        <v>7054</v>
      </c>
      <c r="D74" s="2634" t="s">
        <v>7021</v>
      </c>
    </row>
    <row r="75" spans="1:4" x14ac:dyDescent="0.35">
      <c r="A75" s="2857"/>
      <c r="B75" s="3266"/>
      <c r="C75" s="2798" t="s">
        <v>7046</v>
      </c>
      <c r="D75" s="2798" t="s">
        <v>7036</v>
      </c>
    </row>
    <row r="76" spans="1:4" x14ac:dyDescent="0.35">
      <c r="A76" s="2856" t="s">
        <v>7086</v>
      </c>
      <c r="B76" s="3268" t="s">
        <v>6893</v>
      </c>
      <c r="C76" s="2858" t="s">
        <v>7087</v>
      </c>
      <c r="D76" s="2858"/>
    </row>
    <row r="77" spans="1:4" ht="25.5" x14ac:dyDescent="0.35">
      <c r="A77" s="2862" t="s">
        <v>7088</v>
      </c>
      <c r="B77" s="3268" t="s">
        <v>6893</v>
      </c>
      <c r="C77" s="2858" t="s">
        <v>7091</v>
      </c>
      <c r="D77" s="2858"/>
    </row>
    <row r="78" spans="1:4" ht="25.5" x14ac:dyDescent="0.35">
      <c r="A78" s="2863" t="s">
        <v>7094</v>
      </c>
      <c r="B78" s="3268" t="s">
        <v>6879</v>
      </c>
      <c r="C78" s="2858" t="s">
        <v>7096</v>
      </c>
      <c r="D78" s="2858" t="s">
        <v>7095</v>
      </c>
    </row>
    <row r="79" spans="1:4" ht="25.5" x14ac:dyDescent="0.35">
      <c r="A79" s="2863" t="s">
        <v>7100</v>
      </c>
      <c r="B79" s="3268" t="s">
        <v>6879</v>
      </c>
      <c r="C79" s="2858" t="s">
        <v>7098</v>
      </c>
      <c r="D79" s="2858" t="s">
        <v>7097</v>
      </c>
    </row>
    <row r="80" spans="1:4" ht="25.5" x14ac:dyDescent="0.35">
      <c r="A80" s="2869" t="s">
        <v>6987</v>
      </c>
      <c r="B80" s="3269" t="s">
        <v>6893</v>
      </c>
      <c r="C80" s="2868" t="s">
        <v>7120</v>
      </c>
      <c r="D80" s="2870"/>
    </row>
    <row r="81" spans="1:4" x14ac:dyDescent="0.4">
      <c r="A81" s="2629" t="s">
        <v>7121</v>
      </c>
      <c r="B81" s="3255">
        <v>42853</v>
      </c>
      <c r="C81" s="2864" t="s">
        <v>7179</v>
      </c>
      <c r="D81" s="2630"/>
    </row>
    <row r="82" spans="1:4" ht="25.5" x14ac:dyDescent="0.35">
      <c r="A82" s="2871" t="s">
        <v>7122</v>
      </c>
      <c r="B82" s="3269" t="s">
        <v>6894</v>
      </c>
      <c r="C82" s="2872" t="s">
        <v>7139</v>
      </c>
      <c r="D82" s="2871"/>
    </row>
    <row r="83" spans="1:4" ht="25.5" x14ac:dyDescent="0.35">
      <c r="A83" s="2862"/>
      <c r="B83" s="3269" t="s">
        <v>6894</v>
      </c>
      <c r="C83" s="2872" t="s">
        <v>7131</v>
      </c>
      <c r="D83" s="2862"/>
    </row>
    <row r="84" spans="1:4" ht="25.5" customHeight="1" x14ac:dyDescent="0.35">
      <c r="A84" s="2875"/>
      <c r="B84" s="3269" t="s">
        <v>6894</v>
      </c>
      <c r="C84" s="2872" t="s">
        <v>7137</v>
      </c>
      <c r="D84" s="3857" t="s">
        <v>7123</v>
      </c>
    </row>
    <row r="85" spans="1:4" ht="12.75" x14ac:dyDescent="0.35">
      <c r="A85" s="2875"/>
      <c r="B85" s="3269" t="s">
        <v>6894</v>
      </c>
      <c r="C85" s="2872" t="s">
        <v>7138</v>
      </c>
      <c r="D85" s="3858"/>
    </row>
    <row r="86" spans="1:4" ht="25.5" customHeight="1" x14ac:dyDescent="0.35">
      <c r="A86" s="2875"/>
      <c r="B86" s="3269" t="s">
        <v>6894</v>
      </c>
      <c r="C86" s="2872" t="s">
        <v>7135</v>
      </c>
      <c r="D86" s="3857" t="s">
        <v>7124</v>
      </c>
    </row>
    <row r="87" spans="1:4" ht="25.5" x14ac:dyDescent="0.35">
      <c r="A87" s="2875"/>
      <c r="B87" s="3269" t="s">
        <v>6894</v>
      </c>
      <c r="C87" s="2872" t="s">
        <v>7136</v>
      </c>
      <c r="D87" s="3858"/>
    </row>
    <row r="88" spans="1:4" ht="25.5" x14ac:dyDescent="0.35">
      <c r="A88" s="2875"/>
      <c r="B88" s="3269" t="s">
        <v>6895</v>
      </c>
      <c r="C88" s="2872" t="s">
        <v>7125</v>
      </c>
      <c r="D88" s="2876" t="s">
        <v>7126</v>
      </c>
    </row>
    <row r="89" spans="1:4" ht="12.75" x14ac:dyDescent="0.35">
      <c r="A89" s="2875"/>
      <c r="B89" s="3269" t="s">
        <v>6895</v>
      </c>
      <c r="C89" s="2872" t="s">
        <v>7159</v>
      </c>
      <c r="D89" s="2876"/>
    </row>
    <row r="90" spans="1:4" ht="12.75" x14ac:dyDescent="0.35">
      <c r="A90" s="2875"/>
      <c r="B90" s="3269" t="s">
        <v>6895</v>
      </c>
      <c r="C90" s="2872" t="s">
        <v>7127</v>
      </c>
      <c r="D90" s="2876"/>
    </row>
    <row r="91" spans="1:4" ht="25.5" x14ac:dyDescent="0.35">
      <c r="A91" s="2875"/>
      <c r="B91" s="3269" t="s">
        <v>6895</v>
      </c>
      <c r="C91" s="2872" t="s">
        <v>7128</v>
      </c>
      <c r="D91" s="2876"/>
    </row>
    <row r="92" spans="1:4" ht="12.75" x14ac:dyDescent="0.35">
      <c r="A92" s="2875"/>
      <c r="B92" s="3269" t="s">
        <v>6895</v>
      </c>
      <c r="C92" s="2872" t="s">
        <v>7129</v>
      </c>
      <c r="D92" s="2876"/>
    </row>
    <row r="93" spans="1:4" ht="12.75" x14ac:dyDescent="0.35">
      <c r="A93" s="2875"/>
      <c r="B93" s="3269" t="s">
        <v>6895</v>
      </c>
      <c r="C93" s="2872" t="s">
        <v>7130</v>
      </c>
      <c r="D93" s="2876"/>
    </row>
    <row r="94" spans="1:4" ht="25.5" x14ac:dyDescent="0.35">
      <c r="A94" s="2738" t="s">
        <v>7086</v>
      </c>
      <c r="B94" s="3269" t="s">
        <v>6893</v>
      </c>
      <c r="C94" s="2872" t="s">
        <v>7140</v>
      </c>
      <c r="D94" s="3859"/>
    </row>
    <row r="95" spans="1:4" x14ac:dyDescent="0.35">
      <c r="A95" s="2498"/>
      <c r="B95" s="3269" t="s">
        <v>6894</v>
      </c>
      <c r="C95" s="2872" t="s">
        <v>7133</v>
      </c>
      <c r="D95" s="3859"/>
    </row>
    <row r="96" spans="1:4" ht="12.75" x14ac:dyDescent="0.35">
      <c r="A96" s="2875"/>
      <c r="B96" s="3269" t="s">
        <v>6894</v>
      </c>
      <c r="C96" s="2872" t="s">
        <v>7134</v>
      </c>
      <c r="D96" s="3859"/>
    </row>
    <row r="97" spans="1:4" ht="12.75" x14ac:dyDescent="0.35">
      <c r="A97" s="2862"/>
      <c r="B97" s="3269" t="s">
        <v>6894</v>
      </c>
      <c r="C97" s="2872" t="s">
        <v>7132</v>
      </c>
      <c r="D97" s="2877"/>
    </row>
    <row r="98" spans="1:4" x14ac:dyDescent="0.4">
      <c r="A98" s="2862"/>
      <c r="B98" s="3270">
        <v>42863</v>
      </c>
      <c r="C98" s="2864" t="s">
        <v>7180</v>
      </c>
      <c r="D98" s="2879"/>
    </row>
    <row r="99" spans="1:4" x14ac:dyDescent="0.35">
      <c r="A99" s="2869" t="s">
        <v>6987</v>
      </c>
      <c r="B99" s="3269" t="s">
        <v>6894</v>
      </c>
      <c r="C99" s="2868" t="s">
        <v>7156</v>
      </c>
      <c r="D99" s="2870"/>
    </row>
    <row r="100" spans="1:4" ht="26.25" x14ac:dyDescent="0.35">
      <c r="A100" s="2738" t="s">
        <v>7122</v>
      </c>
      <c r="B100" s="3269" t="s">
        <v>6894</v>
      </c>
      <c r="C100" s="2872" t="s">
        <v>7157</v>
      </c>
      <c r="D100" s="2880"/>
    </row>
    <row r="101" spans="1:4" ht="25.5" x14ac:dyDescent="0.35">
      <c r="A101" s="2875"/>
      <c r="B101" s="3269" t="s">
        <v>6894</v>
      </c>
      <c r="C101" s="2872" t="s">
        <v>7158</v>
      </c>
      <c r="D101" s="2880"/>
    </row>
    <row r="102" spans="1:4" ht="12.75" x14ac:dyDescent="0.35">
      <c r="A102" s="2875"/>
      <c r="B102" s="3269" t="s">
        <v>6895</v>
      </c>
      <c r="C102" s="2872" t="s">
        <v>7142</v>
      </c>
      <c r="D102" s="2880"/>
    </row>
    <row r="103" spans="1:4" ht="12.75" x14ac:dyDescent="0.35">
      <c r="A103" s="2875"/>
      <c r="B103" s="3269" t="s">
        <v>6895</v>
      </c>
      <c r="C103" s="2872" t="s">
        <v>7143</v>
      </c>
      <c r="D103" s="2880"/>
    </row>
    <row r="104" spans="1:4" ht="12.75" x14ac:dyDescent="0.35">
      <c r="A104" s="2875"/>
      <c r="B104" s="3269" t="s">
        <v>6895</v>
      </c>
      <c r="C104" s="2872" t="s">
        <v>7144</v>
      </c>
      <c r="D104" s="2880"/>
    </row>
    <row r="105" spans="1:4" ht="12.75" x14ac:dyDescent="0.35">
      <c r="A105" s="2875"/>
      <c r="B105" s="3269" t="s">
        <v>6895</v>
      </c>
      <c r="C105" s="2872" t="s">
        <v>7145</v>
      </c>
      <c r="D105" s="2880"/>
    </row>
    <row r="106" spans="1:4" ht="12.75" x14ac:dyDescent="0.35">
      <c r="A106" s="2875"/>
      <c r="B106" s="3269" t="s">
        <v>6895</v>
      </c>
      <c r="C106" s="2872" t="s">
        <v>7146</v>
      </c>
      <c r="D106" s="2880"/>
    </row>
    <row r="107" spans="1:4" ht="12.75" x14ac:dyDescent="0.35">
      <c r="A107" s="2875"/>
      <c r="B107" s="3269" t="s">
        <v>6895</v>
      </c>
      <c r="C107" s="2872" t="s">
        <v>7147</v>
      </c>
      <c r="D107" s="2880"/>
    </row>
    <row r="108" spans="1:4" ht="12.75" x14ac:dyDescent="0.35">
      <c r="A108" s="2875"/>
      <c r="B108" s="3269" t="s">
        <v>6895</v>
      </c>
      <c r="C108" s="2872" t="s">
        <v>7148</v>
      </c>
      <c r="D108" s="2880"/>
    </row>
    <row r="109" spans="1:4" ht="12.75" x14ac:dyDescent="0.35">
      <c r="A109" s="2875"/>
      <c r="B109" s="3269" t="s">
        <v>6895</v>
      </c>
      <c r="C109" s="2872" t="s">
        <v>7170</v>
      </c>
      <c r="D109" s="2880"/>
    </row>
    <row r="110" spans="1:4" ht="12.75" x14ac:dyDescent="0.35">
      <c r="A110" s="2875"/>
      <c r="B110" s="3269" t="s">
        <v>6895</v>
      </c>
      <c r="C110" s="2872" t="s">
        <v>7149</v>
      </c>
      <c r="D110" s="2880"/>
    </row>
    <row r="111" spans="1:4" ht="12.75" x14ac:dyDescent="0.35">
      <c r="A111" s="2862"/>
      <c r="B111" s="3269" t="s">
        <v>6895</v>
      </c>
      <c r="C111" s="2872" t="s">
        <v>7150</v>
      </c>
      <c r="D111" s="2880"/>
    </row>
    <row r="112" spans="1:4" x14ac:dyDescent="0.35">
      <c r="A112" s="2869" t="s">
        <v>3072</v>
      </c>
      <c r="B112" s="3269" t="s">
        <v>6856</v>
      </c>
      <c r="C112" s="2868" t="s">
        <v>7154</v>
      </c>
      <c r="D112" s="2870"/>
    </row>
    <row r="113" spans="1:4" x14ac:dyDescent="0.4">
      <c r="B113" s="3270">
        <v>42882</v>
      </c>
      <c r="C113" s="2864" t="s">
        <v>7310</v>
      </c>
    </row>
    <row r="114" spans="1:4" ht="127.5" x14ac:dyDescent="0.35">
      <c r="A114" s="2738" t="s">
        <v>6987</v>
      </c>
      <c r="B114" s="3269" t="s">
        <v>7141</v>
      </c>
      <c r="C114" s="2868" t="s">
        <v>7302</v>
      </c>
      <c r="D114" s="2868" t="s">
        <v>7301</v>
      </c>
    </row>
    <row r="115" spans="1:4" x14ac:dyDescent="0.35">
      <c r="A115" s="2498"/>
      <c r="B115" s="3269" t="s">
        <v>7188</v>
      </c>
      <c r="C115" s="2868" t="s">
        <v>7189</v>
      </c>
      <c r="D115" s="2868" t="s">
        <v>7190</v>
      </c>
    </row>
    <row r="116" spans="1:4" x14ac:dyDescent="0.35">
      <c r="A116" s="2857"/>
      <c r="B116" s="3269" t="s">
        <v>7187</v>
      </c>
      <c r="C116" s="2868" t="s">
        <v>7300</v>
      </c>
      <c r="D116" s="2868"/>
    </row>
    <row r="117" spans="1:4" ht="25.5" x14ac:dyDescent="0.35">
      <c r="A117" s="2738" t="s">
        <v>7100</v>
      </c>
      <c r="B117" s="3269" t="s">
        <v>6879</v>
      </c>
      <c r="C117" s="2868" t="s">
        <v>7098</v>
      </c>
      <c r="D117" s="2868" t="s">
        <v>7097</v>
      </c>
    </row>
    <row r="118" spans="1:4" ht="25.5" x14ac:dyDescent="0.35">
      <c r="A118" s="2857"/>
      <c r="B118" s="3269" t="s">
        <v>6896</v>
      </c>
      <c r="C118" s="2868" t="s">
        <v>7184</v>
      </c>
      <c r="D118" s="2868"/>
    </row>
    <row r="119" spans="1:4" ht="26.25" x14ac:dyDescent="0.35">
      <c r="A119" s="2738" t="s">
        <v>7296</v>
      </c>
      <c r="B119" s="3269" t="s">
        <v>7187</v>
      </c>
      <c r="C119" s="2868" t="s">
        <v>7297</v>
      </c>
      <c r="D119" s="2644" t="s">
        <v>7299</v>
      </c>
    </row>
    <row r="120" spans="1:4" ht="25.5" x14ac:dyDescent="0.35">
      <c r="A120" s="2857"/>
      <c r="B120" s="3269" t="s">
        <v>7187</v>
      </c>
      <c r="C120" s="2868" t="s">
        <v>7298</v>
      </c>
      <c r="D120" s="2903"/>
    </row>
    <row r="121" spans="1:4" x14ac:dyDescent="0.35">
      <c r="A121" s="2883"/>
      <c r="B121" s="3271"/>
      <c r="C121" s="2884"/>
      <c r="D121" s="2885"/>
    </row>
    <row r="122" spans="1:4" x14ac:dyDescent="0.4">
      <c r="A122" s="2883"/>
      <c r="B122" s="3270"/>
      <c r="C122" s="2953" t="s">
        <v>7311</v>
      </c>
      <c r="D122" s="2952"/>
    </row>
    <row r="123" spans="1:4" ht="26.25" x14ac:dyDescent="0.35">
      <c r="A123" s="2869" t="s">
        <v>7330</v>
      </c>
      <c r="B123" s="3272" t="s">
        <v>6895</v>
      </c>
      <c r="C123" s="2868" t="s">
        <v>7331</v>
      </c>
      <c r="D123" s="2870"/>
    </row>
    <row r="124" spans="1:4" x14ac:dyDescent="0.35">
      <c r="A124" s="2869" t="s">
        <v>7329</v>
      </c>
      <c r="B124" s="3269" t="s">
        <v>7039</v>
      </c>
      <c r="C124" s="2872" t="s">
        <v>7454</v>
      </c>
      <c r="D124" s="2960"/>
    </row>
    <row r="125" spans="1:4" x14ac:dyDescent="0.4">
      <c r="A125" s="2629" t="s">
        <v>7540</v>
      </c>
      <c r="B125" s="3270">
        <v>42955</v>
      </c>
      <c r="C125" s="2953" t="s">
        <v>5668</v>
      </c>
      <c r="D125" s="2997"/>
    </row>
    <row r="126" spans="1:4" ht="12.75" x14ac:dyDescent="0.35">
      <c r="A126" s="2998"/>
      <c r="B126" s="3273" t="s">
        <v>6894</v>
      </c>
      <c r="C126" s="2995" t="s">
        <v>7372</v>
      </c>
      <c r="D126" s="3001"/>
    </row>
    <row r="127" spans="1:4" ht="12.75" x14ac:dyDescent="0.35">
      <c r="A127" s="2998"/>
      <c r="B127" s="3273" t="s">
        <v>6894</v>
      </c>
      <c r="C127" s="2995" t="s">
        <v>7373</v>
      </c>
      <c r="D127" s="3001"/>
    </row>
    <row r="128" spans="1:4" ht="12.75" x14ac:dyDescent="0.35">
      <c r="A128" s="2998"/>
      <c r="B128" s="3273" t="s">
        <v>6894</v>
      </c>
      <c r="C128" s="2995" t="s">
        <v>7374</v>
      </c>
      <c r="D128" s="3001"/>
    </row>
    <row r="129" spans="1:4" ht="12.75" x14ac:dyDescent="0.35">
      <c r="A129" s="2998"/>
      <c r="B129" s="3273" t="s">
        <v>6894</v>
      </c>
      <c r="C129" s="2995" t="s">
        <v>7375</v>
      </c>
      <c r="D129" s="3001"/>
    </row>
    <row r="130" spans="1:4" ht="12.75" x14ac:dyDescent="0.35">
      <c r="A130" s="2998"/>
      <c r="B130" s="3273" t="s">
        <v>7141</v>
      </c>
      <c r="C130" s="2995" t="s">
        <v>7376</v>
      </c>
      <c r="D130" s="3001"/>
    </row>
    <row r="131" spans="1:4" ht="12.75" x14ac:dyDescent="0.35">
      <c r="A131" s="2998"/>
      <c r="B131" s="3273" t="s">
        <v>7141</v>
      </c>
      <c r="C131" s="2995" t="s">
        <v>7377</v>
      </c>
      <c r="D131" s="3001"/>
    </row>
    <row r="132" spans="1:4" ht="12.75" x14ac:dyDescent="0.35">
      <c r="A132" s="2998"/>
      <c r="B132" s="3273" t="s">
        <v>7378</v>
      </c>
      <c r="C132" s="2995" t="s">
        <v>7379</v>
      </c>
      <c r="D132" s="3001"/>
    </row>
    <row r="133" spans="1:4" ht="12.75" x14ac:dyDescent="0.35">
      <c r="A133" s="2998"/>
      <c r="B133" s="3273" t="s">
        <v>7378</v>
      </c>
      <c r="C133" s="2995" t="s">
        <v>7380</v>
      </c>
      <c r="D133" s="3001"/>
    </row>
    <row r="134" spans="1:4" ht="12.75" x14ac:dyDescent="0.35">
      <c r="A134" s="2998"/>
      <c r="B134" s="3273" t="s">
        <v>7378</v>
      </c>
      <c r="C134" s="2995" t="s">
        <v>7381</v>
      </c>
      <c r="D134" s="3001"/>
    </row>
    <row r="135" spans="1:4" ht="12.75" x14ac:dyDescent="0.35">
      <c r="A135" s="2998"/>
      <c r="B135" s="3273" t="s">
        <v>7378</v>
      </c>
      <c r="C135" s="2995" t="s">
        <v>7382</v>
      </c>
      <c r="D135" s="3001"/>
    </row>
    <row r="136" spans="1:4" ht="12.75" x14ac:dyDescent="0.35">
      <c r="A136" s="2998"/>
      <c r="B136" s="3273" t="s">
        <v>6882</v>
      </c>
      <c r="C136" s="2995" t="s">
        <v>2116</v>
      </c>
      <c r="D136" s="3001"/>
    </row>
    <row r="137" spans="1:4" ht="12.75" x14ac:dyDescent="0.35">
      <c r="A137" s="2998"/>
      <c r="B137" s="3273" t="s">
        <v>6882</v>
      </c>
      <c r="C137" s="2995" t="s">
        <v>2119</v>
      </c>
      <c r="D137" s="3001"/>
    </row>
    <row r="138" spans="1:4" ht="25.5" x14ac:dyDescent="0.35">
      <c r="A138" s="2998" t="s">
        <v>7122</v>
      </c>
      <c r="B138" s="3273" t="s">
        <v>6894</v>
      </c>
      <c r="C138" s="2995" t="s">
        <v>7383</v>
      </c>
      <c r="D138" s="2996"/>
    </row>
    <row r="139" spans="1:4" x14ac:dyDescent="0.35">
      <c r="B139" s="3273" t="s">
        <v>6894</v>
      </c>
      <c r="C139" s="2995" t="s">
        <v>7384</v>
      </c>
      <c r="D139" s="2999" t="s">
        <v>7385</v>
      </c>
    </row>
    <row r="140" spans="1:4" ht="25.5" x14ac:dyDescent="0.35">
      <c r="A140" s="3000" t="s">
        <v>7100</v>
      </c>
      <c r="B140" s="3273" t="s">
        <v>6879</v>
      </c>
      <c r="C140" s="2999" t="s">
        <v>7098</v>
      </c>
      <c r="D140" s="2999" t="s">
        <v>7097</v>
      </c>
    </row>
    <row r="141" spans="1:4" ht="25.5" x14ac:dyDescent="0.35">
      <c r="A141" s="2857"/>
      <c r="B141" s="3273" t="s">
        <v>6896</v>
      </c>
      <c r="C141" s="2999" t="s">
        <v>7184</v>
      </c>
      <c r="D141" s="2999"/>
    </row>
    <row r="142" spans="1:4" ht="26.25" x14ac:dyDescent="0.35">
      <c r="A142" s="3000" t="s">
        <v>7386</v>
      </c>
      <c r="B142" s="3273" t="s">
        <v>6891</v>
      </c>
      <c r="C142" s="2999" t="s">
        <v>7387</v>
      </c>
      <c r="D142" s="2999" t="s">
        <v>7388</v>
      </c>
    </row>
    <row r="143" spans="1:4" x14ac:dyDescent="0.35">
      <c r="A143" s="2498"/>
      <c r="B143" s="3273" t="s">
        <v>7187</v>
      </c>
      <c r="C143" s="2999" t="s">
        <v>7389</v>
      </c>
      <c r="D143" s="2999"/>
    </row>
    <row r="144" spans="1:4" x14ac:dyDescent="0.35">
      <c r="A144" s="2857"/>
      <c r="B144" s="3273" t="s">
        <v>7187</v>
      </c>
      <c r="C144" s="2999" t="s">
        <v>911</v>
      </c>
      <c r="D144" s="2999"/>
    </row>
    <row r="145" spans="1:4" x14ac:dyDescent="0.35">
      <c r="A145" s="2857" t="s">
        <v>7390</v>
      </c>
      <c r="B145" s="3273" t="s">
        <v>6877</v>
      </c>
      <c r="C145" s="2999" t="s">
        <v>7391</v>
      </c>
      <c r="D145" s="2999" t="s">
        <v>7392</v>
      </c>
    </row>
    <row r="146" spans="1:4" x14ac:dyDescent="0.35">
      <c r="A146" s="2857" t="s">
        <v>7393</v>
      </c>
      <c r="B146" s="3273" t="s">
        <v>7394</v>
      </c>
      <c r="C146" s="2999" t="s">
        <v>7395</v>
      </c>
      <c r="D146" s="2999"/>
    </row>
    <row r="147" spans="1:4" x14ac:dyDescent="0.35">
      <c r="A147" s="2857"/>
      <c r="B147" s="3273" t="s">
        <v>7396</v>
      </c>
      <c r="C147" s="2999" t="s">
        <v>7397</v>
      </c>
      <c r="D147" s="2999"/>
    </row>
    <row r="148" spans="1:4" x14ac:dyDescent="0.35">
      <c r="A148" s="2857"/>
      <c r="B148" s="3273" t="s">
        <v>6882</v>
      </c>
      <c r="C148" s="2999" t="s">
        <v>7398</v>
      </c>
      <c r="D148" s="2999"/>
    </row>
    <row r="149" spans="1:4" x14ac:dyDescent="0.35">
      <c r="A149" s="2857"/>
      <c r="B149" s="3273" t="s">
        <v>7399</v>
      </c>
      <c r="C149" s="2999" t="s">
        <v>7400</v>
      </c>
      <c r="D149" s="2999"/>
    </row>
    <row r="150" spans="1:4" ht="25.5" x14ac:dyDescent="0.35">
      <c r="A150" s="2857" t="s">
        <v>7401</v>
      </c>
      <c r="B150" s="3273" t="s">
        <v>6879</v>
      </c>
      <c r="C150" s="2999" t="s">
        <v>7402</v>
      </c>
      <c r="D150" s="2999" t="s">
        <v>7403</v>
      </c>
    </row>
    <row r="151" spans="1:4" x14ac:dyDescent="0.35">
      <c r="A151" s="3002"/>
      <c r="B151" s="3274" t="s">
        <v>6895</v>
      </c>
      <c r="C151" s="2999" t="s">
        <v>7404</v>
      </c>
      <c r="D151" s="3001"/>
    </row>
    <row r="152" spans="1:4" x14ac:dyDescent="0.35">
      <c r="A152" s="3002"/>
      <c r="B152" s="3274" t="s">
        <v>7405</v>
      </c>
      <c r="C152" s="2999" t="s">
        <v>7406</v>
      </c>
      <c r="D152" s="3001"/>
    </row>
    <row r="153" spans="1:4" ht="25.5" x14ac:dyDescent="0.35">
      <c r="A153" s="3002" t="s">
        <v>7407</v>
      </c>
      <c r="B153" s="3274" t="s">
        <v>6895</v>
      </c>
      <c r="C153" s="2999" t="s">
        <v>7408</v>
      </c>
      <c r="D153" s="3001"/>
    </row>
    <row r="154" spans="1:4" ht="26.25" x14ac:dyDescent="0.35">
      <c r="A154" s="3002" t="s">
        <v>7330</v>
      </c>
      <c r="B154" s="3274" t="s">
        <v>6895</v>
      </c>
      <c r="C154" s="2999" t="s">
        <v>7409</v>
      </c>
      <c r="D154" s="3001"/>
    </row>
    <row r="155" spans="1:4" x14ac:dyDescent="0.35">
      <c r="A155" s="3002" t="s">
        <v>7410</v>
      </c>
      <c r="B155" s="3274" t="s">
        <v>7187</v>
      </c>
      <c r="C155" s="2999" t="s">
        <v>7411</v>
      </c>
      <c r="D155" s="2999" t="s">
        <v>7412</v>
      </c>
    </row>
    <row r="156" spans="1:4" x14ac:dyDescent="0.35">
      <c r="A156" s="3002" t="s">
        <v>7410</v>
      </c>
      <c r="B156" s="3274" t="s">
        <v>6891</v>
      </c>
      <c r="C156" s="2999" t="s">
        <v>7413</v>
      </c>
      <c r="D156" s="2999" t="s">
        <v>7412</v>
      </c>
    </row>
    <row r="157" spans="1:4" x14ac:dyDescent="0.35">
      <c r="A157" s="3002" t="s">
        <v>7410</v>
      </c>
      <c r="B157" s="3274" t="s">
        <v>6891</v>
      </c>
      <c r="C157" s="2999" t="s">
        <v>7414</v>
      </c>
      <c r="D157" s="2999" t="s">
        <v>7412</v>
      </c>
    </row>
    <row r="158" spans="1:4" x14ac:dyDescent="0.35">
      <c r="A158" s="3002" t="s">
        <v>7410</v>
      </c>
      <c r="B158" s="3274" t="s">
        <v>6891</v>
      </c>
      <c r="C158" s="2999" t="s">
        <v>7415</v>
      </c>
      <c r="D158" s="2999" t="s">
        <v>7412</v>
      </c>
    </row>
    <row r="159" spans="1:4" x14ac:dyDescent="0.35">
      <c r="A159" s="3002" t="s">
        <v>7410</v>
      </c>
      <c r="B159" s="3274" t="s">
        <v>6891</v>
      </c>
      <c r="C159" s="2999" t="s">
        <v>7416</v>
      </c>
      <c r="D159" s="2999" t="s">
        <v>7412</v>
      </c>
    </row>
    <row r="160" spans="1:4" x14ac:dyDescent="0.35">
      <c r="A160" s="3002" t="s">
        <v>7410</v>
      </c>
      <c r="B160" s="3274" t="s">
        <v>6891</v>
      </c>
      <c r="C160" s="2999" t="s">
        <v>7417</v>
      </c>
      <c r="D160" s="2999" t="s">
        <v>7412</v>
      </c>
    </row>
    <row r="161" spans="1:4" x14ac:dyDescent="0.35">
      <c r="A161" s="3002" t="s">
        <v>7410</v>
      </c>
      <c r="B161" s="3274" t="s">
        <v>6891</v>
      </c>
      <c r="C161" s="2999" t="s">
        <v>7418</v>
      </c>
      <c r="D161" s="2999" t="s">
        <v>7412</v>
      </c>
    </row>
    <row r="162" spans="1:4" ht="51" x14ac:dyDescent="0.35">
      <c r="A162" s="3002" t="s">
        <v>7122</v>
      </c>
      <c r="B162" s="3274" t="s">
        <v>6894</v>
      </c>
      <c r="C162" s="2999" t="s">
        <v>7419</v>
      </c>
      <c r="D162" s="2999" t="s">
        <v>7420</v>
      </c>
    </row>
    <row r="163" spans="1:4" ht="26.25" x14ac:dyDescent="0.35">
      <c r="A163" s="3000" t="s">
        <v>7122</v>
      </c>
      <c r="B163" s="3003" t="s">
        <v>6894</v>
      </c>
      <c r="C163" s="2999" t="s">
        <v>7421</v>
      </c>
      <c r="D163" s="3003" t="s">
        <v>7422</v>
      </c>
    </row>
    <row r="164" spans="1:4" x14ac:dyDescent="0.35">
      <c r="A164" s="2498"/>
      <c r="B164" s="3006"/>
      <c r="C164" s="2999" t="s">
        <v>7423</v>
      </c>
      <c r="D164" s="3004" t="s">
        <v>7424</v>
      </c>
    </row>
    <row r="165" spans="1:4" x14ac:dyDescent="0.35">
      <c r="A165" s="2498"/>
      <c r="B165" s="3006"/>
      <c r="C165" s="2999" t="s">
        <v>7425</v>
      </c>
      <c r="D165" s="3004"/>
    </row>
    <row r="166" spans="1:4" ht="25.5" x14ac:dyDescent="0.35">
      <c r="A166" s="2498"/>
      <c r="B166" s="3006"/>
      <c r="C166" s="2999" t="s">
        <v>7426</v>
      </c>
      <c r="D166" s="3004"/>
    </row>
    <row r="167" spans="1:4" ht="25.5" x14ac:dyDescent="0.35">
      <c r="A167" s="2498"/>
      <c r="B167" s="3006"/>
      <c r="C167" s="2999" t="s">
        <v>7427</v>
      </c>
      <c r="D167" s="3004"/>
    </row>
    <row r="168" spans="1:4" ht="25.5" x14ac:dyDescent="0.35">
      <c r="A168" s="2857"/>
      <c r="B168" s="3275"/>
      <c r="C168" s="2999" t="s">
        <v>7428</v>
      </c>
      <c r="D168" s="3005"/>
    </row>
    <row r="169" spans="1:4" ht="26.25" x14ac:dyDescent="0.35">
      <c r="A169" s="3000" t="s">
        <v>7122</v>
      </c>
      <c r="B169" s="3003" t="s">
        <v>6894</v>
      </c>
      <c r="C169" s="2999" t="s">
        <v>7429</v>
      </c>
      <c r="D169" s="3003" t="s">
        <v>7430</v>
      </c>
    </row>
    <row r="170" spans="1:4" x14ac:dyDescent="0.35">
      <c r="A170" s="2498"/>
      <c r="B170" s="3006"/>
      <c r="C170" s="2999" t="s">
        <v>7431</v>
      </c>
      <c r="D170" s="3004" t="s">
        <v>7432</v>
      </c>
    </row>
    <row r="171" spans="1:4" x14ac:dyDescent="0.35">
      <c r="A171" s="2857"/>
      <c r="B171" s="3275"/>
      <c r="C171" s="2999" t="s">
        <v>7433</v>
      </c>
      <c r="D171" s="3005"/>
    </row>
    <row r="172" spans="1:4" ht="38.25" x14ac:dyDescent="0.35">
      <c r="A172" s="3002" t="s">
        <v>7434</v>
      </c>
      <c r="B172" s="3274" t="s">
        <v>6894</v>
      </c>
      <c r="C172" s="2999" t="s">
        <v>7435</v>
      </c>
      <c r="D172" s="2999" t="s">
        <v>7436</v>
      </c>
    </row>
    <row r="173" spans="1:4" ht="26.25" x14ac:dyDescent="0.35">
      <c r="A173" s="3000" t="s">
        <v>7122</v>
      </c>
      <c r="B173" s="3003" t="s">
        <v>6894</v>
      </c>
      <c r="C173" s="2999" t="s">
        <v>7437</v>
      </c>
      <c r="D173" s="3003" t="s">
        <v>7438</v>
      </c>
    </row>
    <row r="174" spans="1:4" ht="38.25" x14ac:dyDescent="0.35">
      <c r="A174" s="2498"/>
      <c r="B174" s="3006"/>
      <c r="C174" s="2999" t="s">
        <v>7439</v>
      </c>
      <c r="D174" s="3006" t="s">
        <v>7440</v>
      </c>
    </row>
    <row r="175" spans="1:4" x14ac:dyDescent="0.35">
      <c r="A175" s="2857"/>
      <c r="B175" s="3275"/>
      <c r="C175" s="2999" t="s">
        <v>7441</v>
      </c>
      <c r="D175" s="3005"/>
    </row>
    <row r="176" spans="1:4" ht="26.25" x14ac:dyDescent="0.35">
      <c r="A176" s="3002" t="s">
        <v>7442</v>
      </c>
      <c r="B176" s="3276" t="s">
        <v>6894</v>
      </c>
      <c r="C176" s="3007" t="s">
        <v>7443</v>
      </c>
      <c r="D176" s="3007" t="s">
        <v>7444</v>
      </c>
    </row>
    <row r="177" spans="1:4" ht="26.25" x14ac:dyDescent="0.35">
      <c r="A177" s="3000" t="s">
        <v>7122</v>
      </c>
      <c r="B177" s="3003" t="s">
        <v>6894</v>
      </c>
      <c r="C177" s="2999" t="s">
        <v>7445</v>
      </c>
      <c r="D177" s="3003" t="s">
        <v>7446</v>
      </c>
    </row>
    <row r="178" spans="1:4" x14ac:dyDescent="0.35">
      <c r="A178" s="2498"/>
      <c r="B178" s="3006"/>
      <c r="C178" s="2999" t="s">
        <v>7447</v>
      </c>
      <c r="D178" s="3006"/>
    </row>
    <row r="179" spans="1:4" ht="38.65" x14ac:dyDescent="0.35">
      <c r="A179" s="2857"/>
      <c r="B179" s="3275"/>
      <c r="C179" s="2999" t="s">
        <v>7448</v>
      </c>
      <c r="D179" s="3005"/>
    </row>
    <row r="180" spans="1:4" ht="38.25" x14ac:dyDescent="0.35">
      <c r="A180" s="3002" t="s">
        <v>7449</v>
      </c>
      <c r="B180" s="3276" t="s">
        <v>7039</v>
      </c>
      <c r="C180" s="3007" t="s">
        <v>7450</v>
      </c>
      <c r="D180" s="3007" t="s">
        <v>7451</v>
      </c>
    </row>
    <row r="181" spans="1:4" ht="26.25" x14ac:dyDescent="0.35">
      <c r="A181" s="3002" t="s">
        <v>7442</v>
      </c>
      <c r="B181" s="3276" t="s">
        <v>6894</v>
      </c>
      <c r="C181" s="3007" t="s">
        <v>7452</v>
      </c>
      <c r="D181" s="3007" t="s">
        <v>7453</v>
      </c>
    </row>
    <row r="182" spans="1:4" ht="25.5" x14ac:dyDescent="0.35">
      <c r="A182" s="3008" t="s">
        <v>7442</v>
      </c>
      <c r="B182" s="3277" t="s">
        <v>6894</v>
      </c>
      <c r="C182" s="3007" t="s">
        <v>7483</v>
      </c>
      <c r="D182" s="3009" t="s">
        <v>7484</v>
      </c>
    </row>
    <row r="183" spans="1:4" x14ac:dyDescent="0.35">
      <c r="A183" s="2498"/>
      <c r="B183" s="3278"/>
      <c r="C183" s="3007" t="s">
        <v>7485</v>
      </c>
      <c r="D183" s="3010"/>
    </row>
    <row r="184" spans="1:4" x14ac:dyDescent="0.35">
      <c r="A184" s="2498"/>
      <c r="B184" s="3278"/>
      <c r="C184" s="3007" t="s">
        <v>7486</v>
      </c>
      <c r="D184" s="3010"/>
    </row>
    <row r="185" spans="1:4" ht="25.5" x14ac:dyDescent="0.35">
      <c r="A185" s="2498"/>
      <c r="B185" s="3278"/>
      <c r="C185" s="3007" t="s">
        <v>7487</v>
      </c>
      <c r="D185" s="3010"/>
    </row>
    <row r="186" spans="1:4" ht="25.5" x14ac:dyDescent="0.35">
      <c r="A186" s="2498"/>
      <c r="B186" s="3278"/>
      <c r="C186" s="3007" t="s">
        <v>7488</v>
      </c>
      <c r="D186" s="3010"/>
    </row>
    <row r="187" spans="1:4" x14ac:dyDescent="0.35">
      <c r="A187" s="2498"/>
      <c r="B187" s="3278"/>
      <c r="C187" s="3007" t="s">
        <v>7489</v>
      </c>
      <c r="D187" s="3010"/>
    </row>
    <row r="188" spans="1:4" x14ac:dyDescent="0.35">
      <c r="A188" s="2857"/>
      <c r="B188" s="3279"/>
      <c r="C188" s="3007" t="s">
        <v>7490</v>
      </c>
      <c r="D188" s="3011"/>
    </row>
    <row r="189" spans="1:4" ht="38.25" x14ac:dyDescent="0.35">
      <c r="A189" s="3008" t="s">
        <v>7442</v>
      </c>
      <c r="B189" s="3277" t="s">
        <v>6894</v>
      </c>
      <c r="C189" s="3007" t="s">
        <v>7491</v>
      </c>
      <c r="D189" s="3009" t="s">
        <v>7492</v>
      </c>
    </row>
    <row r="190" spans="1:4" x14ac:dyDescent="0.35">
      <c r="A190" s="2498"/>
      <c r="B190" s="3278"/>
      <c r="C190" s="3007" t="s">
        <v>7493</v>
      </c>
      <c r="D190" s="3010"/>
    </row>
    <row r="191" spans="1:4" x14ac:dyDescent="0.35">
      <c r="A191" s="2498"/>
      <c r="B191" s="3278"/>
      <c r="C191" s="3007" t="s">
        <v>7494</v>
      </c>
      <c r="D191" s="3010"/>
    </row>
    <row r="192" spans="1:4" x14ac:dyDescent="0.35">
      <c r="A192" s="2498"/>
      <c r="B192" s="3278"/>
      <c r="C192" s="3007" t="s">
        <v>7495</v>
      </c>
      <c r="D192" s="3010"/>
    </row>
    <row r="193" spans="1:4" x14ac:dyDescent="0.35">
      <c r="A193" s="2498"/>
      <c r="B193" s="3278"/>
      <c r="C193" s="3007" t="s">
        <v>7496</v>
      </c>
      <c r="D193" s="3010"/>
    </row>
    <row r="194" spans="1:4" x14ac:dyDescent="0.35">
      <c r="A194" s="2498"/>
      <c r="B194" s="3278"/>
      <c r="C194" s="3007" t="s">
        <v>7497</v>
      </c>
      <c r="D194" s="3010"/>
    </row>
    <row r="195" spans="1:4" x14ac:dyDescent="0.35">
      <c r="A195" s="2498"/>
      <c r="B195" s="3278"/>
      <c r="C195" s="3007" t="s">
        <v>7498</v>
      </c>
      <c r="D195" s="3010"/>
    </row>
    <row r="196" spans="1:4" x14ac:dyDescent="0.35">
      <c r="A196" s="2498"/>
      <c r="B196" s="3278"/>
      <c r="C196" s="3007" t="s">
        <v>7499</v>
      </c>
      <c r="D196" s="3010"/>
    </row>
    <row r="197" spans="1:4" x14ac:dyDescent="0.35">
      <c r="A197" s="2498"/>
      <c r="B197" s="3278"/>
      <c r="C197" s="3007" t="s">
        <v>7500</v>
      </c>
      <c r="D197" s="3010"/>
    </row>
    <row r="198" spans="1:4" x14ac:dyDescent="0.35">
      <c r="A198" s="2498"/>
      <c r="B198" s="3278"/>
      <c r="C198" s="3007" t="s">
        <v>7501</v>
      </c>
      <c r="D198" s="3010"/>
    </row>
    <row r="199" spans="1:4" ht="25.5" x14ac:dyDescent="0.35">
      <c r="A199" s="3012"/>
      <c r="B199" s="3013"/>
      <c r="C199" s="3007" t="s">
        <v>7502</v>
      </c>
      <c r="D199" s="3014"/>
    </row>
    <row r="200" spans="1:4" ht="25.5" x14ac:dyDescent="0.35">
      <c r="A200" s="3012"/>
      <c r="B200" s="3013"/>
      <c r="C200" s="3007" t="s">
        <v>7503</v>
      </c>
      <c r="D200" s="1843"/>
    </row>
    <row r="201" spans="1:4" ht="25.5" x14ac:dyDescent="0.35">
      <c r="A201" s="3012"/>
      <c r="B201" s="3013"/>
      <c r="C201" s="3007" t="s">
        <v>7504</v>
      </c>
      <c r="D201" s="3014"/>
    </row>
    <row r="202" spans="1:4" ht="25.5" x14ac:dyDescent="0.35">
      <c r="A202" s="3012"/>
      <c r="B202" s="3013"/>
      <c r="C202" s="3007" t="s">
        <v>7505</v>
      </c>
      <c r="D202" s="3014"/>
    </row>
    <row r="203" spans="1:4" x14ac:dyDescent="0.35">
      <c r="A203" s="3012"/>
      <c r="B203" s="3013"/>
      <c r="C203" s="3007" t="s">
        <v>7506</v>
      </c>
      <c r="D203" s="3014"/>
    </row>
    <row r="204" spans="1:4" x14ac:dyDescent="0.35">
      <c r="A204" s="3012"/>
      <c r="B204" s="3013"/>
      <c r="C204" s="3007" t="s">
        <v>7507</v>
      </c>
      <c r="D204" s="3014"/>
    </row>
    <row r="205" spans="1:4" x14ac:dyDescent="0.35">
      <c r="A205" s="3012"/>
      <c r="B205" s="3013"/>
      <c r="C205" s="3007" t="s">
        <v>7508</v>
      </c>
      <c r="D205" s="3014"/>
    </row>
    <row r="206" spans="1:4" x14ac:dyDescent="0.35">
      <c r="A206" s="3012"/>
      <c r="B206" s="3013"/>
      <c r="C206" s="3007" t="s">
        <v>7509</v>
      </c>
      <c r="D206" s="3014"/>
    </row>
    <row r="207" spans="1:4" x14ac:dyDescent="0.35">
      <c r="A207" s="3012"/>
      <c r="B207" s="3013"/>
      <c r="C207" s="3007" t="s">
        <v>7510</v>
      </c>
      <c r="D207" s="3014"/>
    </row>
    <row r="208" spans="1:4" x14ac:dyDescent="0.35">
      <c r="A208" s="3015"/>
      <c r="B208" s="3016"/>
      <c r="C208" s="3007" t="s">
        <v>7511</v>
      </c>
      <c r="D208" s="3017"/>
    </row>
    <row r="209" spans="1:4" ht="51" x14ac:dyDescent="0.35">
      <c r="A209" s="3018" t="s">
        <v>7442</v>
      </c>
      <c r="B209" s="3276" t="s">
        <v>6894</v>
      </c>
      <c r="C209" s="3007" t="s">
        <v>7512</v>
      </c>
      <c r="D209" s="3007" t="s">
        <v>7513</v>
      </c>
    </row>
    <row r="210" spans="1:4" ht="38.25" x14ac:dyDescent="0.35">
      <c r="A210" s="3008" t="s">
        <v>7442</v>
      </c>
      <c r="B210" s="3277" t="s">
        <v>6894</v>
      </c>
      <c r="C210" s="3007" t="s">
        <v>7514</v>
      </c>
      <c r="D210" s="3009" t="s">
        <v>7515</v>
      </c>
    </row>
    <row r="211" spans="1:4" ht="25.5" x14ac:dyDescent="0.35">
      <c r="A211" s="3019"/>
      <c r="B211" s="3279"/>
      <c r="C211" s="3007" t="s">
        <v>7516</v>
      </c>
      <c r="D211" s="3011"/>
    </row>
    <row r="212" spans="1:4" ht="38.25" x14ac:dyDescent="0.35">
      <c r="A212" s="3018" t="s">
        <v>7442</v>
      </c>
      <c r="B212" s="3276" t="s">
        <v>6894</v>
      </c>
      <c r="C212" s="3007" t="s">
        <v>7517</v>
      </c>
      <c r="D212" s="2999" t="s">
        <v>7518</v>
      </c>
    </row>
    <row r="213" spans="1:4" ht="25.5" x14ac:dyDescent="0.35">
      <c r="A213" s="3018" t="s">
        <v>7442</v>
      </c>
      <c r="B213" s="3276" t="s">
        <v>7519</v>
      </c>
      <c r="C213" s="3007" t="s">
        <v>7520</v>
      </c>
      <c r="D213" s="2999" t="s">
        <v>7521</v>
      </c>
    </row>
    <row r="214" spans="1:4" x14ac:dyDescent="0.35">
      <c r="A214" s="3002" t="s">
        <v>6972</v>
      </c>
      <c r="B214" s="3274" t="s">
        <v>6894</v>
      </c>
      <c r="C214" s="2999" t="s">
        <v>7522</v>
      </c>
      <c r="D214" s="3001"/>
    </row>
    <row r="215" spans="1:4" x14ac:dyDescent="0.35">
      <c r="A215" s="3002" t="s">
        <v>6972</v>
      </c>
      <c r="B215" s="3274" t="s">
        <v>6895</v>
      </c>
      <c r="C215" s="2999" t="s">
        <v>7523</v>
      </c>
      <c r="D215" s="2999" t="s">
        <v>7524</v>
      </c>
    </row>
    <row r="216" spans="1:4" x14ac:dyDescent="0.35">
      <c r="A216" s="3002" t="s">
        <v>7188</v>
      </c>
      <c r="B216" s="3276" t="s">
        <v>7456</v>
      </c>
      <c r="C216" s="3007" t="s">
        <v>7457</v>
      </c>
      <c r="D216" s="3007" t="s">
        <v>7451</v>
      </c>
    </row>
    <row r="217" spans="1:4" ht="38.25" x14ac:dyDescent="0.35">
      <c r="A217" s="3002" t="s">
        <v>6972</v>
      </c>
      <c r="B217" s="3274" t="s">
        <v>6895</v>
      </c>
      <c r="C217" s="2999" t="s">
        <v>7559</v>
      </c>
      <c r="D217" s="3001" t="s">
        <v>7560</v>
      </c>
    </row>
    <row r="218" spans="1:4" x14ac:dyDescent="0.35">
      <c r="A218" s="3002"/>
      <c r="B218" s="3274" t="s">
        <v>6894</v>
      </c>
      <c r="C218" s="2999" t="s">
        <v>7561</v>
      </c>
      <c r="D218" s="3073" t="s">
        <v>7562</v>
      </c>
    </row>
    <row r="219" spans="1:4" x14ac:dyDescent="0.35">
      <c r="A219" s="3002"/>
      <c r="B219" s="3274" t="s">
        <v>6894</v>
      </c>
      <c r="C219" s="2999" t="s">
        <v>7563</v>
      </c>
      <c r="D219" s="3013"/>
    </row>
    <row r="220" spans="1:4" x14ac:dyDescent="0.35">
      <c r="A220" s="3002"/>
      <c r="B220" s="3274" t="s">
        <v>6894</v>
      </c>
      <c r="C220" s="2999" t="s">
        <v>7564</v>
      </c>
      <c r="D220" s="3016"/>
    </row>
    <row r="221" spans="1:4" ht="26.25" x14ac:dyDescent="0.35">
      <c r="A221" s="3000" t="s">
        <v>7565</v>
      </c>
      <c r="B221" s="3003" t="s">
        <v>6894</v>
      </c>
      <c r="C221" s="2999" t="s">
        <v>7566</v>
      </c>
      <c r="D221" s="3073" t="s">
        <v>7567</v>
      </c>
    </row>
    <row r="222" spans="1:4" x14ac:dyDescent="0.35">
      <c r="A222" s="2498"/>
      <c r="B222" s="3280"/>
      <c r="C222" s="2999" t="s">
        <v>7603</v>
      </c>
      <c r="D222" s="3013"/>
    </row>
    <row r="223" spans="1:4" x14ac:dyDescent="0.35">
      <c r="A223" s="2498"/>
      <c r="B223" s="3280"/>
      <c r="C223" s="3001" t="s">
        <v>7568</v>
      </c>
      <c r="D223" s="3013"/>
    </row>
    <row r="224" spans="1:4" x14ac:dyDescent="0.35">
      <c r="A224" s="2498"/>
      <c r="B224" s="3280"/>
      <c r="C224" s="3001" t="s">
        <v>7569</v>
      </c>
      <c r="D224" s="3013"/>
    </row>
    <row r="225" spans="1:4" ht="25.5" x14ac:dyDescent="0.35">
      <c r="A225" s="2498"/>
      <c r="B225" s="3280"/>
      <c r="C225" s="2999" t="s">
        <v>7602</v>
      </c>
      <c r="D225" s="3013"/>
    </row>
    <row r="226" spans="1:4" x14ac:dyDescent="0.35">
      <c r="A226" s="2498"/>
      <c r="B226" s="3280"/>
      <c r="C226" s="3001" t="s">
        <v>7570</v>
      </c>
      <c r="D226" s="3013"/>
    </row>
    <row r="227" spans="1:4" x14ac:dyDescent="0.35">
      <c r="A227" s="2498"/>
      <c r="B227" s="3280"/>
      <c r="C227" s="3001" t="s">
        <v>7571</v>
      </c>
      <c r="D227" s="3013"/>
    </row>
    <row r="228" spans="1:4" ht="25.5" x14ac:dyDescent="0.35">
      <c r="A228" s="2498"/>
      <c r="B228" s="3280"/>
      <c r="C228" s="3001" t="s">
        <v>7572</v>
      </c>
      <c r="D228" s="3013"/>
    </row>
    <row r="229" spans="1:4" x14ac:dyDescent="0.35">
      <c r="A229" s="2498"/>
      <c r="B229" s="3280"/>
      <c r="C229" s="3001" t="s">
        <v>7573</v>
      </c>
      <c r="D229" s="3013"/>
    </row>
    <row r="230" spans="1:4" x14ac:dyDescent="0.35">
      <c r="A230" s="2498"/>
      <c r="B230" s="3280"/>
      <c r="C230" s="3001" t="s">
        <v>7574</v>
      </c>
      <c r="D230" s="3013"/>
    </row>
    <row r="231" spans="1:4" x14ac:dyDescent="0.35">
      <c r="A231" s="2498"/>
      <c r="B231" s="3280"/>
      <c r="C231" s="3001" t="s">
        <v>7575</v>
      </c>
      <c r="D231" s="3013"/>
    </row>
    <row r="232" spans="1:4" x14ac:dyDescent="0.35">
      <c r="A232" s="2498"/>
      <c r="B232" s="3280"/>
      <c r="C232" s="3001" t="s">
        <v>7576</v>
      </c>
      <c r="D232" s="3013"/>
    </row>
    <row r="233" spans="1:4" x14ac:dyDescent="0.35">
      <c r="A233" s="2498"/>
      <c r="B233" s="3280"/>
      <c r="C233" s="3001" t="s">
        <v>7577</v>
      </c>
      <c r="D233" s="3013"/>
    </row>
    <row r="234" spans="1:4" x14ac:dyDescent="0.35">
      <c r="A234" s="2857"/>
      <c r="B234" s="3281"/>
      <c r="C234" s="3001" t="s">
        <v>7578</v>
      </c>
      <c r="D234" s="3016"/>
    </row>
    <row r="235" spans="1:4" ht="12.75" x14ac:dyDescent="0.35">
      <c r="A235" s="3018" t="s">
        <v>7595</v>
      </c>
      <c r="B235" s="3274" t="s">
        <v>6895</v>
      </c>
      <c r="C235" s="2995" t="s">
        <v>7594</v>
      </c>
      <c r="D235" s="3001"/>
    </row>
    <row r="236" spans="1:4" ht="76.5" x14ac:dyDescent="0.35">
      <c r="A236" s="3002" t="s">
        <v>7596</v>
      </c>
      <c r="B236" s="3276" t="s">
        <v>7597</v>
      </c>
      <c r="C236" s="2995" t="s">
        <v>7598</v>
      </c>
      <c r="D236" s="2999" t="s">
        <v>7599</v>
      </c>
    </row>
    <row r="237" spans="1:4" x14ac:dyDescent="0.35">
      <c r="A237" s="3100"/>
      <c r="B237" s="3274" t="s">
        <v>7630</v>
      </c>
      <c r="C237" s="2995" t="s">
        <v>7631</v>
      </c>
      <c r="D237" s="2903"/>
    </row>
    <row r="238" spans="1:4" ht="25.5" x14ac:dyDescent="0.35">
      <c r="A238" s="3100"/>
      <c r="B238" s="3274" t="s">
        <v>6894</v>
      </c>
      <c r="C238" s="2995" t="s">
        <v>7650</v>
      </c>
      <c r="D238" s="2999" t="s">
        <v>7651</v>
      </c>
    </row>
    <row r="239" spans="1:4" x14ac:dyDescent="0.35">
      <c r="A239" s="3100"/>
      <c r="B239" s="3274" t="s">
        <v>6894</v>
      </c>
      <c r="C239" s="2995" t="s">
        <v>7652</v>
      </c>
      <c r="D239" s="2999"/>
    </row>
    <row r="240" spans="1:4" ht="38.25" x14ac:dyDescent="0.35">
      <c r="A240" s="3100"/>
      <c r="B240" s="3274" t="s">
        <v>6894</v>
      </c>
      <c r="C240" s="2995" t="s">
        <v>7653</v>
      </c>
      <c r="D240" s="2999" t="s">
        <v>7654</v>
      </c>
    </row>
    <row r="241" spans="1:4" s="2807" customFormat="1" ht="26.25" x14ac:dyDescent="0.35">
      <c r="A241" s="3000" t="s">
        <v>7565</v>
      </c>
      <c r="B241" s="3003" t="s">
        <v>6894</v>
      </c>
      <c r="C241" s="3097" t="s">
        <v>7632</v>
      </c>
      <c r="D241" s="3104"/>
    </row>
    <row r="242" spans="1:4" s="2807" customFormat="1" x14ac:dyDescent="0.35">
      <c r="A242" s="3105"/>
      <c r="B242" s="3282"/>
      <c r="C242" s="3097" t="s">
        <v>7633</v>
      </c>
      <c r="D242" s="3104"/>
    </row>
    <row r="243" spans="1:4" s="2807" customFormat="1" x14ac:dyDescent="0.35">
      <c r="A243" s="3105"/>
      <c r="B243" s="3282"/>
      <c r="C243" s="3097" t="s">
        <v>7634</v>
      </c>
      <c r="D243" s="2999"/>
    </row>
    <row r="244" spans="1:4" s="2807" customFormat="1" ht="25.5" x14ac:dyDescent="0.35">
      <c r="A244" s="3105"/>
      <c r="B244" s="3282"/>
      <c r="C244" s="3097" t="s">
        <v>7635</v>
      </c>
      <c r="D244" s="2999"/>
    </row>
    <row r="245" spans="1:4" s="1002" customFormat="1" ht="25.5" x14ac:dyDescent="0.35">
      <c r="A245" s="2498"/>
      <c r="B245" s="3006"/>
      <c r="C245" s="3097" t="s">
        <v>7636</v>
      </c>
      <c r="D245" s="2999"/>
    </row>
    <row r="246" spans="1:4" s="1002" customFormat="1" ht="38.25" x14ac:dyDescent="0.35">
      <c r="A246" s="2498"/>
      <c r="B246" s="3006"/>
      <c r="C246" s="3097" t="s">
        <v>7637</v>
      </c>
      <c r="D246" s="2999" t="s">
        <v>7638</v>
      </c>
    </row>
    <row r="247" spans="1:4" s="1002" customFormat="1" x14ac:dyDescent="0.35">
      <c r="A247" s="2498"/>
      <c r="B247" s="3006"/>
      <c r="C247" s="3097" t="s">
        <v>7639</v>
      </c>
      <c r="D247" s="2999"/>
    </row>
    <row r="248" spans="1:4" s="1002" customFormat="1" x14ac:dyDescent="0.35">
      <c r="A248" s="2498"/>
      <c r="B248" s="3006"/>
      <c r="C248" s="3097" t="s">
        <v>7640</v>
      </c>
      <c r="D248" s="2999"/>
    </row>
    <row r="249" spans="1:4" s="1002" customFormat="1" x14ac:dyDescent="0.35">
      <c r="A249" s="2498"/>
      <c r="B249" s="3006"/>
      <c r="C249" s="3097" t="s">
        <v>7641</v>
      </c>
      <c r="D249" s="2999"/>
    </row>
    <row r="250" spans="1:4" s="1002" customFormat="1" ht="25.5" x14ac:dyDescent="0.35">
      <c r="A250" s="2498"/>
      <c r="B250" s="3006"/>
      <c r="C250" s="3097" t="s">
        <v>7642</v>
      </c>
      <c r="D250" s="2999"/>
    </row>
    <row r="251" spans="1:4" s="1002" customFormat="1" x14ac:dyDescent="0.35">
      <c r="A251" s="2498"/>
      <c r="B251" s="3006"/>
      <c r="C251" s="3097" t="s">
        <v>7643</v>
      </c>
      <c r="D251" s="2999"/>
    </row>
    <row r="252" spans="1:4" s="1002" customFormat="1" ht="25.5" x14ac:dyDescent="0.35">
      <c r="A252" s="2498"/>
      <c r="B252" s="3006"/>
      <c r="C252" s="3097" t="s">
        <v>7644</v>
      </c>
      <c r="D252" s="2999"/>
    </row>
    <row r="253" spans="1:4" s="1002" customFormat="1" x14ac:dyDescent="0.35">
      <c r="A253" s="2498"/>
      <c r="B253" s="3006"/>
      <c r="C253" s="3097" t="s">
        <v>7645</v>
      </c>
      <c r="D253" s="2999"/>
    </row>
    <row r="254" spans="1:4" s="1002" customFormat="1" ht="25.5" x14ac:dyDescent="0.35">
      <c r="A254" s="2498"/>
      <c r="B254" s="3006"/>
      <c r="C254" s="3097" t="s">
        <v>7646</v>
      </c>
      <c r="D254" s="2999"/>
    </row>
    <row r="255" spans="1:4" s="1002" customFormat="1" x14ac:dyDescent="0.35">
      <c r="A255" s="2498"/>
      <c r="B255" s="3006"/>
      <c r="C255" s="3097" t="s">
        <v>7647</v>
      </c>
      <c r="D255" s="2999"/>
    </row>
    <row r="256" spans="1:4" s="1002" customFormat="1" ht="25.5" x14ac:dyDescent="0.35">
      <c r="A256" s="2498"/>
      <c r="B256" s="3006"/>
      <c r="C256" s="2999" t="s">
        <v>7648</v>
      </c>
      <c r="D256" s="2999"/>
    </row>
    <row r="257" spans="1:4" s="1002" customFormat="1" x14ac:dyDescent="0.35">
      <c r="A257" s="2857"/>
      <c r="B257" s="3275"/>
      <c r="C257" s="2999" t="s">
        <v>7649</v>
      </c>
      <c r="D257" s="2999"/>
    </row>
    <row r="258" spans="1:4" ht="26.25" x14ac:dyDescent="0.35">
      <c r="A258" s="3000" t="s">
        <v>7626</v>
      </c>
      <c r="B258" s="3003" t="s">
        <v>6895</v>
      </c>
      <c r="C258" s="2995" t="s">
        <v>7624</v>
      </c>
      <c r="D258" s="2999"/>
    </row>
    <row r="259" spans="1:4" ht="25.5" x14ac:dyDescent="0.35">
      <c r="A259" s="2857"/>
      <c r="B259" s="3275"/>
      <c r="C259" s="2995" t="s">
        <v>7625</v>
      </c>
      <c r="D259" s="2999"/>
    </row>
    <row r="260" spans="1:4" x14ac:dyDescent="0.4">
      <c r="A260" s="2629" t="s">
        <v>7541</v>
      </c>
      <c r="B260" s="3270">
        <v>42961</v>
      </c>
      <c r="C260" s="2953" t="s">
        <v>7746</v>
      </c>
      <c r="D260" s="2997"/>
    </row>
    <row r="261" spans="1:4" s="1002" customFormat="1" ht="25.5" x14ac:dyDescent="0.35">
      <c r="A261" s="3102" t="s">
        <v>6972</v>
      </c>
      <c r="B261" s="3274" t="s">
        <v>6894</v>
      </c>
      <c r="C261" s="3097" t="s">
        <v>7660</v>
      </c>
      <c r="D261" s="2999"/>
    </row>
    <row r="262" spans="1:4" s="2807" customFormat="1" ht="38.25" x14ac:dyDescent="0.35">
      <c r="A262" s="3152" t="s">
        <v>6972</v>
      </c>
      <c r="B262" s="3003" t="s">
        <v>6894</v>
      </c>
      <c r="C262" s="3097" t="s">
        <v>7661</v>
      </c>
      <c r="D262" s="2999" t="s">
        <v>7662</v>
      </c>
    </row>
    <row r="263" spans="1:4" s="2807" customFormat="1" ht="25.5" x14ac:dyDescent="0.35">
      <c r="A263" s="3153"/>
      <c r="B263" s="3006"/>
      <c r="C263" s="3097" t="s">
        <v>7663</v>
      </c>
      <c r="D263" s="2999"/>
    </row>
    <row r="264" spans="1:4" s="2807" customFormat="1" ht="25.5" x14ac:dyDescent="0.35">
      <c r="A264" s="3153"/>
      <c r="B264" s="3006"/>
      <c r="C264" s="3097" t="s">
        <v>7664</v>
      </c>
      <c r="D264" s="2999"/>
    </row>
    <row r="265" spans="1:4" s="2807" customFormat="1" ht="25.5" x14ac:dyDescent="0.35">
      <c r="A265" s="3153"/>
      <c r="B265" s="3280"/>
      <c r="C265" s="3097" t="s">
        <v>7665</v>
      </c>
      <c r="D265" s="2999" t="s">
        <v>7666</v>
      </c>
    </row>
    <row r="266" spans="1:4" s="2807" customFormat="1" x14ac:dyDescent="0.35">
      <c r="A266" s="3153"/>
      <c r="B266" s="3280"/>
      <c r="C266" s="3097" t="s">
        <v>7667</v>
      </c>
      <c r="D266" s="2999" t="s">
        <v>7666</v>
      </c>
    </row>
    <row r="267" spans="1:4" s="2807" customFormat="1" x14ac:dyDescent="0.35">
      <c r="A267" s="3153"/>
      <c r="B267" s="3280"/>
      <c r="C267" s="3097" t="s">
        <v>7668</v>
      </c>
      <c r="D267" s="2999" t="s">
        <v>7666</v>
      </c>
    </row>
    <row r="268" spans="1:4" s="2807" customFormat="1" x14ac:dyDescent="0.35">
      <c r="A268" s="3153"/>
      <c r="B268" s="3280"/>
      <c r="C268" s="3097" t="s">
        <v>7669</v>
      </c>
      <c r="D268" s="2999"/>
    </row>
    <row r="269" spans="1:4" s="2807" customFormat="1" x14ac:dyDescent="0.35">
      <c r="A269" s="3153"/>
      <c r="B269" s="3280"/>
      <c r="C269" s="3097" t="s">
        <v>7670</v>
      </c>
      <c r="D269" s="2999" t="s">
        <v>7671</v>
      </c>
    </row>
    <row r="270" spans="1:4" s="2807" customFormat="1" ht="25.5" x14ac:dyDescent="0.35">
      <c r="A270" s="3153"/>
      <c r="B270" s="3280"/>
      <c r="C270" s="3097" t="s">
        <v>7672</v>
      </c>
      <c r="D270" s="2999"/>
    </row>
    <row r="271" spans="1:4" s="2807" customFormat="1" ht="25.5" x14ac:dyDescent="0.35">
      <c r="A271" s="3153"/>
      <c r="B271" s="3280"/>
      <c r="C271" s="3097" t="s">
        <v>7673</v>
      </c>
      <c r="D271" s="2999"/>
    </row>
    <row r="272" spans="1:4" s="2807" customFormat="1" x14ac:dyDescent="0.35">
      <c r="A272" s="3153"/>
      <c r="B272" s="3280"/>
      <c r="C272" s="3097" t="s">
        <v>7674</v>
      </c>
      <c r="D272" s="2999"/>
    </row>
    <row r="273" spans="1:4" s="2807" customFormat="1" ht="25.5" x14ac:dyDescent="0.35">
      <c r="A273" s="3153"/>
      <c r="B273" s="3280"/>
      <c r="C273" s="3097" t="s">
        <v>7675</v>
      </c>
      <c r="D273" s="2999"/>
    </row>
    <row r="274" spans="1:4" s="2807" customFormat="1" ht="25.5" x14ac:dyDescent="0.35">
      <c r="A274" s="3153"/>
      <c r="B274" s="3280"/>
      <c r="C274" s="3097" t="s">
        <v>7676</v>
      </c>
      <c r="D274" s="2999"/>
    </row>
    <row r="275" spans="1:4" s="2807" customFormat="1" ht="25.5" x14ac:dyDescent="0.35">
      <c r="A275" s="3153"/>
      <c r="B275" s="3280"/>
      <c r="C275" s="3097" t="s">
        <v>7677</v>
      </c>
      <c r="D275" s="2999"/>
    </row>
    <row r="276" spans="1:4" s="2807" customFormat="1" x14ac:dyDescent="0.35">
      <c r="A276" s="3153"/>
      <c r="B276" s="3280"/>
      <c r="C276" s="3097" t="s">
        <v>7678</v>
      </c>
      <c r="D276" s="2999"/>
    </row>
    <row r="277" spans="1:4" s="2807" customFormat="1" x14ac:dyDescent="0.35">
      <c r="A277" s="3153"/>
      <c r="B277" s="3280"/>
      <c r="C277" s="3097" t="s">
        <v>7679</v>
      </c>
      <c r="D277" s="2999"/>
    </row>
    <row r="278" spans="1:4" s="2807" customFormat="1" x14ac:dyDescent="0.35">
      <c r="A278" s="3153"/>
      <c r="B278" s="3280"/>
      <c r="C278" s="3097" t="s">
        <v>7680</v>
      </c>
      <c r="D278" s="2999"/>
    </row>
    <row r="279" spans="1:4" s="2807" customFormat="1" x14ac:dyDescent="0.35">
      <c r="A279" s="3153"/>
      <c r="B279" s="3280"/>
      <c r="C279" s="3097" t="s">
        <v>7681</v>
      </c>
      <c r="D279" s="2999"/>
    </row>
    <row r="280" spans="1:4" s="2807" customFormat="1" x14ac:dyDescent="0.35">
      <c r="A280" s="3154"/>
      <c r="B280" s="3281"/>
      <c r="C280" s="3097" t="s">
        <v>7682</v>
      </c>
      <c r="D280" s="2999"/>
    </row>
    <row r="281" spans="1:4" s="1002" customFormat="1" x14ac:dyDescent="0.4">
      <c r="A281" s="3102" t="s">
        <v>6972</v>
      </c>
      <c r="B281" s="3274" t="s">
        <v>6897</v>
      </c>
      <c r="C281" s="3097" t="s">
        <v>7683</v>
      </c>
      <c r="D281" s="3107" t="s">
        <v>7684</v>
      </c>
    </row>
    <row r="282" spans="1:4" s="2807" customFormat="1" x14ac:dyDescent="0.35">
      <c r="A282" s="3108" t="s">
        <v>6972</v>
      </c>
      <c r="B282" s="3274" t="s">
        <v>6883</v>
      </c>
      <c r="C282" s="3097" t="s">
        <v>7685</v>
      </c>
      <c r="D282" s="3104"/>
    </row>
    <row r="283" spans="1:4" ht="12.75" x14ac:dyDescent="0.35">
      <c r="A283" s="3008" t="s">
        <v>6987</v>
      </c>
      <c r="B283" s="3283" t="s">
        <v>7545</v>
      </c>
      <c r="C283" s="2995" t="s">
        <v>7542</v>
      </c>
      <c r="D283" s="3001"/>
    </row>
    <row r="284" spans="1:4" ht="12.75" x14ac:dyDescent="0.35">
      <c r="A284" s="3076"/>
      <c r="B284" s="3284"/>
      <c r="C284" s="2995" t="s">
        <v>7583</v>
      </c>
      <c r="D284" s="3001"/>
    </row>
    <row r="285" spans="1:4" ht="12.75" x14ac:dyDescent="0.35">
      <c r="A285" s="3076"/>
      <c r="B285" s="3284"/>
      <c r="C285" s="2995" t="s">
        <v>7584</v>
      </c>
      <c r="D285" s="3001"/>
    </row>
    <row r="286" spans="1:4" ht="12.75" x14ac:dyDescent="0.35">
      <c r="A286" s="3076"/>
      <c r="B286" s="3284"/>
      <c r="C286" s="2995" t="s">
        <v>7585</v>
      </c>
      <c r="D286" s="3001"/>
    </row>
    <row r="287" spans="1:4" ht="12.75" x14ac:dyDescent="0.35">
      <c r="A287" s="3076"/>
      <c r="B287" s="3284"/>
      <c r="C287" s="2995" t="s">
        <v>7586</v>
      </c>
      <c r="D287" s="3001"/>
    </row>
    <row r="288" spans="1:4" ht="12.75" x14ac:dyDescent="0.35">
      <c r="A288" s="3076"/>
      <c r="B288" s="3284"/>
      <c r="C288" s="2995" t="s">
        <v>7587</v>
      </c>
      <c r="D288" s="3001"/>
    </row>
    <row r="289" spans="1:4" ht="12.75" x14ac:dyDescent="0.35">
      <c r="A289" s="3019"/>
      <c r="B289" s="3285"/>
      <c r="C289" s="2995" t="s">
        <v>7588</v>
      </c>
      <c r="D289" s="3001"/>
    </row>
    <row r="290" spans="1:4" ht="12.75" x14ac:dyDescent="0.35">
      <c r="A290" s="3008" t="s">
        <v>6987</v>
      </c>
      <c r="B290" s="3283" t="s">
        <v>6893</v>
      </c>
      <c r="C290" s="2995" t="s">
        <v>7589</v>
      </c>
      <c r="D290" s="3001"/>
    </row>
    <row r="291" spans="1:4" ht="38.25" x14ac:dyDescent="0.35">
      <c r="A291" s="3076"/>
      <c r="B291" s="3284"/>
      <c r="C291" s="2995" t="s">
        <v>7591</v>
      </c>
      <c r="D291" s="3073" t="s">
        <v>7590</v>
      </c>
    </row>
    <row r="292" spans="1:4" ht="25.5" x14ac:dyDescent="0.35">
      <c r="A292" s="3076"/>
      <c r="B292" s="3284"/>
      <c r="C292" s="2995" t="s">
        <v>7592</v>
      </c>
      <c r="D292" s="3013"/>
    </row>
    <row r="293" spans="1:4" ht="25.5" x14ac:dyDescent="0.35">
      <c r="A293" s="3019"/>
      <c r="B293" s="3285"/>
      <c r="C293" s="2995" t="s">
        <v>7593</v>
      </c>
      <c r="D293" s="3016"/>
    </row>
    <row r="294" spans="1:4" ht="25.5" x14ac:dyDescent="0.35">
      <c r="A294" s="3018" t="s">
        <v>6987</v>
      </c>
      <c r="B294" s="3274" t="s">
        <v>6894</v>
      </c>
      <c r="C294" s="2995" t="s">
        <v>7550</v>
      </c>
      <c r="D294" s="3001"/>
    </row>
    <row r="295" spans="1:4" ht="12.75" x14ac:dyDescent="0.35">
      <c r="A295" s="3018" t="s">
        <v>6987</v>
      </c>
      <c r="B295" s="3274" t="s">
        <v>6894</v>
      </c>
      <c r="C295" s="2995" t="s">
        <v>7551</v>
      </c>
      <c r="D295" s="3001"/>
    </row>
    <row r="296" spans="1:4" ht="12.75" x14ac:dyDescent="0.35">
      <c r="A296" s="3018" t="s">
        <v>6987</v>
      </c>
      <c r="B296" s="3274" t="s">
        <v>6894</v>
      </c>
      <c r="C296" s="2995" t="s">
        <v>7552</v>
      </c>
      <c r="D296" s="3001"/>
    </row>
    <row r="297" spans="1:4" ht="12.75" x14ac:dyDescent="0.35">
      <c r="A297" s="3018" t="s">
        <v>6987</v>
      </c>
      <c r="B297" s="3274" t="s">
        <v>6894</v>
      </c>
      <c r="C297" s="2995" t="s">
        <v>7553</v>
      </c>
      <c r="D297" s="3001"/>
    </row>
    <row r="298" spans="1:4" ht="25.5" x14ac:dyDescent="0.35">
      <c r="A298" s="3018" t="s">
        <v>6987</v>
      </c>
      <c r="B298" s="3274" t="s">
        <v>6894</v>
      </c>
      <c r="C298" s="2995" t="s">
        <v>7554</v>
      </c>
      <c r="D298" s="3001"/>
    </row>
    <row r="299" spans="1:4" ht="25.5" x14ac:dyDescent="0.35">
      <c r="A299" s="3018" t="s">
        <v>6987</v>
      </c>
      <c r="B299" s="3274" t="s">
        <v>6894</v>
      </c>
      <c r="C299" s="2995" t="s">
        <v>7555</v>
      </c>
      <c r="D299" s="3001"/>
    </row>
    <row r="300" spans="1:4" ht="25.5" x14ac:dyDescent="0.35">
      <c r="A300" s="3018" t="s">
        <v>6987</v>
      </c>
      <c r="B300" s="3274" t="s">
        <v>6894</v>
      </c>
      <c r="C300" s="2995" t="s">
        <v>7556</v>
      </c>
      <c r="D300" s="3001"/>
    </row>
    <row r="301" spans="1:4" ht="25.5" x14ac:dyDescent="0.35">
      <c r="A301" s="3018" t="s">
        <v>6987</v>
      </c>
      <c r="B301" s="3274" t="s">
        <v>6894</v>
      </c>
      <c r="C301" s="2995" t="s">
        <v>7557</v>
      </c>
      <c r="D301" s="3001"/>
    </row>
    <row r="302" spans="1:4" ht="12.75" x14ac:dyDescent="0.35">
      <c r="A302" s="3008" t="s">
        <v>6987</v>
      </c>
      <c r="B302" s="3003" t="s">
        <v>6895</v>
      </c>
      <c r="C302" s="3097" t="s">
        <v>7739</v>
      </c>
      <c r="D302" s="3001"/>
    </row>
    <row r="303" spans="1:4" ht="12.75" x14ac:dyDescent="0.35">
      <c r="A303" s="3076"/>
      <c r="B303" s="3006"/>
      <c r="C303" s="3097" t="s">
        <v>7737</v>
      </c>
      <c r="D303" s="3001"/>
    </row>
    <row r="304" spans="1:4" ht="12.75" x14ac:dyDescent="0.35">
      <c r="A304" s="3019"/>
      <c r="B304" s="3275"/>
      <c r="C304" s="3097" t="s">
        <v>7738</v>
      </c>
      <c r="D304" s="3001"/>
    </row>
    <row r="305" spans="1:4" ht="12.75" x14ac:dyDescent="0.35">
      <c r="A305" s="3018" t="s">
        <v>6987</v>
      </c>
      <c r="B305" s="3273" t="s">
        <v>7141</v>
      </c>
      <c r="C305" s="2995" t="s">
        <v>7547</v>
      </c>
      <c r="D305" s="3001"/>
    </row>
    <row r="306" spans="1:4" ht="25.5" x14ac:dyDescent="0.35">
      <c r="A306" s="3018"/>
      <c r="B306" s="3860" t="s">
        <v>7378</v>
      </c>
      <c r="C306" s="2995" t="s">
        <v>7604</v>
      </c>
      <c r="D306" s="3001"/>
    </row>
    <row r="307" spans="1:4" ht="25.5" x14ac:dyDescent="0.35">
      <c r="A307" s="3018"/>
      <c r="B307" s="3861"/>
      <c r="C307" s="3097" t="s">
        <v>7605</v>
      </c>
      <c r="D307" s="3001"/>
    </row>
    <row r="308" spans="1:4" ht="25.5" x14ac:dyDescent="0.35">
      <c r="A308" s="3018"/>
      <c r="B308" s="3862"/>
      <c r="C308" s="2995" t="s">
        <v>7606</v>
      </c>
      <c r="D308" s="3001"/>
    </row>
    <row r="309" spans="1:4" ht="12.75" x14ac:dyDescent="0.35">
      <c r="A309" s="3008" t="s">
        <v>7543</v>
      </c>
      <c r="B309" s="3283" t="s">
        <v>7546</v>
      </c>
      <c r="C309" s="2995" t="s">
        <v>7544</v>
      </c>
      <c r="D309" s="3001"/>
    </row>
    <row r="310" spans="1:4" ht="12.75" x14ac:dyDescent="0.35">
      <c r="A310" s="3019"/>
      <c r="B310" s="3285"/>
      <c r="C310" s="2995" t="s">
        <v>7623</v>
      </c>
      <c r="D310" s="3001"/>
    </row>
    <row r="311" spans="1:4" x14ac:dyDescent="0.35">
      <c r="A311" s="3000" t="s">
        <v>6972</v>
      </c>
      <c r="B311" s="3276" t="s">
        <v>7617</v>
      </c>
      <c r="C311" s="2995" t="s">
        <v>7616</v>
      </c>
      <c r="D311" s="2999" t="s">
        <v>7621</v>
      </c>
    </row>
    <row r="312" spans="1:4" x14ac:dyDescent="0.35">
      <c r="A312" s="2857"/>
      <c r="B312" s="3276" t="s">
        <v>6900</v>
      </c>
      <c r="C312" s="2995" t="s">
        <v>7616</v>
      </c>
      <c r="D312" s="2999" t="s">
        <v>7622</v>
      </c>
    </row>
    <row r="313" spans="1:4" ht="12.75" x14ac:dyDescent="0.35">
      <c r="A313" s="3854" t="s">
        <v>7619</v>
      </c>
      <c r="B313" s="3853" t="s">
        <v>6894</v>
      </c>
      <c r="C313" s="2995" t="s">
        <v>7607</v>
      </c>
      <c r="D313" s="2999"/>
    </row>
    <row r="314" spans="1:4" ht="25.5" x14ac:dyDescent="0.35">
      <c r="A314" s="3854"/>
      <c r="B314" s="3853"/>
      <c r="C314" s="2995" t="s">
        <v>7608</v>
      </c>
      <c r="D314" s="2999"/>
    </row>
    <row r="315" spans="1:4" ht="25.5" x14ac:dyDescent="0.35">
      <c r="A315" s="3854"/>
      <c r="B315" s="3853"/>
      <c r="C315" s="2995" t="s">
        <v>7609</v>
      </c>
      <c r="D315" s="2999"/>
    </row>
    <row r="316" spans="1:4" ht="12.75" x14ac:dyDescent="0.35">
      <c r="A316" s="3854"/>
      <c r="B316" s="3853"/>
      <c r="C316" s="2995" t="s">
        <v>7610</v>
      </c>
      <c r="D316" s="2999"/>
    </row>
    <row r="317" spans="1:4" ht="12.75" x14ac:dyDescent="0.35">
      <c r="A317" s="3854"/>
      <c r="B317" s="3853"/>
      <c r="C317" s="2995" t="s">
        <v>7611</v>
      </c>
      <c r="D317" s="2999"/>
    </row>
    <row r="318" spans="1:4" ht="25.5" x14ac:dyDescent="0.35">
      <c r="A318" s="3854"/>
      <c r="B318" s="3853"/>
      <c r="C318" s="2995" t="s">
        <v>7612</v>
      </c>
      <c r="D318" s="2999"/>
    </row>
    <row r="319" spans="1:4" ht="25.5" x14ac:dyDescent="0.35">
      <c r="A319" s="3854"/>
      <c r="B319" s="3853"/>
      <c r="C319" s="2995" t="s">
        <v>7620</v>
      </c>
      <c r="D319" s="2999"/>
    </row>
    <row r="320" spans="1:4" ht="25.5" x14ac:dyDescent="0.35">
      <c r="A320" s="3854"/>
      <c r="B320" s="3853"/>
      <c r="C320" s="2995" t="s">
        <v>7613</v>
      </c>
      <c r="D320" s="2999"/>
    </row>
    <row r="321" spans="1:4" ht="25.5" x14ac:dyDescent="0.35">
      <c r="A321" s="3854"/>
      <c r="B321" s="3853"/>
      <c r="C321" s="2995" t="s">
        <v>7614</v>
      </c>
      <c r="D321" s="2999"/>
    </row>
    <row r="322" spans="1:4" ht="38.25" x14ac:dyDescent="0.35">
      <c r="A322" s="3854"/>
      <c r="B322" s="3853"/>
      <c r="C322" s="2995" t="s">
        <v>7618</v>
      </c>
      <c r="D322" s="2999"/>
    </row>
    <row r="323" spans="1:4" ht="12.75" x14ac:dyDescent="0.35">
      <c r="A323" s="3854"/>
      <c r="B323" s="3853"/>
      <c r="C323" s="2995" t="s">
        <v>7615</v>
      </c>
      <c r="D323" s="2999"/>
    </row>
    <row r="324" spans="1:4" ht="12.75" x14ac:dyDescent="0.35">
      <c r="A324" s="3854" t="s">
        <v>7708</v>
      </c>
      <c r="B324" s="3276" t="s">
        <v>3568</v>
      </c>
      <c r="C324" s="2995" t="s">
        <v>7696</v>
      </c>
      <c r="D324" s="2999"/>
    </row>
    <row r="325" spans="1:4" ht="12.75" x14ac:dyDescent="0.35">
      <c r="A325" s="3854"/>
      <c r="B325" s="3276" t="s">
        <v>830</v>
      </c>
      <c r="C325" s="2995" t="s">
        <v>7697</v>
      </c>
      <c r="D325" s="2999"/>
    </row>
    <row r="326" spans="1:4" ht="12.75" x14ac:dyDescent="0.35">
      <c r="A326" s="3854"/>
      <c r="B326" s="3276" t="s">
        <v>7546</v>
      </c>
      <c r="C326" s="2995" t="s">
        <v>7698</v>
      </c>
      <c r="D326" s="2999"/>
    </row>
    <row r="327" spans="1:4" ht="12.75" x14ac:dyDescent="0.35">
      <c r="A327" s="3854"/>
      <c r="B327" s="3276" t="s">
        <v>7546</v>
      </c>
      <c r="C327" s="2995" t="s">
        <v>7701</v>
      </c>
      <c r="D327" s="2999"/>
    </row>
    <row r="328" spans="1:4" ht="12.75" x14ac:dyDescent="0.35">
      <c r="A328" s="3854"/>
      <c r="B328" s="3276" t="s">
        <v>7546</v>
      </c>
      <c r="C328" s="2995" t="s">
        <v>7700</v>
      </c>
      <c r="D328" s="2999"/>
    </row>
    <row r="329" spans="1:4" ht="12.75" x14ac:dyDescent="0.35">
      <c r="A329" s="3854"/>
      <c r="B329" s="3276" t="s">
        <v>7546</v>
      </c>
      <c r="C329" s="2995" t="s">
        <v>7699</v>
      </c>
      <c r="D329" s="2999"/>
    </row>
    <row r="330" spans="1:4" ht="12.75" x14ac:dyDescent="0.35">
      <c r="A330" s="3854"/>
      <c r="B330" s="3276" t="s">
        <v>3567</v>
      </c>
      <c r="C330" s="2995" t="s">
        <v>7695</v>
      </c>
      <c r="D330" s="2999"/>
    </row>
    <row r="331" spans="1:4" ht="12.75" x14ac:dyDescent="0.35">
      <c r="A331" s="3854"/>
      <c r="B331" s="3276" t="s">
        <v>7704</v>
      </c>
      <c r="C331" s="2995" t="s">
        <v>7706</v>
      </c>
      <c r="D331" s="2999"/>
    </row>
    <row r="332" spans="1:4" ht="12.75" x14ac:dyDescent="0.35">
      <c r="A332" s="3854"/>
      <c r="B332" s="3276" t="s">
        <v>7705</v>
      </c>
      <c r="C332" s="2995" t="s">
        <v>7707</v>
      </c>
      <c r="D332" s="2999"/>
    </row>
    <row r="333" spans="1:4" ht="12.75" x14ac:dyDescent="0.35">
      <c r="A333" s="3854"/>
      <c r="B333" s="3276" t="s">
        <v>7039</v>
      </c>
      <c r="C333" s="2995" t="s">
        <v>7706</v>
      </c>
      <c r="D333" s="2999"/>
    </row>
    <row r="334" spans="1:4" ht="12.75" x14ac:dyDescent="0.35">
      <c r="A334" s="3854"/>
      <c r="B334" s="3276" t="s">
        <v>7709</v>
      </c>
      <c r="C334" s="2995" t="s">
        <v>7710</v>
      </c>
      <c r="D334" s="2999"/>
    </row>
    <row r="335" spans="1:4" ht="12.75" x14ac:dyDescent="0.35">
      <c r="A335" s="3854"/>
      <c r="B335" s="3276" t="s">
        <v>7714</v>
      </c>
      <c r="C335" s="2995" t="s">
        <v>7715</v>
      </c>
      <c r="D335" s="2999"/>
    </row>
    <row r="336" spans="1:4" ht="12.75" x14ac:dyDescent="0.35">
      <c r="A336" s="3854"/>
      <c r="B336" s="3276" t="s">
        <v>7704</v>
      </c>
      <c r="C336" s="2995" t="s">
        <v>7716</v>
      </c>
      <c r="D336" s="2999"/>
    </row>
    <row r="337" spans="1:4" ht="12.75" x14ac:dyDescent="0.35">
      <c r="A337" s="3854"/>
      <c r="B337" s="3276" t="s">
        <v>7039</v>
      </c>
      <c r="C337" s="2995" t="s">
        <v>7717</v>
      </c>
      <c r="D337" s="2999"/>
    </row>
    <row r="338" spans="1:4" ht="12.75" x14ac:dyDescent="0.35">
      <c r="A338" s="3870"/>
      <c r="B338" s="3287" t="s">
        <v>6900</v>
      </c>
      <c r="C338" s="3160" t="s">
        <v>7876</v>
      </c>
      <c r="D338" s="2868"/>
    </row>
    <row r="339" spans="1:4" ht="12.75" x14ac:dyDescent="0.35">
      <c r="A339" s="3854"/>
      <c r="B339" s="3287" t="s">
        <v>6970</v>
      </c>
      <c r="C339" s="3160" t="s">
        <v>7876</v>
      </c>
      <c r="D339" s="2999"/>
    </row>
    <row r="340" spans="1:4" ht="12.75" x14ac:dyDescent="0.35">
      <c r="A340" s="3872" t="s">
        <v>7736</v>
      </c>
      <c r="B340" s="3853" t="s">
        <v>6897</v>
      </c>
      <c r="C340" s="2995" t="s">
        <v>7763</v>
      </c>
      <c r="D340" s="3185" t="s">
        <v>7795</v>
      </c>
    </row>
    <row r="341" spans="1:4" ht="25.5" x14ac:dyDescent="0.35">
      <c r="A341" s="3867"/>
      <c r="B341" s="3871"/>
      <c r="C341" s="2995" t="s">
        <v>7725</v>
      </c>
      <c r="D341" s="3161"/>
    </row>
    <row r="342" spans="1:4" ht="12.75" x14ac:dyDescent="0.35">
      <c r="A342" s="3867"/>
      <c r="B342" s="3871"/>
      <c r="C342" s="3160" t="s">
        <v>7764</v>
      </c>
      <c r="D342" s="3161"/>
    </row>
    <row r="343" spans="1:4" ht="25.5" x14ac:dyDescent="0.35">
      <c r="A343" s="3867"/>
      <c r="B343" s="3853"/>
      <c r="C343" s="2995" t="s">
        <v>7724</v>
      </c>
      <c r="D343" s="2999"/>
    </row>
    <row r="344" spans="1:4" ht="25.5" x14ac:dyDescent="0.35">
      <c r="A344" s="3867"/>
      <c r="B344" s="3853"/>
      <c r="C344" s="2995" t="s">
        <v>7726</v>
      </c>
      <c r="D344" s="2999"/>
    </row>
    <row r="345" spans="1:4" ht="25.5" x14ac:dyDescent="0.35">
      <c r="A345" s="3868"/>
      <c r="B345" s="3853"/>
      <c r="C345" s="2995" t="s">
        <v>7727</v>
      </c>
      <c r="D345" s="2999"/>
    </row>
    <row r="346" spans="1:4" ht="12.75" x14ac:dyDescent="0.35">
      <c r="A346" s="3162" t="s">
        <v>7736</v>
      </c>
      <c r="B346" s="3277" t="s">
        <v>7141</v>
      </c>
      <c r="C346" s="2995" t="s">
        <v>7734</v>
      </c>
      <c r="D346" s="2999"/>
    </row>
    <row r="347" spans="1:4" ht="25.5" x14ac:dyDescent="0.35">
      <c r="A347" s="3153"/>
      <c r="B347" s="3278"/>
      <c r="C347" s="2995" t="s">
        <v>7733</v>
      </c>
      <c r="D347" s="3161"/>
    </row>
    <row r="348" spans="1:4" x14ac:dyDescent="0.35">
      <c r="A348" s="3153"/>
      <c r="B348" s="3278"/>
      <c r="C348" s="2995" t="s">
        <v>7735</v>
      </c>
      <c r="D348" s="3161"/>
    </row>
    <row r="349" spans="1:4" ht="25.5" x14ac:dyDescent="0.35">
      <c r="A349" s="3153"/>
      <c r="B349" s="3278"/>
      <c r="C349" s="2995" t="s">
        <v>7728</v>
      </c>
      <c r="D349" s="3161"/>
    </row>
    <row r="350" spans="1:4" ht="25.5" x14ac:dyDescent="0.35">
      <c r="A350" s="3153"/>
      <c r="B350" s="3278"/>
      <c r="C350" s="2995" t="s">
        <v>7729</v>
      </c>
      <c r="D350" s="2999"/>
    </row>
    <row r="351" spans="1:4" ht="25.5" x14ac:dyDescent="0.35">
      <c r="A351" s="3153"/>
      <c r="B351" s="3278"/>
      <c r="C351" s="2995" t="s">
        <v>7730</v>
      </c>
      <c r="D351" s="2999"/>
    </row>
    <row r="352" spans="1:4" x14ac:dyDescent="0.35">
      <c r="A352" s="3153"/>
      <c r="B352" s="3278"/>
      <c r="C352" s="2995" t="s">
        <v>7720</v>
      </c>
      <c r="D352" s="2999"/>
    </row>
    <row r="353" spans="1:4" ht="25.5" x14ac:dyDescent="0.35">
      <c r="A353" s="3153"/>
      <c r="B353" s="3278"/>
      <c r="C353" s="2995" t="s">
        <v>7731</v>
      </c>
      <c r="D353" s="2999"/>
    </row>
    <row r="354" spans="1:4" x14ac:dyDescent="0.35">
      <c r="A354" s="3153"/>
      <c r="B354" s="3278"/>
      <c r="C354" s="2995" t="s">
        <v>7721</v>
      </c>
      <c r="D354" s="2999"/>
    </row>
    <row r="355" spans="1:4" ht="25.5" x14ac:dyDescent="0.35">
      <c r="A355" s="3153"/>
      <c r="B355" s="3278"/>
      <c r="C355" s="2995" t="s">
        <v>7732</v>
      </c>
      <c r="D355" s="2999"/>
    </row>
    <row r="356" spans="1:4" x14ac:dyDescent="0.35">
      <c r="A356" s="3153"/>
      <c r="B356" s="3278"/>
      <c r="C356" s="3160" t="s">
        <v>7762</v>
      </c>
      <c r="D356" s="3161"/>
    </row>
    <row r="357" spans="1:4" ht="25.5" x14ac:dyDescent="0.35">
      <c r="A357" s="3154"/>
      <c r="B357" s="3279"/>
      <c r="C357" s="2995" t="s">
        <v>7723</v>
      </c>
      <c r="D357" s="2999"/>
    </row>
    <row r="358" spans="1:4" x14ac:dyDescent="0.35">
      <c r="A358" s="3157" t="s">
        <v>7769</v>
      </c>
      <c r="B358" s="3003" t="s">
        <v>6883</v>
      </c>
      <c r="C358" s="3160" t="s">
        <v>7770</v>
      </c>
      <c r="D358" s="3161" t="s">
        <v>7771</v>
      </c>
    </row>
    <row r="359" spans="1:4" x14ac:dyDescent="0.35">
      <c r="A359" s="3158"/>
      <c r="B359" s="3006"/>
      <c r="C359" s="3160" t="s">
        <v>7772</v>
      </c>
      <c r="D359" s="3161"/>
    </row>
    <row r="360" spans="1:4" ht="52.5" x14ac:dyDescent="0.35">
      <c r="A360" s="3105" t="s">
        <v>7773</v>
      </c>
      <c r="B360" s="3006"/>
      <c r="C360" s="3160" t="s">
        <v>7774</v>
      </c>
      <c r="D360" s="3161"/>
    </row>
    <row r="361" spans="1:4" x14ac:dyDescent="0.35">
      <c r="A361" s="3158"/>
      <c r="B361" s="3006"/>
      <c r="C361" s="3160" t="s">
        <v>7775</v>
      </c>
      <c r="D361" s="3161" t="s">
        <v>7776</v>
      </c>
    </row>
    <row r="362" spans="1:4" x14ac:dyDescent="0.35">
      <c r="A362" s="3158"/>
      <c r="B362" s="3006"/>
      <c r="C362" s="3160" t="s">
        <v>7777</v>
      </c>
      <c r="D362" s="3161"/>
    </row>
    <row r="363" spans="1:4" x14ac:dyDescent="0.35">
      <c r="A363" s="3158"/>
      <c r="B363" s="3006"/>
      <c r="C363" s="3160" t="s">
        <v>7778</v>
      </c>
      <c r="D363" s="3161" t="s">
        <v>7776</v>
      </c>
    </row>
    <row r="364" spans="1:4" x14ac:dyDescent="0.35">
      <c r="A364" s="3158"/>
      <c r="B364" s="3006"/>
      <c r="C364" s="3160" t="s">
        <v>7779</v>
      </c>
      <c r="D364" s="3161"/>
    </row>
    <row r="365" spans="1:4" x14ac:dyDescent="0.35">
      <c r="A365" s="3158"/>
      <c r="B365" s="3006"/>
      <c r="C365" s="3160" t="s">
        <v>7780</v>
      </c>
      <c r="D365" s="3161"/>
    </row>
    <row r="366" spans="1:4" ht="25.5" x14ac:dyDescent="0.35">
      <c r="A366" s="3158"/>
      <c r="B366" s="3006"/>
      <c r="C366" s="3160" t="s">
        <v>7781</v>
      </c>
      <c r="D366" s="3161"/>
    </row>
    <row r="367" spans="1:4" x14ac:dyDescent="0.35">
      <c r="A367" s="3158"/>
      <c r="B367" s="3006"/>
      <c r="C367" s="3160" t="s">
        <v>7782</v>
      </c>
      <c r="D367" s="3161"/>
    </row>
    <row r="368" spans="1:4" ht="25.5" x14ac:dyDescent="0.35">
      <c r="A368" s="3158"/>
      <c r="B368" s="3275"/>
      <c r="C368" s="3160" t="s">
        <v>7783</v>
      </c>
      <c r="D368" s="3161"/>
    </row>
    <row r="369" spans="1:4" x14ac:dyDescent="0.35">
      <c r="A369" s="3158"/>
      <c r="B369" s="3006" t="s">
        <v>7784</v>
      </c>
      <c r="C369" s="3160" t="s">
        <v>7785</v>
      </c>
      <c r="D369" s="3161"/>
    </row>
    <row r="370" spans="1:4" x14ac:dyDescent="0.35">
      <c r="A370" s="3158"/>
      <c r="B370" s="3003" t="s">
        <v>6877</v>
      </c>
      <c r="C370" s="3160" t="s">
        <v>7786</v>
      </c>
      <c r="D370" s="3161"/>
    </row>
    <row r="371" spans="1:4" x14ac:dyDescent="0.35">
      <c r="A371" s="3158"/>
      <c r="B371" s="3006"/>
      <c r="C371" s="3160" t="s">
        <v>7787</v>
      </c>
      <c r="D371" s="3161"/>
    </row>
    <row r="372" spans="1:4" x14ac:dyDescent="0.35">
      <c r="A372" s="3158"/>
      <c r="B372" s="3275"/>
      <c r="C372" s="3160" t="s">
        <v>7788</v>
      </c>
      <c r="D372" s="3161"/>
    </row>
    <row r="373" spans="1:4" ht="25.5" x14ac:dyDescent="0.35">
      <c r="A373" s="3158"/>
      <c r="B373" s="3184" t="s">
        <v>7789</v>
      </c>
      <c r="C373" s="3161" t="s">
        <v>7790</v>
      </c>
      <c r="D373" s="3185" t="s">
        <v>7791</v>
      </c>
    </row>
    <row r="374" spans="1:4" ht="25.5" x14ac:dyDescent="0.35">
      <c r="A374" s="3158"/>
      <c r="B374" s="3275" t="s">
        <v>6900</v>
      </c>
      <c r="C374" s="3160" t="s">
        <v>7792</v>
      </c>
      <c r="D374" s="3161"/>
    </row>
    <row r="375" spans="1:4" x14ac:dyDescent="0.35">
      <c r="A375" s="3158"/>
      <c r="B375" s="3275" t="s">
        <v>7793</v>
      </c>
      <c r="C375" s="3185" t="s">
        <v>7794</v>
      </c>
      <c r="D375" s="3185" t="s">
        <v>7795</v>
      </c>
    </row>
    <row r="376" spans="1:4" ht="25.5" x14ac:dyDescent="0.35">
      <c r="A376" s="3158"/>
      <c r="B376" s="3186" t="s">
        <v>7789</v>
      </c>
      <c r="C376" s="3185" t="s">
        <v>7796</v>
      </c>
      <c r="D376" s="3185"/>
    </row>
    <row r="377" spans="1:4" ht="25.5" x14ac:dyDescent="0.35">
      <c r="A377" s="3158"/>
      <c r="B377" s="3186" t="s">
        <v>7789</v>
      </c>
      <c r="C377" s="3185" t="s">
        <v>7797</v>
      </c>
      <c r="D377" s="3185"/>
    </row>
    <row r="378" spans="1:4" ht="25.5" x14ac:dyDescent="0.35">
      <c r="A378" s="3158"/>
      <c r="B378" s="3186" t="s">
        <v>7789</v>
      </c>
      <c r="C378" s="3185" t="s">
        <v>7798</v>
      </c>
      <c r="D378" s="3185"/>
    </row>
    <row r="379" spans="1:4" x14ac:dyDescent="0.35">
      <c r="A379" s="3158"/>
      <c r="B379" s="3275" t="s">
        <v>6900</v>
      </c>
      <c r="C379" s="3160" t="s">
        <v>7799</v>
      </c>
      <c r="D379" s="3161"/>
    </row>
    <row r="380" spans="1:4" x14ac:dyDescent="0.35">
      <c r="A380" s="3158"/>
      <c r="B380" s="3275" t="s">
        <v>6900</v>
      </c>
      <c r="C380" s="3160" t="s">
        <v>7800</v>
      </c>
      <c r="D380" s="3161"/>
    </row>
    <row r="381" spans="1:4" x14ac:dyDescent="0.35">
      <c r="A381" s="3158"/>
      <c r="B381" s="3275" t="s">
        <v>6900</v>
      </c>
      <c r="C381" s="3160" t="s">
        <v>7801</v>
      </c>
      <c r="D381" s="3161"/>
    </row>
    <row r="382" spans="1:4" x14ac:dyDescent="0.35">
      <c r="A382" s="3158"/>
      <c r="B382" s="3275" t="s">
        <v>6900</v>
      </c>
      <c r="C382" s="3160" t="s">
        <v>7802</v>
      </c>
      <c r="D382" s="3161"/>
    </row>
    <row r="383" spans="1:4" x14ac:dyDescent="0.35">
      <c r="A383" s="3158"/>
      <c r="B383" s="3286" t="s">
        <v>7793</v>
      </c>
      <c r="C383" s="3185" t="s">
        <v>7803</v>
      </c>
      <c r="D383" s="3185" t="s">
        <v>7795</v>
      </c>
    </row>
    <row r="384" spans="1:4" x14ac:dyDescent="0.35">
      <c r="A384" s="3158"/>
      <c r="B384" s="3286" t="s">
        <v>7793</v>
      </c>
      <c r="C384" s="3185" t="s">
        <v>7804</v>
      </c>
      <c r="D384" s="3185" t="s">
        <v>7795</v>
      </c>
    </row>
    <row r="385" spans="1:4" x14ac:dyDescent="0.35">
      <c r="A385" s="3158"/>
      <c r="B385" s="3286" t="s">
        <v>7793</v>
      </c>
      <c r="C385" s="3185" t="s">
        <v>7805</v>
      </c>
      <c r="D385" s="3185" t="s">
        <v>7795</v>
      </c>
    </row>
    <row r="386" spans="1:4" x14ac:dyDescent="0.35">
      <c r="A386" s="3158"/>
      <c r="B386" s="3286" t="s">
        <v>7793</v>
      </c>
      <c r="C386" s="3187" t="s">
        <v>7802</v>
      </c>
      <c r="D386" s="3185" t="s">
        <v>7806</v>
      </c>
    </row>
    <row r="387" spans="1:4" ht="25.5" x14ac:dyDescent="0.35">
      <c r="A387" s="3158"/>
      <c r="B387" s="3279" t="s">
        <v>7807</v>
      </c>
      <c r="C387" s="3188" t="s">
        <v>7808</v>
      </c>
      <c r="D387" s="3189" t="s">
        <v>7809</v>
      </c>
    </row>
    <row r="388" spans="1:4" ht="25.5" x14ac:dyDescent="0.35">
      <c r="A388" s="3158"/>
      <c r="B388" s="3279" t="s">
        <v>7810</v>
      </c>
      <c r="C388" s="3188" t="s">
        <v>7811</v>
      </c>
      <c r="D388" s="3189" t="s">
        <v>7809</v>
      </c>
    </row>
    <row r="389" spans="1:4" ht="25.5" x14ac:dyDescent="0.35">
      <c r="A389" s="3158"/>
      <c r="B389" s="3279" t="s">
        <v>7812</v>
      </c>
      <c r="C389" s="3188" t="s">
        <v>7813</v>
      </c>
      <c r="D389" s="3189" t="s">
        <v>7809</v>
      </c>
    </row>
    <row r="390" spans="1:4" ht="25.5" x14ac:dyDescent="0.35">
      <c r="A390" s="3158"/>
      <c r="B390" s="3279" t="s">
        <v>7814</v>
      </c>
      <c r="C390" s="3188" t="s">
        <v>7813</v>
      </c>
      <c r="D390" s="3189" t="s">
        <v>7809</v>
      </c>
    </row>
    <row r="391" spans="1:4" ht="38.25" x14ac:dyDescent="0.35">
      <c r="A391" s="3158"/>
      <c r="B391" s="3279" t="s">
        <v>7815</v>
      </c>
      <c r="C391" s="3188" t="s">
        <v>7816</v>
      </c>
      <c r="D391" s="3189" t="s">
        <v>7809</v>
      </c>
    </row>
    <row r="392" spans="1:4" x14ac:dyDescent="0.35">
      <c r="A392" s="3159"/>
      <c r="B392" s="3279" t="s">
        <v>7817</v>
      </c>
      <c r="C392" s="3188" t="s">
        <v>7818</v>
      </c>
      <c r="D392" s="3189" t="s">
        <v>7809</v>
      </c>
    </row>
    <row r="393" spans="1:4" x14ac:dyDescent="0.4">
      <c r="A393" s="3169" t="s">
        <v>7742</v>
      </c>
      <c r="B393" s="3270">
        <v>42977</v>
      </c>
      <c r="C393" s="2953" t="s">
        <v>7747</v>
      </c>
      <c r="D393" s="2997"/>
    </row>
    <row r="394" spans="1:4" ht="25.5" x14ac:dyDescent="0.35">
      <c r="A394" s="3156" t="s">
        <v>6972</v>
      </c>
      <c r="B394" s="3287" t="s">
        <v>7545</v>
      </c>
      <c r="C394" s="3160" t="s">
        <v>7753</v>
      </c>
      <c r="D394" s="3161"/>
    </row>
    <row r="395" spans="1:4" x14ac:dyDescent="0.35">
      <c r="A395" s="3157" t="s">
        <v>7754</v>
      </c>
      <c r="B395" s="3277" t="s">
        <v>6893</v>
      </c>
      <c r="C395" s="3160" t="s">
        <v>7756</v>
      </c>
      <c r="D395" s="3161"/>
    </row>
    <row r="396" spans="1:4" x14ac:dyDescent="0.35">
      <c r="A396" s="3158"/>
      <c r="B396" s="3278"/>
      <c r="C396" s="3160" t="s">
        <v>7757</v>
      </c>
      <c r="D396" s="3161"/>
    </row>
    <row r="397" spans="1:4" x14ac:dyDescent="0.35">
      <c r="A397" s="3158"/>
      <c r="B397" s="3278"/>
      <c r="C397" s="3160" t="s">
        <v>7755</v>
      </c>
      <c r="D397" s="3161"/>
    </row>
    <row r="398" spans="1:4" x14ac:dyDescent="0.35">
      <c r="A398" s="3159"/>
      <c r="B398" s="3279"/>
      <c r="C398" s="3160" t="s">
        <v>7758</v>
      </c>
      <c r="D398" s="3161"/>
    </row>
    <row r="399" spans="1:4" ht="25.5" x14ac:dyDescent="0.35">
      <c r="A399" s="3156" t="s">
        <v>7736</v>
      </c>
      <c r="B399" s="3287" t="s">
        <v>6895</v>
      </c>
      <c r="C399" s="3160" t="s">
        <v>7751</v>
      </c>
      <c r="D399" s="3161"/>
    </row>
    <row r="400" spans="1:4" x14ac:dyDescent="0.35">
      <c r="A400" s="3156" t="s">
        <v>7736</v>
      </c>
      <c r="B400" s="3287" t="s">
        <v>6895</v>
      </c>
      <c r="C400" s="3160" t="s">
        <v>7752</v>
      </c>
      <c r="D400" s="3161"/>
    </row>
    <row r="401" spans="1:4" x14ac:dyDescent="0.35">
      <c r="A401" s="3156" t="s">
        <v>7745</v>
      </c>
      <c r="B401" s="3287" t="s">
        <v>7187</v>
      </c>
      <c r="C401" s="3160" t="s">
        <v>7760</v>
      </c>
      <c r="D401" s="3161"/>
    </row>
    <row r="402" spans="1:4" x14ac:dyDescent="0.35">
      <c r="A402" s="3156" t="s">
        <v>7745</v>
      </c>
      <c r="B402" s="3287" t="s">
        <v>7187</v>
      </c>
      <c r="C402" s="3160" t="s">
        <v>7761</v>
      </c>
      <c r="D402" s="3161"/>
    </row>
    <row r="403" spans="1:4" x14ac:dyDescent="0.35">
      <c r="A403" s="3156" t="s">
        <v>7745</v>
      </c>
      <c r="B403" s="3287" t="s">
        <v>6877</v>
      </c>
      <c r="C403" s="3160" t="s">
        <v>7749</v>
      </c>
      <c r="D403" s="3161"/>
    </row>
    <row r="404" spans="1:4" x14ac:dyDescent="0.35">
      <c r="A404" s="3156" t="s">
        <v>7745</v>
      </c>
      <c r="B404" s="3287" t="s">
        <v>7743</v>
      </c>
      <c r="C404" s="3160" t="s">
        <v>7748</v>
      </c>
      <c r="D404" s="3161"/>
    </row>
    <row r="405" spans="1:4" s="1002" customFormat="1" x14ac:dyDescent="0.35">
      <c r="A405" s="3156" t="s">
        <v>7745</v>
      </c>
      <c r="B405" s="3184" t="s">
        <v>7743</v>
      </c>
      <c r="C405" s="3167" t="s">
        <v>7744</v>
      </c>
      <c r="D405" s="3161"/>
    </row>
    <row r="406" spans="1:4" x14ac:dyDescent="0.35">
      <c r="A406" s="3156" t="s">
        <v>7745</v>
      </c>
      <c r="B406" s="3184" t="s">
        <v>7743</v>
      </c>
      <c r="C406" s="3167" t="s">
        <v>7759</v>
      </c>
      <c r="D406" s="3161"/>
    </row>
    <row r="407" spans="1:4" x14ac:dyDescent="0.35">
      <c r="A407" s="3157" t="s">
        <v>7820</v>
      </c>
      <c r="B407" s="3277" t="s">
        <v>6883</v>
      </c>
      <c r="C407" s="3160" t="s">
        <v>7834</v>
      </c>
      <c r="D407" s="3161"/>
    </row>
    <row r="408" spans="1:4" x14ac:dyDescent="0.35">
      <c r="A408" s="3158"/>
      <c r="B408" s="3278"/>
      <c r="C408" s="3160" t="s">
        <v>7835</v>
      </c>
      <c r="D408" s="3161"/>
    </row>
    <row r="409" spans="1:4" x14ac:dyDescent="0.35">
      <c r="A409" s="3158"/>
      <c r="B409" s="3278"/>
      <c r="C409" s="3160" t="s">
        <v>7836</v>
      </c>
      <c r="D409" s="3161"/>
    </row>
    <row r="410" spans="1:4" x14ac:dyDescent="0.35">
      <c r="A410" s="3159"/>
      <c r="B410" s="3279"/>
      <c r="C410" s="3160" t="s">
        <v>7837</v>
      </c>
      <c r="D410" s="3161"/>
    </row>
    <row r="411" spans="1:4" x14ac:dyDescent="0.35">
      <c r="A411" s="3157" t="s">
        <v>7708</v>
      </c>
      <c r="B411" s="3277" t="s">
        <v>7187</v>
      </c>
      <c r="C411" s="3160" t="s">
        <v>7821</v>
      </c>
      <c r="D411" s="3161"/>
    </row>
    <row r="412" spans="1:4" x14ac:dyDescent="0.35">
      <c r="A412" s="3158"/>
      <c r="B412" s="3278"/>
      <c r="C412" s="3160" t="s">
        <v>7822</v>
      </c>
      <c r="D412" s="3161"/>
    </row>
    <row r="413" spans="1:4" x14ac:dyDescent="0.35">
      <c r="A413" s="3158"/>
      <c r="B413" s="3278"/>
      <c r="C413" s="3160" t="s">
        <v>7824</v>
      </c>
      <c r="D413" s="3161"/>
    </row>
    <row r="414" spans="1:4" x14ac:dyDescent="0.35">
      <c r="A414" s="3158"/>
      <c r="B414" s="3278"/>
      <c r="C414" s="3160" t="s">
        <v>7825</v>
      </c>
      <c r="D414" s="3161"/>
    </row>
    <row r="415" spans="1:4" x14ac:dyDescent="0.35">
      <c r="A415" s="3158"/>
      <c r="B415" s="3278"/>
      <c r="C415" s="3160" t="s">
        <v>7826</v>
      </c>
      <c r="D415" s="3161"/>
    </row>
    <row r="416" spans="1:4" x14ac:dyDescent="0.35">
      <c r="A416" s="3158"/>
      <c r="B416" s="3278"/>
      <c r="C416" s="3160" t="s">
        <v>7827</v>
      </c>
      <c r="D416" s="3161"/>
    </row>
    <row r="417" spans="1:4" x14ac:dyDescent="0.35">
      <c r="A417" s="3158"/>
      <c r="B417" s="3278"/>
      <c r="C417" s="3160" t="s">
        <v>7828</v>
      </c>
      <c r="D417" s="3161"/>
    </row>
    <row r="418" spans="1:4" x14ac:dyDescent="0.35">
      <c r="A418" s="3158"/>
      <c r="B418" s="3278"/>
      <c r="C418" s="3160" t="s">
        <v>7829</v>
      </c>
      <c r="D418" s="3161"/>
    </row>
    <row r="419" spans="1:4" x14ac:dyDescent="0.35">
      <c r="A419" s="3158"/>
      <c r="B419" s="3278"/>
      <c r="C419" s="3160" t="s">
        <v>7830</v>
      </c>
      <c r="D419" s="3161"/>
    </row>
    <row r="420" spans="1:4" x14ac:dyDescent="0.35">
      <c r="A420" s="3158"/>
      <c r="B420" s="3278"/>
      <c r="C420" s="3160" t="s">
        <v>7831</v>
      </c>
      <c r="D420" s="3161"/>
    </row>
    <row r="421" spans="1:4" x14ac:dyDescent="0.35">
      <c r="A421" s="3158"/>
      <c r="B421" s="3278"/>
      <c r="C421" s="3160" t="s">
        <v>7832</v>
      </c>
      <c r="D421" s="3161"/>
    </row>
    <row r="422" spans="1:4" x14ac:dyDescent="0.35">
      <c r="A422" s="3158"/>
      <c r="B422" s="3278"/>
      <c r="C422" s="3160" t="s">
        <v>7833</v>
      </c>
      <c r="D422" s="3161"/>
    </row>
    <row r="423" spans="1:4" x14ac:dyDescent="0.35">
      <c r="A423" s="3165"/>
      <c r="B423" s="3184" t="s">
        <v>6877</v>
      </c>
      <c r="C423" s="3160" t="s">
        <v>7823</v>
      </c>
      <c r="D423" s="2868"/>
    </row>
    <row r="424" spans="1:4" ht="25.5" x14ac:dyDescent="0.35">
      <c r="A424" s="3159"/>
      <c r="B424" s="3287" t="s">
        <v>7789</v>
      </c>
      <c r="C424" s="3160" t="s">
        <v>7875</v>
      </c>
      <c r="D424" s="3161"/>
    </row>
    <row r="425" spans="1:4" ht="39.4" x14ac:dyDescent="0.35">
      <c r="A425" s="3164" t="s">
        <v>7874</v>
      </c>
      <c r="B425" s="3287" t="s">
        <v>6900</v>
      </c>
      <c r="C425" s="3160" t="s">
        <v>7866</v>
      </c>
      <c r="D425" s="3161"/>
    </row>
    <row r="426" spans="1:4" x14ac:dyDescent="0.35">
      <c r="A426" s="3165"/>
      <c r="B426" s="3287" t="s">
        <v>6970</v>
      </c>
      <c r="C426" s="3167" t="s">
        <v>7866</v>
      </c>
      <c r="D426" s="3161" t="s">
        <v>7795</v>
      </c>
    </row>
    <row r="427" spans="1:4" ht="25.5" x14ac:dyDescent="0.35">
      <c r="A427" s="3165"/>
      <c r="B427" s="3287" t="s">
        <v>7789</v>
      </c>
      <c r="C427" s="3167" t="s">
        <v>7877</v>
      </c>
      <c r="D427" s="3161"/>
    </row>
    <row r="428" spans="1:4" ht="25.5" x14ac:dyDescent="0.35">
      <c r="A428" s="3165"/>
      <c r="B428" s="3287" t="s">
        <v>7789</v>
      </c>
      <c r="C428" s="3167" t="s">
        <v>7878</v>
      </c>
      <c r="D428" s="3161"/>
    </row>
    <row r="429" spans="1:4" ht="25.5" x14ac:dyDescent="0.35">
      <c r="A429" s="3165"/>
      <c r="B429" s="3279" t="s">
        <v>7807</v>
      </c>
      <c r="C429" s="3254" t="s">
        <v>7871</v>
      </c>
      <c r="D429" s="3189" t="s">
        <v>7809</v>
      </c>
    </row>
    <row r="430" spans="1:4" ht="25.5" x14ac:dyDescent="0.35">
      <c r="A430" s="3165"/>
      <c r="B430" s="3279" t="s">
        <v>7810</v>
      </c>
      <c r="C430" s="3254" t="s">
        <v>7872</v>
      </c>
      <c r="D430" s="3189" t="s">
        <v>7809</v>
      </c>
    </row>
    <row r="431" spans="1:4" x14ac:dyDescent="0.35">
      <c r="A431" s="3166"/>
      <c r="B431" s="3279" t="s">
        <v>7817</v>
      </c>
      <c r="C431" s="3254" t="s">
        <v>7818</v>
      </c>
      <c r="D431" s="3189" t="s">
        <v>7809</v>
      </c>
    </row>
    <row r="432" spans="1:4" ht="26.25" x14ac:dyDescent="0.4">
      <c r="A432" s="3169" t="s">
        <v>8006</v>
      </c>
      <c r="B432" s="3270">
        <v>43007</v>
      </c>
      <c r="C432" s="2953" t="s">
        <v>8014</v>
      </c>
      <c r="D432" s="2997"/>
    </row>
    <row r="433" spans="1:4" x14ac:dyDescent="0.35">
      <c r="A433" s="2738"/>
      <c r="B433" s="3287"/>
      <c r="C433" s="3167" t="s">
        <v>7888</v>
      </c>
      <c r="D433" s="3189" t="s">
        <v>7809</v>
      </c>
    </row>
    <row r="434" spans="1:4" ht="25.5" x14ac:dyDescent="0.35">
      <c r="A434" s="3318" t="s">
        <v>6972</v>
      </c>
      <c r="B434" s="3319" t="s">
        <v>6894</v>
      </c>
      <c r="C434" s="3161" t="s">
        <v>7889</v>
      </c>
      <c r="D434" s="3161" t="s">
        <v>7890</v>
      </c>
    </row>
    <row r="435" spans="1:4" ht="25.9" x14ac:dyDescent="0.4">
      <c r="A435" s="3318" t="s">
        <v>6972</v>
      </c>
      <c r="B435" s="3319" t="s">
        <v>6894</v>
      </c>
      <c r="C435" s="3161" t="s">
        <v>7891</v>
      </c>
      <c r="D435" s="3161" t="s">
        <v>7892</v>
      </c>
    </row>
    <row r="436" spans="1:4" x14ac:dyDescent="0.35">
      <c r="A436" s="3318" t="s">
        <v>6972</v>
      </c>
      <c r="B436" s="3319" t="s">
        <v>6894</v>
      </c>
      <c r="C436" s="3161" t="s">
        <v>7904</v>
      </c>
      <c r="D436" s="3325" t="s">
        <v>7905</v>
      </c>
    </row>
    <row r="437" spans="1:4" x14ac:dyDescent="0.35">
      <c r="A437" s="3318" t="s">
        <v>6972</v>
      </c>
      <c r="B437" s="3319" t="s">
        <v>6894</v>
      </c>
      <c r="C437" s="3161" t="s">
        <v>7906</v>
      </c>
      <c r="D437" s="3326"/>
    </row>
    <row r="438" spans="1:4" x14ac:dyDescent="0.35">
      <c r="A438" s="3318" t="s">
        <v>6972</v>
      </c>
      <c r="B438" s="3319" t="s">
        <v>6894</v>
      </c>
      <c r="C438" s="3161" t="s">
        <v>7925</v>
      </c>
      <c r="D438" s="3326"/>
    </row>
    <row r="439" spans="1:4" x14ac:dyDescent="0.35">
      <c r="A439" s="3318" t="s">
        <v>6972</v>
      </c>
      <c r="B439" s="3319" t="s">
        <v>6894</v>
      </c>
      <c r="C439" s="3161" t="s">
        <v>7926</v>
      </c>
      <c r="D439" s="3326"/>
    </row>
    <row r="440" spans="1:4" ht="25.5" x14ac:dyDescent="0.35">
      <c r="A440" s="3318" t="s">
        <v>6972</v>
      </c>
      <c r="B440" s="3319" t="s">
        <v>6894</v>
      </c>
      <c r="C440" s="3161" t="s">
        <v>7907</v>
      </c>
      <c r="D440" s="2903"/>
    </row>
    <row r="441" spans="1:4" x14ac:dyDescent="0.35">
      <c r="A441" s="3318" t="s">
        <v>6972</v>
      </c>
      <c r="B441" s="3319" t="s">
        <v>6894</v>
      </c>
      <c r="C441" s="3161" t="s">
        <v>7923</v>
      </c>
      <c r="D441" s="3325" t="s">
        <v>7908</v>
      </c>
    </row>
    <row r="442" spans="1:4" x14ac:dyDescent="0.35">
      <c r="A442" s="3318" t="s">
        <v>6972</v>
      </c>
      <c r="B442" s="3319" t="s">
        <v>6894</v>
      </c>
      <c r="C442" s="3161" t="s">
        <v>7924</v>
      </c>
      <c r="D442" s="3326"/>
    </row>
    <row r="443" spans="1:4" ht="25.5" x14ac:dyDescent="0.35">
      <c r="A443" s="3318" t="s">
        <v>6972</v>
      </c>
      <c r="B443" s="3319" t="s">
        <v>6894</v>
      </c>
      <c r="C443" s="3161" t="s">
        <v>7909</v>
      </c>
      <c r="D443" s="3326"/>
    </row>
    <row r="444" spans="1:4" ht="38.25" x14ac:dyDescent="0.35">
      <c r="A444" s="3318" t="s">
        <v>6972</v>
      </c>
      <c r="B444" s="3319" t="s">
        <v>6894</v>
      </c>
      <c r="C444" s="3161" t="s">
        <v>7920</v>
      </c>
      <c r="D444" s="3161"/>
    </row>
    <row r="445" spans="1:4" ht="89.25" x14ac:dyDescent="0.35">
      <c r="A445" s="3318" t="s">
        <v>6972</v>
      </c>
      <c r="B445" s="3319" t="s">
        <v>6894</v>
      </c>
      <c r="C445" s="3161" t="s">
        <v>7910</v>
      </c>
      <c r="D445" s="3161" t="s">
        <v>7903</v>
      </c>
    </row>
    <row r="446" spans="1:4" ht="25.5" x14ac:dyDescent="0.35">
      <c r="A446" s="3318" t="s">
        <v>6972</v>
      </c>
      <c r="B446" s="3319" t="s">
        <v>6894</v>
      </c>
      <c r="C446" s="3161" t="s">
        <v>7911</v>
      </c>
      <c r="D446" s="3325" t="s">
        <v>7912</v>
      </c>
    </row>
    <row r="447" spans="1:4" ht="25.5" x14ac:dyDescent="0.35">
      <c r="A447" s="3353" t="s">
        <v>6972</v>
      </c>
      <c r="B447" s="3354" t="s">
        <v>6894</v>
      </c>
      <c r="C447" s="3161" t="s">
        <v>7913</v>
      </c>
      <c r="D447" s="2903"/>
    </row>
    <row r="448" spans="1:4" x14ac:dyDescent="0.35">
      <c r="A448" s="3323"/>
      <c r="B448" s="3012"/>
      <c r="C448" s="3161" t="s">
        <v>7894</v>
      </c>
      <c r="D448" s="3161"/>
    </row>
    <row r="449" spans="1:4" x14ac:dyDescent="0.35">
      <c r="A449" s="3323"/>
      <c r="B449" s="3012"/>
      <c r="C449" s="3161" t="s">
        <v>7895</v>
      </c>
      <c r="D449" s="3161"/>
    </row>
    <row r="450" spans="1:4" x14ac:dyDescent="0.35">
      <c r="A450" s="3323"/>
      <c r="B450" s="3012"/>
      <c r="C450" s="3161" t="s">
        <v>7896</v>
      </c>
      <c r="D450" s="3320"/>
    </row>
    <row r="451" spans="1:4" ht="25.5" x14ac:dyDescent="0.35">
      <c r="A451" s="3323"/>
      <c r="B451" s="3012"/>
      <c r="C451" s="3161" t="s">
        <v>7897</v>
      </c>
      <c r="D451" s="3320"/>
    </row>
    <row r="452" spans="1:4" ht="38.25" x14ac:dyDescent="0.35">
      <c r="A452" s="3323"/>
      <c r="B452" s="3012"/>
      <c r="C452" s="3161" t="s">
        <v>7898</v>
      </c>
      <c r="D452" s="3320"/>
    </row>
    <row r="453" spans="1:4" x14ac:dyDescent="0.35">
      <c r="A453" s="3324"/>
      <c r="B453" s="3015"/>
      <c r="C453" s="3161" t="s">
        <v>7899</v>
      </c>
      <c r="D453" s="3320"/>
    </row>
    <row r="454" spans="1:4" ht="38.25" x14ac:dyDescent="0.35">
      <c r="A454" s="3318" t="s">
        <v>6972</v>
      </c>
      <c r="B454" s="3319" t="s">
        <v>6894</v>
      </c>
      <c r="C454" s="3161" t="s">
        <v>7930</v>
      </c>
      <c r="D454" s="3009" t="s">
        <v>7931</v>
      </c>
    </row>
    <row r="455" spans="1:4" s="1002" customFormat="1" x14ac:dyDescent="0.35">
      <c r="A455" s="2738" t="s">
        <v>7927</v>
      </c>
      <c r="B455" s="3319" t="s">
        <v>4114</v>
      </c>
      <c r="C455" s="3167" t="s">
        <v>7954</v>
      </c>
      <c r="D455" s="3394" t="s">
        <v>7952</v>
      </c>
    </row>
    <row r="456" spans="1:4" s="1002" customFormat="1" x14ac:dyDescent="0.35">
      <c r="A456" s="3323"/>
      <c r="B456" s="3319" t="s">
        <v>6996</v>
      </c>
      <c r="C456" s="3167" t="s">
        <v>7944</v>
      </c>
      <c r="D456" s="3395" t="s">
        <v>7951</v>
      </c>
    </row>
    <row r="457" spans="1:4" s="1002" customFormat="1" x14ac:dyDescent="0.35">
      <c r="A457" s="3323"/>
      <c r="B457" s="3319" t="s">
        <v>7950</v>
      </c>
      <c r="C457" s="3167" t="s">
        <v>7954</v>
      </c>
      <c r="D457" s="3395" t="s">
        <v>7953</v>
      </c>
    </row>
    <row r="458" spans="1:4" s="1002" customFormat="1" x14ac:dyDescent="0.35">
      <c r="A458" s="3323"/>
      <c r="B458" s="3319" t="s">
        <v>7039</v>
      </c>
      <c r="C458" s="3167" t="s">
        <v>7954</v>
      </c>
      <c r="D458" s="3395"/>
    </row>
    <row r="459" spans="1:4" s="1002" customFormat="1" ht="25.5" x14ac:dyDescent="0.35">
      <c r="A459" s="3323"/>
      <c r="B459" s="3319" t="s">
        <v>7745</v>
      </c>
      <c r="C459" s="3167" t="s">
        <v>7942</v>
      </c>
      <c r="D459" s="3326" t="s">
        <v>7928</v>
      </c>
    </row>
    <row r="460" spans="1:4" s="1002" customFormat="1" ht="38.25" x14ac:dyDescent="0.35">
      <c r="A460" s="3323"/>
      <c r="B460" s="3354" t="s">
        <v>6897</v>
      </c>
      <c r="C460" s="3167" t="s">
        <v>7955</v>
      </c>
      <c r="D460" s="3326" t="s">
        <v>7929</v>
      </c>
    </row>
    <row r="461" spans="1:4" s="1002" customFormat="1" x14ac:dyDescent="0.35">
      <c r="A461" s="3323"/>
      <c r="B461" s="3012"/>
      <c r="C461" s="3167" t="s">
        <v>7956</v>
      </c>
      <c r="D461" s="1843"/>
    </row>
    <row r="462" spans="1:4" s="1002" customFormat="1" x14ac:dyDescent="0.35">
      <c r="A462" s="3323"/>
      <c r="B462" s="3012"/>
      <c r="C462" s="3167" t="s">
        <v>7957</v>
      </c>
      <c r="D462" s="1843"/>
    </row>
    <row r="463" spans="1:4" s="1002" customFormat="1" x14ac:dyDescent="0.35">
      <c r="A463" s="3323"/>
      <c r="B463" s="3012"/>
      <c r="C463" s="3167" t="s">
        <v>7958</v>
      </c>
      <c r="D463" s="1843"/>
    </row>
    <row r="464" spans="1:4" s="1002" customFormat="1" x14ac:dyDescent="0.35">
      <c r="A464" s="3323"/>
      <c r="B464" s="3012"/>
      <c r="C464" s="3167" t="s">
        <v>7959</v>
      </c>
      <c r="D464" s="1843"/>
    </row>
    <row r="465" spans="1:4" s="1002" customFormat="1" x14ac:dyDescent="0.35">
      <c r="A465" s="3323"/>
      <c r="B465" s="3012"/>
      <c r="C465" s="3167" t="s">
        <v>7961</v>
      </c>
      <c r="D465" s="1843"/>
    </row>
    <row r="466" spans="1:4" s="1002" customFormat="1" x14ac:dyDescent="0.35">
      <c r="A466" s="3323"/>
      <c r="B466" s="3012"/>
      <c r="C466" s="3167" t="s">
        <v>7960</v>
      </c>
      <c r="D466" s="3326"/>
    </row>
    <row r="467" spans="1:4" s="1002" customFormat="1" x14ac:dyDescent="0.35">
      <c r="A467" s="3323"/>
      <c r="B467" s="3012"/>
      <c r="C467" s="3167" t="s">
        <v>7966</v>
      </c>
      <c r="D467" s="3326"/>
    </row>
    <row r="468" spans="1:4" s="1002" customFormat="1" x14ac:dyDescent="0.35">
      <c r="A468" s="3323"/>
      <c r="B468" s="3012"/>
      <c r="C468" s="3167" t="s">
        <v>7965</v>
      </c>
      <c r="D468" s="3326"/>
    </row>
    <row r="469" spans="1:4" s="1002" customFormat="1" x14ac:dyDescent="0.35">
      <c r="A469" s="3323"/>
      <c r="B469" s="3012"/>
      <c r="C469" s="3167" t="s">
        <v>7964</v>
      </c>
      <c r="D469" s="3326"/>
    </row>
    <row r="470" spans="1:4" s="1002" customFormat="1" x14ac:dyDescent="0.35">
      <c r="A470" s="3324"/>
      <c r="B470" s="3015"/>
      <c r="C470" s="3167" t="s">
        <v>7963</v>
      </c>
      <c r="D470" s="2903"/>
    </row>
    <row r="471" spans="1:4" s="1002" customFormat="1" x14ac:dyDescent="0.35">
      <c r="A471" s="3323" t="s">
        <v>7962</v>
      </c>
      <c r="B471" s="3015" t="s">
        <v>829</v>
      </c>
      <c r="C471" s="3167" t="s">
        <v>7967</v>
      </c>
      <c r="D471" s="3167" t="s">
        <v>7974</v>
      </c>
    </row>
    <row r="472" spans="1:4" s="1002" customFormat="1" x14ac:dyDescent="0.35">
      <c r="A472" s="3323"/>
      <c r="B472" s="3319" t="s">
        <v>6996</v>
      </c>
      <c r="C472" s="3167" t="s">
        <v>7967</v>
      </c>
      <c r="D472" s="3167" t="s">
        <v>7951</v>
      </c>
    </row>
    <row r="473" spans="1:4" s="1002" customFormat="1" x14ac:dyDescent="0.35">
      <c r="A473" s="3323"/>
      <c r="B473" s="3319" t="s">
        <v>7968</v>
      </c>
      <c r="C473" s="3167" t="s">
        <v>7967</v>
      </c>
      <c r="D473" s="3419" t="s">
        <v>7976</v>
      </c>
    </row>
    <row r="474" spans="1:4" s="1002" customFormat="1" x14ac:dyDescent="0.35">
      <c r="A474" s="3323"/>
      <c r="B474" s="3015" t="s">
        <v>7039</v>
      </c>
      <c r="C474" s="3167" t="s">
        <v>7967</v>
      </c>
      <c r="D474" s="3419" t="s">
        <v>7991</v>
      </c>
    </row>
    <row r="475" spans="1:4" s="1002" customFormat="1" x14ac:dyDescent="0.35">
      <c r="A475" s="3323"/>
      <c r="B475" s="3015" t="s">
        <v>6893</v>
      </c>
      <c r="C475" s="3167" t="s">
        <v>7971</v>
      </c>
      <c r="D475" s="2903"/>
    </row>
    <row r="476" spans="1:4" s="1002" customFormat="1" x14ac:dyDescent="0.35">
      <c r="A476" s="3323"/>
      <c r="B476" s="3015" t="s">
        <v>6893</v>
      </c>
      <c r="C476" s="3167" t="s">
        <v>7972</v>
      </c>
      <c r="D476" s="2903"/>
    </row>
    <row r="477" spans="1:4" s="1002" customFormat="1" x14ac:dyDescent="0.35">
      <c r="A477" s="3323"/>
      <c r="B477" s="3015" t="s">
        <v>6893</v>
      </c>
      <c r="C477" s="3167" t="s">
        <v>7973</v>
      </c>
      <c r="D477" s="2903"/>
    </row>
    <row r="478" spans="1:4" s="1002" customFormat="1" x14ac:dyDescent="0.35">
      <c r="A478" s="3323"/>
      <c r="B478" s="3015" t="s">
        <v>830</v>
      </c>
      <c r="C478" s="3167" t="s">
        <v>7978</v>
      </c>
      <c r="D478" s="3419" t="s">
        <v>7975</v>
      </c>
    </row>
    <row r="479" spans="1:4" s="1002" customFormat="1" x14ac:dyDescent="0.35">
      <c r="A479" s="3323"/>
      <c r="B479" s="3319" t="s">
        <v>6996</v>
      </c>
      <c r="C479" s="3167" t="s">
        <v>7978</v>
      </c>
      <c r="D479" s="3167" t="s">
        <v>7951</v>
      </c>
    </row>
    <row r="480" spans="1:4" s="1002" customFormat="1" x14ac:dyDescent="0.35">
      <c r="A480" s="3323"/>
      <c r="B480" s="3319" t="s">
        <v>7002</v>
      </c>
      <c r="C480" s="3167" t="s">
        <v>7978</v>
      </c>
      <c r="D480" s="3419" t="s">
        <v>7977</v>
      </c>
    </row>
    <row r="481" spans="1:4" s="1002" customFormat="1" x14ac:dyDescent="0.35">
      <c r="A481" s="3323"/>
      <c r="B481" s="3015" t="s">
        <v>7039</v>
      </c>
      <c r="C481" s="3167" t="s">
        <v>7978</v>
      </c>
      <c r="D481" s="3419" t="s">
        <v>7991</v>
      </c>
    </row>
    <row r="482" spans="1:4" s="1002" customFormat="1" x14ac:dyDescent="0.35">
      <c r="A482" s="3323"/>
      <c r="B482" s="3015" t="s">
        <v>6893</v>
      </c>
      <c r="C482" s="3167" t="s">
        <v>7979</v>
      </c>
      <c r="D482" s="2903"/>
    </row>
    <row r="483" spans="1:4" s="1002" customFormat="1" x14ac:dyDescent="0.35">
      <c r="A483" s="3323"/>
      <c r="B483" s="3015" t="s">
        <v>6893</v>
      </c>
      <c r="C483" s="3167" t="s">
        <v>7981</v>
      </c>
      <c r="D483" s="2903"/>
    </row>
    <row r="484" spans="1:4" s="1002" customFormat="1" x14ac:dyDescent="0.35">
      <c r="A484" s="3323"/>
      <c r="B484" s="3015" t="s">
        <v>6893</v>
      </c>
      <c r="C484" s="3167" t="s">
        <v>7980</v>
      </c>
      <c r="D484" s="2903"/>
    </row>
    <row r="485" spans="1:4" s="1002" customFormat="1" x14ac:dyDescent="0.35">
      <c r="A485" s="3323"/>
      <c r="B485" s="3015" t="s">
        <v>6893</v>
      </c>
      <c r="C485" s="3167" t="s">
        <v>7982</v>
      </c>
      <c r="D485" s="2903"/>
    </row>
    <row r="486" spans="1:4" s="1002" customFormat="1" x14ac:dyDescent="0.35">
      <c r="A486" s="3323"/>
      <c r="B486" s="3015" t="s">
        <v>6893</v>
      </c>
      <c r="C486" s="3167" t="s">
        <v>7983</v>
      </c>
      <c r="D486" s="2903"/>
    </row>
    <row r="487" spans="1:4" s="1002" customFormat="1" x14ac:dyDescent="0.35">
      <c r="A487" s="3323"/>
      <c r="B487" s="3015" t="s">
        <v>3566</v>
      </c>
      <c r="C487" s="3167" t="s">
        <v>7984</v>
      </c>
      <c r="D487" s="3419" t="s">
        <v>7994</v>
      </c>
    </row>
    <row r="488" spans="1:4" s="1002" customFormat="1" x14ac:dyDescent="0.35">
      <c r="A488" s="3323"/>
      <c r="B488" s="3319" t="s">
        <v>6996</v>
      </c>
      <c r="C488" s="3167" t="s">
        <v>7984</v>
      </c>
      <c r="D488" s="3167" t="s">
        <v>7951</v>
      </c>
    </row>
    <row r="489" spans="1:4" s="1002" customFormat="1" x14ac:dyDescent="0.35">
      <c r="A489" s="3323"/>
      <c r="B489" s="3319" t="s">
        <v>7001</v>
      </c>
      <c r="C489" s="3167" t="s">
        <v>7984</v>
      </c>
      <c r="D489" s="3419" t="s">
        <v>7985</v>
      </c>
    </row>
    <row r="490" spans="1:4" s="1002" customFormat="1" x14ac:dyDescent="0.35">
      <c r="A490" s="3323"/>
      <c r="B490" s="3015" t="s">
        <v>7039</v>
      </c>
      <c r="C490" s="3167" t="s">
        <v>7984</v>
      </c>
      <c r="D490" s="3419" t="s">
        <v>7991</v>
      </c>
    </row>
    <row r="491" spans="1:4" s="1002" customFormat="1" x14ac:dyDescent="0.35">
      <c r="A491" s="3323"/>
      <c r="B491" s="3015" t="s">
        <v>6893</v>
      </c>
      <c r="C491" s="3167" t="s">
        <v>7988</v>
      </c>
      <c r="D491" s="2903"/>
    </row>
    <row r="492" spans="1:4" s="1002" customFormat="1" x14ac:dyDescent="0.35">
      <c r="A492" s="3323"/>
      <c r="B492" s="3015" t="s">
        <v>6893</v>
      </c>
      <c r="C492" s="3167" t="s">
        <v>7986</v>
      </c>
      <c r="D492" s="2903"/>
    </row>
    <row r="493" spans="1:4" s="1002" customFormat="1" x14ac:dyDescent="0.35">
      <c r="A493" s="3323"/>
      <c r="B493" s="3015" t="s">
        <v>6893</v>
      </c>
      <c r="C493" s="3167" t="s">
        <v>7989</v>
      </c>
      <c r="D493" s="2903"/>
    </row>
    <row r="494" spans="1:4" s="1002" customFormat="1" x14ac:dyDescent="0.35">
      <c r="A494" s="3323"/>
      <c r="B494" s="3015" t="s">
        <v>6893</v>
      </c>
      <c r="C494" s="3167" t="s">
        <v>7987</v>
      </c>
      <c r="D494" s="2903"/>
    </row>
    <row r="495" spans="1:4" s="1002" customFormat="1" x14ac:dyDescent="0.35">
      <c r="A495" s="3323"/>
      <c r="B495" s="3015" t="s">
        <v>6893</v>
      </c>
      <c r="C495" s="3167" t="s">
        <v>7990</v>
      </c>
      <c r="D495" s="2903"/>
    </row>
    <row r="496" spans="1:4" s="1002" customFormat="1" x14ac:dyDescent="0.35">
      <c r="A496" s="3323"/>
      <c r="B496" s="3015" t="s">
        <v>3927</v>
      </c>
      <c r="C496" s="3167" t="s">
        <v>7992</v>
      </c>
      <c r="D496" s="3419" t="s">
        <v>7993</v>
      </c>
    </row>
    <row r="497" spans="1:4" s="1002" customFormat="1" x14ac:dyDescent="0.35">
      <c r="A497" s="3323"/>
      <c r="B497" s="3319" t="s">
        <v>6996</v>
      </c>
      <c r="C497" s="3167" t="s">
        <v>7992</v>
      </c>
      <c r="D497" s="3167" t="s">
        <v>7951</v>
      </c>
    </row>
    <row r="498" spans="1:4" s="1002" customFormat="1" x14ac:dyDescent="0.35">
      <c r="A498" s="3323"/>
      <c r="B498" s="3319" t="s">
        <v>7968</v>
      </c>
      <c r="C498" s="3167" t="s">
        <v>7992</v>
      </c>
      <c r="D498" s="3419" t="s">
        <v>7995</v>
      </c>
    </row>
    <row r="499" spans="1:4" s="1002" customFormat="1" x14ac:dyDescent="0.35">
      <c r="A499" s="3324"/>
      <c r="B499" s="3015" t="s">
        <v>7039</v>
      </c>
      <c r="C499" s="3167" t="s">
        <v>7992</v>
      </c>
      <c r="D499" s="3419" t="s">
        <v>7991</v>
      </c>
    </row>
    <row r="500" spans="1:4" s="1002" customFormat="1" x14ac:dyDescent="0.35">
      <c r="A500" s="3353" t="s">
        <v>8005</v>
      </c>
      <c r="B500" s="3015" t="s">
        <v>7784</v>
      </c>
      <c r="C500" s="3167" t="s">
        <v>7996</v>
      </c>
      <c r="D500" s="2903"/>
    </row>
    <row r="501" spans="1:4" s="1002" customFormat="1" x14ac:dyDescent="0.35">
      <c r="A501" s="3323"/>
      <c r="B501" s="3015" t="s">
        <v>7396</v>
      </c>
      <c r="C501" s="3167" t="s">
        <v>7997</v>
      </c>
      <c r="D501" s="2903"/>
    </row>
    <row r="502" spans="1:4" s="1002" customFormat="1" x14ac:dyDescent="0.35">
      <c r="A502" s="3323"/>
      <c r="B502" s="3015" t="s">
        <v>7396</v>
      </c>
      <c r="C502" s="3167" t="s">
        <v>7998</v>
      </c>
      <c r="D502" s="2903"/>
    </row>
    <row r="503" spans="1:4" s="1002" customFormat="1" x14ac:dyDescent="0.35">
      <c r="A503" s="3323"/>
      <c r="B503" s="3015" t="s">
        <v>7396</v>
      </c>
      <c r="C503" s="3167" t="s">
        <v>7999</v>
      </c>
      <c r="D503" s="2903"/>
    </row>
    <row r="504" spans="1:4" s="1002" customFormat="1" x14ac:dyDescent="0.35">
      <c r="A504" s="3457" t="s">
        <v>6987</v>
      </c>
      <c r="B504" s="3015" t="s">
        <v>6893</v>
      </c>
      <c r="C504" s="3167" t="s">
        <v>8001</v>
      </c>
      <c r="D504" s="2903"/>
    </row>
    <row r="505" spans="1:4" s="1002" customFormat="1" x14ac:dyDescent="0.35">
      <c r="A505" s="3019"/>
      <c r="B505" s="3015" t="s">
        <v>7187</v>
      </c>
      <c r="C505" s="3167" t="s">
        <v>8000</v>
      </c>
      <c r="D505" s="2903"/>
    </row>
    <row r="506" spans="1:4" s="1002" customFormat="1" x14ac:dyDescent="0.35">
      <c r="A506" s="3322" t="s">
        <v>7769</v>
      </c>
      <c r="B506" s="3015" t="s">
        <v>6883</v>
      </c>
      <c r="C506" s="3167" t="s">
        <v>8002</v>
      </c>
      <c r="D506" s="2903"/>
    </row>
    <row r="507" spans="1:4" s="1002" customFormat="1" ht="25.5" x14ac:dyDescent="0.35">
      <c r="A507" s="3076"/>
      <c r="B507" s="3015" t="s">
        <v>6883</v>
      </c>
      <c r="C507" s="3167" t="s">
        <v>8003</v>
      </c>
      <c r="D507" s="2903"/>
    </row>
    <row r="508" spans="1:4" ht="38.25" x14ac:dyDescent="0.35">
      <c r="A508" s="3322" t="s">
        <v>7626</v>
      </c>
      <c r="B508" s="3003" t="s">
        <v>6895</v>
      </c>
      <c r="C508" s="2995" t="s">
        <v>7624</v>
      </c>
      <c r="D508" s="3325" t="s">
        <v>8004</v>
      </c>
    </row>
    <row r="509" spans="1:4" ht="25.5" x14ac:dyDescent="0.35">
      <c r="A509" s="3324"/>
      <c r="B509" s="3275"/>
      <c r="C509" s="2995" t="s">
        <v>7625</v>
      </c>
      <c r="D509" s="2903"/>
    </row>
    <row r="510" spans="1:4" ht="12.75" x14ac:dyDescent="0.35">
      <c r="A510" s="3866" t="s">
        <v>7769</v>
      </c>
      <c r="B510" s="3869" t="s">
        <v>6877</v>
      </c>
      <c r="C510" s="3161" t="s">
        <v>8007</v>
      </c>
      <c r="D510" s="3320"/>
    </row>
    <row r="511" spans="1:4" ht="12.75" x14ac:dyDescent="0.35">
      <c r="A511" s="3867"/>
      <c r="B511" s="3869"/>
      <c r="C511" s="3161" t="s">
        <v>8008</v>
      </c>
      <c r="D511" s="3320"/>
    </row>
    <row r="512" spans="1:4" ht="12.75" x14ac:dyDescent="0.35">
      <c r="A512" s="3867"/>
      <c r="B512" s="3869"/>
      <c r="C512" s="3161" t="s">
        <v>8030</v>
      </c>
      <c r="D512" s="3320"/>
    </row>
    <row r="513" spans="1:4" ht="12.75" x14ac:dyDescent="0.35">
      <c r="A513" s="3868"/>
      <c r="B513" s="3869"/>
      <c r="C513" s="3161" t="s">
        <v>8031</v>
      </c>
      <c r="D513" s="3320"/>
    </row>
    <row r="514" spans="1:4" ht="114.75" x14ac:dyDescent="0.35">
      <c r="A514" s="3318" t="s">
        <v>6972</v>
      </c>
      <c r="B514" s="3289" t="s">
        <v>6896</v>
      </c>
      <c r="C514" s="3161" t="s">
        <v>8009</v>
      </c>
      <c r="D514" s="3320" t="s">
        <v>8029</v>
      </c>
    </row>
    <row r="515" spans="1:4" x14ac:dyDescent="0.4">
      <c r="A515" s="3169" t="s">
        <v>8013</v>
      </c>
      <c r="B515" s="3270">
        <v>43010</v>
      </c>
      <c r="C515" s="2953" t="s">
        <v>8086</v>
      </c>
      <c r="D515" s="2997"/>
    </row>
    <row r="516" spans="1:4" ht="38.25" x14ac:dyDescent="0.35">
      <c r="A516" s="3318" t="s">
        <v>6972</v>
      </c>
      <c r="B516" s="3319" t="s">
        <v>6894</v>
      </c>
      <c r="C516" s="3161" t="s">
        <v>8087</v>
      </c>
      <c r="D516" s="3161"/>
    </row>
    <row r="517" spans="1:4" ht="25.5" x14ac:dyDescent="0.35">
      <c r="A517" s="3318" t="s">
        <v>6972</v>
      </c>
      <c r="B517" s="3319" t="s">
        <v>6894</v>
      </c>
      <c r="C517" s="3161" t="s">
        <v>8015</v>
      </c>
      <c r="D517" s="3161" t="s">
        <v>8088</v>
      </c>
    </row>
    <row r="518" spans="1:4" ht="25.5" x14ac:dyDescent="0.35">
      <c r="A518" s="3318" t="s">
        <v>6972</v>
      </c>
      <c r="B518" s="3319" t="s">
        <v>6894</v>
      </c>
      <c r="C518" s="3161" t="s">
        <v>8016</v>
      </c>
      <c r="D518" s="3161"/>
    </row>
    <row r="519" spans="1:4" ht="25.5" x14ac:dyDescent="0.35">
      <c r="A519" s="3318" t="s">
        <v>6972</v>
      </c>
      <c r="B519" s="3319" t="s">
        <v>6894</v>
      </c>
      <c r="C519" s="3161" t="s">
        <v>8089</v>
      </c>
      <c r="D519" s="3161"/>
    </row>
    <row r="520" spans="1:4" x14ac:dyDescent="0.35">
      <c r="A520" s="3318" t="s">
        <v>6972</v>
      </c>
      <c r="B520" s="3319" t="s">
        <v>6894</v>
      </c>
      <c r="C520" s="3161" t="s">
        <v>8017</v>
      </c>
      <c r="D520" s="3161"/>
    </row>
    <row r="521" spans="1:4" ht="25.5" x14ac:dyDescent="0.35">
      <c r="A521" s="3318" t="s">
        <v>6972</v>
      </c>
      <c r="B521" s="3319" t="s">
        <v>6894</v>
      </c>
      <c r="C521" s="3161" t="s">
        <v>8018</v>
      </c>
      <c r="D521" s="3161"/>
    </row>
    <row r="522" spans="1:4" x14ac:dyDescent="0.35">
      <c r="A522" s="3318" t="s">
        <v>6972</v>
      </c>
      <c r="B522" s="3319" t="s">
        <v>6894</v>
      </c>
      <c r="C522" s="3161" t="s">
        <v>8019</v>
      </c>
      <c r="D522" s="3161"/>
    </row>
    <row r="523" spans="1:4" x14ac:dyDescent="0.35">
      <c r="A523" s="3318" t="s">
        <v>6972</v>
      </c>
      <c r="B523" s="3319" t="s">
        <v>6894</v>
      </c>
      <c r="C523" s="3161" t="s">
        <v>8020</v>
      </c>
      <c r="D523" s="3161"/>
    </row>
    <row r="524" spans="1:4" x14ac:dyDescent="0.35">
      <c r="A524" s="3318" t="s">
        <v>6972</v>
      </c>
      <c r="B524" s="3319" t="s">
        <v>6894</v>
      </c>
      <c r="C524" s="3161" t="s">
        <v>8021</v>
      </c>
      <c r="D524" s="3161"/>
    </row>
    <row r="525" spans="1:4" x14ac:dyDescent="0.35">
      <c r="A525" s="3318" t="s">
        <v>6972</v>
      </c>
      <c r="B525" s="3319" t="s">
        <v>6894</v>
      </c>
      <c r="C525" s="3161" t="s">
        <v>8022</v>
      </c>
      <c r="D525" s="3161"/>
    </row>
    <row r="526" spans="1:4" x14ac:dyDescent="0.35">
      <c r="A526" s="3318" t="s">
        <v>6972</v>
      </c>
      <c r="B526" s="3319" t="s">
        <v>6894</v>
      </c>
      <c r="C526" s="3161" t="s">
        <v>8023</v>
      </c>
      <c r="D526" s="3161"/>
    </row>
    <row r="527" spans="1:4" x14ac:dyDescent="0.35">
      <c r="A527" s="3318" t="s">
        <v>6972</v>
      </c>
      <c r="B527" s="3319" t="s">
        <v>6894</v>
      </c>
      <c r="C527" s="3161" t="s">
        <v>8024</v>
      </c>
      <c r="D527" s="3161"/>
    </row>
    <row r="528" spans="1:4" x14ac:dyDescent="0.35">
      <c r="A528" s="3318" t="s">
        <v>6972</v>
      </c>
      <c r="B528" s="3319" t="s">
        <v>6894</v>
      </c>
      <c r="C528" s="3161" t="s">
        <v>8025</v>
      </c>
      <c r="D528" s="3161"/>
    </row>
    <row r="529" spans="1:4" ht="38.25" x14ac:dyDescent="0.35">
      <c r="A529" s="3318" t="s">
        <v>6972</v>
      </c>
      <c r="B529" s="3319" t="s">
        <v>6894</v>
      </c>
      <c r="C529" s="3161" t="s">
        <v>8026</v>
      </c>
      <c r="D529" s="3161"/>
    </row>
    <row r="530" spans="1:4" x14ac:dyDescent="0.35">
      <c r="A530" s="3318" t="s">
        <v>6972</v>
      </c>
      <c r="B530" s="3319" t="s">
        <v>6894</v>
      </c>
      <c r="C530" s="3161" t="s">
        <v>8027</v>
      </c>
      <c r="D530" s="3161"/>
    </row>
    <row r="531" spans="1:4" ht="38.25" x14ac:dyDescent="0.35">
      <c r="A531" s="3318" t="s">
        <v>6972</v>
      </c>
      <c r="B531" s="3319" t="s">
        <v>6894</v>
      </c>
      <c r="C531" s="3161" t="s">
        <v>8028</v>
      </c>
      <c r="D531" s="3161"/>
    </row>
    <row r="532" spans="1:4" s="1002" customFormat="1" x14ac:dyDescent="0.35">
      <c r="A532" s="3466" t="s">
        <v>7873</v>
      </c>
      <c r="B532" s="3465" t="s">
        <v>6900</v>
      </c>
      <c r="C532" s="3167" t="s">
        <v>8042</v>
      </c>
      <c r="D532" s="3161"/>
    </row>
    <row r="533" spans="1:4" s="1002" customFormat="1" x14ac:dyDescent="0.35">
      <c r="A533" s="3467"/>
      <c r="B533" s="3465" t="s">
        <v>6900</v>
      </c>
      <c r="C533" s="3167" t="s">
        <v>8043</v>
      </c>
      <c r="D533" s="3161"/>
    </row>
    <row r="534" spans="1:4" s="1002" customFormat="1" x14ac:dyDescent="0.35">
      <c r="A534" s="3467"/>
      <c r="B534" s="3465" t="s">
        <v>6900</v>
      </c>
      <c r="C534" s="3167" t="s">
        <v>8044</v>
      </c>
      <c r="D534" s="3161"/>
    </row>
    <row r="535" spans="1:4" s="1002" customFormat="1" x14ac:dyDescent="0.35">
      <c r="A535" s="3467"/>
      <c r="B535" s="3465" t="s">
        <v>6970</v>
      </c>
      <c r="C535" s="3167" t="s">
        <v>8042</v>
      </c>
      <c r="D535" s="3185" t="s">
        <v>7795</v>
      </c>
    </row>
    <row r="536" spans="1:4" s="1002" customFormat="1" x14ac:dyDescent="0.35">
      <c r="A536" s="3467"/>
      <c r="B536" s="3465" t="s">
        <v>6970</v>
      </c>
      <c r="C536" s="3167" t="s">
        <v>8043</v>
      </c>
      <c r="D536" s="3185" t="s">
        <v>7795</v>
      </c>
    </row>
    <row r="537" spans="1:4" s="1002" customFormat="1" x14ac:dyDescent="0.35">
      <c r="A537" s="3467"/>
      <c r="B537" s="3465" t="s">
        <v>6970</v>
      </c>
      <c r="C537" s="3167" t="s">
        <v>8044</v>
      </c>
      <c r="D537" s="3185" t="s">
        <v>7795</v>
      </c>
    </row>
    <row r="538" spans="1:4" s="1002" customFormat="1" ht="25.5" x14ac:dyDescent="0.35">
      <c r="A538" s="3467"/>
      <c r="B538" s="3465" t="s">
        <v>7789</v>
      </c>
      <c r="C538" s="3167" t="s">
        <v>8035</v>
      </c>
      <c r="D538" s="3161"/>
    </row>
    <row r="539" spans="1:4" ht="25.5" x14ac:dyDescent="0.35">
      <c r="A539" s="3105"/>
      <c r="B539" s="3465" t="s">
        <v>7789</v>
      </c>
      <c r="C539" s="3167" t="s">
        <v>8045</v>
      </c>
      <c r="D539" s="2868"/>
    </row>
    <row r="540" spans="1:4" ht="25.5" x14ac:dyDescent="0.35">
      <c r="A540" s="3290"/>
      <c r="B540" s="3465" t="s">
        <v>7789</v>
      </c>
      <c r="C540" s="3167" t="s">
        <v>8046</v>
      </c>
      <c r="D540" s="3161"/>
    </row>
    <row r="541" spans="1:4" ht="38.25" x14ac:dyDescent="0.35">
      <c r="A541" s="3318" t="s">
        <v>8052</v>
      </c>
      <c r="B541" s="3319" t="s">
        <v>6893</v>
      </c>
      <c r="C541" s="3161" t="s">
        <v>8053</v>
      </c>
      <c r="D541" s="3161"/>
    </row>
    <row r="542" spans="1:4" ht="39.4" x14ac:dyDescent="0.35">
      <c r="A542" s="3470" t="s">
        <v>8054</v>
      </c>
      <c r="B542" s="3319" t="s">
        <v>7743</v>
      </c>
      <c r="C542" s="3161" t="s">
        <v>8055</v>
      </c>
      <c r="D542" s="3161"/>
    </row>
    <row r="543" spans="1:4" ht="25.5" x14ac:dyDescent="0.35">
      <c r="A543" s="3469"/>
      <c r="B543" s="3319" t="s">
        <v>6896</v>
      </c>
      <c r="C543" s="3161" t="s">
        <v>7184</v>
      </c>
      <c r="D543" s="3161"/>
    </row>
    <row r="544" spans="1:4" x14ac:dyDescent="0.35">
      <c r="A544" s="3512" t="s">
        <v>7927</v>
      </c>
      <c r="B544" s="3354" t="s">
        <v>7745</v>
      </c>
      <c r="C544" s="3161" t="s">
        <v>7942</v>
      </c>
      <c r="D544" s="3325"/>
    </row>
    <row r="545" spans="1:4" x14ac:dyDescent="0.35">
      <c r="A545" s="3512"/>
      <c r="B545" s="3354" t="s">
        <v>6897</v>
      </c>
      <c r="C545" s="3161" t="s">
        <v>7955</v>
      </c>
      <c r="D545" s="3325"/>
    </row>
    <row r="546" spans="1:4" x14ac:dyDescent="0.35">
      <c r="A546" s="3512"/>
      <c r="B546" s="3354"/>
      <c r="C546" s="3161" t="s">
        <v>7956</v>
      </c>
      <c r="D546" s="3325"/>
    </row>
    <row r="547" spans="1:4" x14ac:dyDescent="0.35">
      <c r="A547" s="3512"/>
      <c r="B547" s="3354"/>
      <c r="C547" s="3161" t="s">
        <v>7957</v>
      </c>
      <c r="D547" s="3325"/>
    </row>
    <row r="548" spans="1:4" x14ac:dyDescent="0.35">
      <c r="A548" s="3512"/>
      <c r="B548" s="3354"/>
      <c r="C548" s="3161" t="s">
        <v>7958</v>
      </c>
      <c r="D548" s="3325"/>
    </row>
    <row r="549" spans="1:4" x14ac:dyDescent="0.35">
      <c r="A549" s="3512"/>
      <c r="B549" s="3354"/>
      <c r="C549" s="3161" t="s">
        <v>7959</v>
      </c>
      <c r="D549" s="3325"/>
    </row>
    <row r="550" spans="1:4" x14ac:dyDescent="0.35">
      <c r="A550" s="3512"/>
      <c r="B550" s="3354"/>
      <c r="C550" s="3161" t="s">
        <v>7961</v>
      </c>
      <c r="D550" s="3325"/>
    </row>
    <row r="551" spans="1:4" x14ac:dyDescent="0.35">
      <c r="A551" s="3512"/>
      <c r="B551" s="3354"/>
      <c r="C551" s="3161" t="s">
        <v>7960</v>
      </c>
      <c r="D551" s="3325"/>
    </row>
    <row r="552" spans="1:4" x14ac:dyDescent="0.35">
      <c r="A552" s="3512"/>
      <c r="B552" s="3354"/>
      <c r="C552" s="3161" t="s">
        <v>7966</v>
      </c>
      <c r="D552" s="3325"/>
    </row>
    <row r="553" spans="1:4" x14ac:dyDescent="0.35">
      <c r="A553" s="3512"/>
      <c r="B553" s="3354"/>
      <c r="C553" s="3161" t="s">
        <v>7965</v>
      </c>
      <c r="D553" s="3325"/>
    </row>
    <row r="554" spans="1:4" x14ac:dyDescent="0.35">
      <c r="A554" s="3512"/>
      <c r="B554" s="3354"/>
      <c r="C554" s="3161" t="s">
        <v>7964</v>
      </c>
      <c r="D554" s="3325"/>
    </row>
    <row r="555" spans="1:4" x14ac:dyDescent="0.35">
      <c r="A555" s="3512"/>
      <c r="B555" s="3354"/>
      <c r="C555" s="3161" t="s">
        <v>7963</v>
      </c>
      <c r="D555" s="3325"/>
    </row>
    <row r="556" spans="1:4" x14ac:dyDescent="0.35">
      <c r="A556" s="3466" t="s">
        <v>7873</v>
      </c>
      <c r="B556" s="3277" t="s">
        <v>6883</v>
      </c>
      <c r="C556" s="3167" t="s">
        <v>8069</v>
      </c>
      <c r="D556" s="2998" t="s">
        <v>8067</v>
      </c>
    </row>
    <row r="557" spans="1:4" ht="51" x14ac:dyDescent="0.35">
      <c r="A557" s="3467"/>
      <c r="B557" s="3278"/>
      <c r="C557" s="3167" t="s">
        <v>8070</v>
      </c>
      <c r="D557" s="2875" t="s">
        <v>8066</v>
      </c>
    </row>
    <row r="558" spans="1:4" x14ac:dyDescent="0.35">
      <c r="A558" s="3467"/>
      <c r="B558" s="3278"/>
      <c r="C558" s="3167" t="s">
        <v>8071</v>
      </c>
      <c r="D558" s="2875"/>
    </row>
    <row r="559" spans="1:4" x14ac:dyDescent="0.35">
      <c r="A559" s="3467"/>
      <c r="B559" s="3278"/>
      <c r="C559" s="3167" t="s">
        <v>8072</v>
      </c>
      <c r="D559" s="2875"/>
    </row>
    <row r="560" spans="1:4" x14ac:dyDescent="0.35">
      <c r="A560" s="3467"/>
      <c r="B560" s="3278"/>
      <c r="C560" s="3167" t="s">
        <v>8073</v>
      </c>
      <c r="D560" s="2875"/>
    </row>
    <row r="561" spans="1:4" x14ac:dyDescent="0.35">
      <c r="A561" s="3467"/>
      <c r="B561" s="3278"/>
      <c r="C561" s="3167" t="s">
        <v>8074</v>
      </c>
      <c r="D561" s="2875"/>
    </row>
    <row r="562" spans="1:4" x14ac:dyDescent="0.35">
      <c r="A562" s="3467"/>
      <c r="B562" s="3278"/>
      <c r="C562" s="3167" t="s">
        <v>8075</v>
      </c>
      <c r="D562" s="2875"/>
    </row>
    <row r="563" spans="1:4" x14ac:dyDescent="0.35">
      <c r="A563" s="3467"/>
      <c r="B563" s="3278"/>
      <c r="C563" s="3167" t="s">
        <v>8076</v>
      </c>
      <c r="D563" s="2875"/>
    </row>
    <row r="564" spans="1:4" x14ac:dyDescent="0.35">
      <c r="A564" s="3467"/>
      <c r="B564" s="3278"/>
      <c r="C564" s="3167" t="s">
        <v>8077</v>
      </c>
      <c r="D564" s="2875"/>
    </row>
    <row r="565" spans="1:4" x14ac:dyDescent="0.35">
      <c r="A565" s="3467"/>
      <c r="B565" s="3278"/>
      <c r="C565" s="3167" t="s">
        <v>8079</v>
      </c>
      <c r="D565" s="2875"/>
    </row>
    <row r="566" spans="1:4" x14ac:dyDescent="0.35">
      <c r="A566" s="3467"/>
      <c r="B566" s="3278"/>
      <c r="C566" s="3167" t="s">
        <v>8078</v>
      </c>
      <c r="D566" s="2875"/>
    </row>
    <row r="567" spans="1:4" x14ac:dyDescent="0.35">
      <c r="A567" s="3467"/>
      <c r="B567" s="3278"/>
      <c r="C567" s="3167" t="s">
        <v>8080</v>
      </c>
      <c r="D567" s="2875"/>
    </row>
    <row r="568" spans="1:4" ht="25.5" x14ac:dyDescent="0.35">
      <c r="A568" s="3467"/>
      <c r="B568" s="3278"/>
      <c r="C568" s="3167" t="s">
        <v>8083</v>
      </c>
      <c r="D568" s="2875"/>
    </row>
    <row r="569" spans="1:4" x14ac:dyDescent="0.35">
      <c r="A569" s="3467"/>
      <c r="B569" s="3278"/>
      <c r="C569" s="3167" t="s">
        <v>8081</v>
      </c>
      <c r="D569" s="2875"/>
    </row>
    <row r="570" spans="1:4" x14ac:dyDescent="0.35">
      <c r="A570" s="3467"/>
      <c r="B570" s="3278"/>
      <c r="C570" s="3167" t="s">
        <v>8082</v>
      </c>
      <c r="D570" s="2875"/>
    </row>
    <row r="571" spans="1:4" x14ac:dyDescent="0.35">
      <c r="A571" s="3467"/>
      <c r="B571" s="3278"/>
      <c r="C571" s="3167" t="s">
        <v>8084</v>
      </c>
      <c r="D571" s="2875"/>
    </row>
    <row r="572" spans="1:4" ht="25.5" x14ac:dyDescent="0.35">
      <c r="A572" s="3467"/>
      <c r="B572" s="3279"/>
      <c r="C572" s="3167" t="s">
        <v>8085</v>
      </c>
      <c r="D572" s="2875"/>
    </row>
    <row r="573" spans="1:4" x14ac:dyDescent="0.35">
      <c r="A573" s="3468"/>
      <c r="B573" s="3465" t="s">
        <v>7784</v>
      </c>
      <c r="C573" s="3167" t="s">
        <v>8068</v>
      </c>
      <c r="D573" s="2862"/>
    </row>
    <row r="574" spans="1:4" ht="25.5" x14ac:dyDescent="0.35">
      <c r="A574" s="3318" t="s">
        <v>8098</v>
      </c>
      <c r="B574" s="3319" t="s">
        <v>6896</v>
      </c>
      <c r="C574" s="3161" t="s">
        <v>8099</v>
      </c>
      <c r="D574" s="3161" t="s">
        <v>8100</v>
      </c>
    </row>
    <row r="575" spans="1:4" x14ac:dyDescent="0.4">
      <c r="A575" s="3169" t="s">
        <v>8128</v>
      </c>
      <c r="B575" s="3270">
        <v>43020</v>
      </c>
      <c r="C575" s="2953" t="s">
        <v>8094</v>
      </c>
      <c r="D575" s="2997"/>
    </row>
    <row r="576" spans="1:4" s="7" customFormat="1" ht="25.5" x14ac:dyDescent="0.35">
      <c r="A576" s="3318" t="s">
        <v>6972</v>
      </c>
      <c r="B576" s="3319" t="s">
        <v>6894</v>
      </c>
      <c r="C576" s="3161" t="s">
        <v>8114</v>
      </c>
      <c r="D576" s="3325" t="s">
        <v>8095</v>
      </c>
    </row>
    <row r="577" spans="1:4" x14ac:dyDescent="0.35">
      <c r="A577" s="3318" t="s">
        <v>6972</v>
      </c>
      <c r="B577" s="3319" t="s">
        <v>6894</v>
      </c>
      <c r="C577" s="3161" t="s">
        <v>8115</v>
      </c>
      <c r="D577" s="3326" t="s">
        <v>8096</v>
      </c>
    </row>
    <row r="578" spans="1:4" ht="25.5" x14ac:dyDescent="0.35">
      <c r="A578" s="3318" t="s">
        <v>6972</v>
      </c>
      <c r="B578" s="3319" t="s">
        <v>6894</v>
      </c>
      <c r="C578" s="3161" t="s">
        <v>8116</v>
      </c>
      <c r="D578" s="3326"/>
    </row>
    <row r="579" spans="1:4" x14ac:dyDescent="0.35">
      <c r="A579" s="3318" t="s">
        <v>6972</v>
      </c>
      <c r="B579" s="3319" t="s">
        <v>6894</v>
      </c>
      <c r="C579" s="3161" t="s">
        <v>8117</v>
      </c>
      <c r="D579" s="2903"/>
    </row>
    <row r="580" spans="1:4" x14ac:dyDescent="0.35">
      <c r="A580" s="3318" t="s">
        <v>6972</v>
      </c>
      <c r="B580" s="3319" t="s">
        <v>6894</v>
      </c>
      <c r="C580" s="3161" t="s">
        <v>8097</v>
      </c>
      <c r="D580" s="3161"/>
    </row>
    <row r="581" spans="1:4" x14ac:dyDescent="0.35">
      <c r="A581" s="3318" t="s">
        <v>8101</v>
      </c>
      <c r="B581" s="3319" t="s">
        <v>6894</v>
      </c>
      <c r="C581" s="3161" t="s">
        <v>8102</v>
      </c>
      <c r="D581" s="3161"/>
    </row>
    <row r="582" spans="1:4" x14ac:dyDescent="0.35">
      <c r="A582" s="3318" t="s">
        <v>6972</v>
      </c>
      <c r="B582" s="3319" t="s">
        <v>6894</v>
      </c>
      <c r="C582" s="3161" t="s">
        <v>8103</v>
      </c>
      <c r="D582" s="3161"/>
    </row>
    <row r="583" spans="1:4" s="1002" customFormat="1" x14ac:dyDescent="0.35">
      <c r="A583" s="3318" t="s">
        <v>6972</v>
      </c>
      <c r="B583" s="3498" t="s">
        <v>6894</v>
      </c>
      <c r="C583" s="3499" t="s">
        <v>8107</v>
      </c>
      <c r="D583" s="3499" t="s">
        <v>8111</v>
      </c>
    </row>
    <row r="584" spans="1:4" x14ac:dyDescent="0.35">
      <c r="A584" s="3318" t="s">
        <v>6972</v>
      </c>
      <c r="B584" s="3319" t="s">
        <v>6883</v>
      </c>
      <c r="C584" s="3161" t="s">
        <v>8104</v>
      </c>
      <c r="D584" s="3161"/>
    </row>
    <row r="585" spans="1:4" x14ac:dyDescent="0.35">
      <c r="A585" s="3318" t="s">
        <v>6972</v>
      </c>
      <c r="B585" s="3319" t="s">
        <v>6883</v>
      </c>
      <c r="C585" s="3161" t="s">
        <v>8105</v>
      </c>
      <c r="D585" s="3161"/>
    </row>
    <row r="586" spans="1:4" x14ac:dyDescent="0.35">
      <c r="A586" s="3500" t="s">
        <v>6876</v>
      </c>
      <c r="B586" s="3498" t="s">
        <v>3927</v>
      </c>
      <c r="C586" s="3499" t="s">
        <v>8108</v>
      </c>
      <c r="D586" s="3499" t="s">
        <v>8111</v>
      </c>
    </row>
    <row r="587" spans="1:4" x14ac:dyDescent="0.35">
      <c r="A587" s="3501"/>
      <c r="B587" s="3498" t="s">
        <v>6996</v>
      </c>
      <c r="C587" s="3499" t="s">
        <v>8112</v>
      </c>
      <c r="D587" s="3499" t="s">
        <v>8111</v>
      </c>
    </row>
    <row r="588" spans="1:4" x14ac:dyDescent="0.35">
      <c r="A588" s="3501"/>
      <c r="B588" s="3498" t="s">
        <v>7039</v>
      </c>
      <c r="C588" s="3499" t="s">
        <v>8112</v>
      </c>
      <c r="D588" s="3499" t="s">
        <v>8111</v>
      </c>
    </row>
    <row r="589" spans="1:4" x14ac:dyDescent="0.35">
      <c r="A589" s="3501"/>
      <c r="B589" s="3498" t="s">
        <v>7968</v>
      </c>
      <c r="C589" s="3499" t="s">
        <v>8113</v>
      </c>
      <c r="D589" s="3499" t="s">
        <v>8111</v>
      </c>
    </row>
    <row r="590" spans="1:4" x14ac:dyDescent="0.35">
      <c r="A590" s="3500" t="s">
        <v>6876</v>
      </c>
      <c r="B590" s="3319" t="s">
        <v>7396</v>
      </c>
      <c r="C590" s="3161" t="s">
        <v>8109</v>
      </c>
      <c r="D590" s="3161"/>
    </row>
    <row r="591" spans="1:4" x14ac:dyDescent="0.35">
      <c r="A591" s="3513"/>
      <c r="B591" s="3319" t="s">
        <v>7396</v>
      </c>
      <c r="C591" s="3161" t="s">
        <v>8110</v>
      </c>
      <c r="D591" s="3161"/>
    </row>
    <row r="592" spans="1:4" x14ac:dyDescent="0.35">
      <c r="A592" s="3511" t="s">
        <v>6972</v>
      </c>
      <c r="B592" s="3502" t="s">
        <v>8124</v>
      </c>
      <c r="C592" s="3161" t="s">
        <v>8123</v>
      </c>
      <c r="D592" s="3161"/>
    </row>
    <row r="593" spans="1:4" x14ac:dyDescent="0.35">
      <c r="A593" s="3513"/>
      <c r="B593" s="3502" t="s">
        <v>8125</v>
      </c>
      <c r="C593" s="3161" t="s">
        <v>8123</v>
      </c>
      <c r="D593" s="3161"/>
    </row>
    <row r="594" spans="1:4" x14ac:dyDescent="0.35">
      <c r="A594" s="3318" t="s">
        <v>6972</v>
      </c>
      <c r="B594" s="3503" t="s">
        <v>6894</v>
      </c>
      <c r="C594" s="3161" t="s">
        <v>8129</v>
      </c>
      <c r="D594" s="3161"/>
    </row>
    <row r="595" spans="1:4" x14ac:dyDescent="0.35">
      <c r="A595" s="3318" t="s">
        <v>6972</v>
      </c>
      <c r="B595" s="3503" t="s">
        <v>6894</v>
      </c>
      <c r="C595" s="3161" t="s">
        <v>8126</v>
      </c>
      <c r="D595" s="3499" t="s">
        <v>8111</v>
      </c>
    </row>
    <row r="596" spans="1:4" x14ac:dyDescent="0.35">
      <c r="A596" s="3318" t="s">
        <v>6972</v>
      </c>
      <c r="B596" s="3503" t="s">
        <v>6894</v>
      </c>
      <c r="C596" s="3161" t="s">
        <v>8127</v>
      </c>
      <c r="D596" s="3499" t="s">
        <v>8111</v>
      </c>
    </row>
    <row r="597" spans="1:4" x14ac:dyDescent="0.35">
      <c r="A597" s="3516" t="s">
        <v>7927</v>
      </c>
      <c r="B597" s="3519" t="s">
        <v>7187</v>
      </c>
      <c r="C597" s="3161" t="s">
        <v>8145</v>
      </c>
      <c r="D597" s="3325"/>
    </row>
    <row r="598" spans="1:4" x14ac:dyDescent="0.35">
      <c r="A598" s="3517"/>
      <c r="B598" s="3519" t="s">
        <v>6877</v>
      </c>
      <c r="C598" s="3161" t="s">
        <v>8146</v>
      </c>
      <c r="D598" s="3325"/>
    </row>
    <row r="599" spans="1:4" x14ac:dyDescent="0.35">
      <c r="A599" s="3518"/>
      <c r="B599" s="3520" t="s">
        <v>6877</v>
      </c>
      <c r="C599" s="3161" t="s">
        <v>8147</v>
      </c>
      <c r="D599" s="3161"/>
    </row>
    <row r="600" spans="1:4" x14ac:dyDescent="0.35">
      <c r="A600" s="3318" t="s">
        <v>6972</v>
      </c>
      <c r="B600" s="3520" t="s">
        <v>6897</v>
      </c>
      <c r="C600" s="3161" t="s">
        <v>8130</v>
      </c>
      <c r="D600" s="3161" t="s">
        <v>8111</v>
      </c>
    </row>
    <row r="601" spans="1:4" x14ac:dyDescent="0.35">
      <c r="A601" s="3318" t="s">
        <v>6972</v>
      </c>
      <c r="B601" s="3520" t="s">
        <v>6883</v>
      </c>
      <c r="C601" s="3161" t="s">
        <v>8131</v>
      </c>
      <c r="D601" s="3161"/>
    </row>
    <row r="602" spans="1:4" x14ac:dyDescent="0.35">
      <c r="A602" s="3516" t="s">
        <v>8052</v>
      </c>
      <c r="B602" s="3519" t="s">
        <v>6893</v>
      </c>
      <c r="C602" s="3161" t="s">
        <v>8140</v>
      </c>
      <c r="D602" s="3161" t="s">
        <v>8139</v>
      </c>
    </row>
    <row r="603" spans="1:4" x14ac:dyDescent="0.35">
      <c r="A603" s="3517"/>
      <c r="B603" s="3004"/>
      <c r="C603" s="3161" t="s">
        <v>8141</v>
      </c>
      <c r="D603" s="3161"/>
    </row>
    <row r="604" spans="1:4" ht="25.5" x14ac:dyDescent="0.35">
      <c r="A604" s="3517"/>
      <c r="B604" s="3004"/>
      <c r="C604" s="3161" t="s">
        <v>8143</v>
      </c>
      <c r="D604" s="3161"/>
    </row>
    <row r="605" spans="1:4" ht="25.5" x14ac:dyDescent="0.35">
      <c r="A605" s="3517"/>
      <c r="B605" s="3004"/>
      <c r="C605" s="3161" t="s">
        <v>8144</v>
      </c>
      <c r="D605" s="3161"/>
    </row>
    <row r="606" spans="1:4" ht="25.5" x14ac:dyDescent="0.35">
      <c r="A606" s="3517"/>
      <c r="B606" s="3004"/>
      <c r="C606" s="3161" t="s">
        <v>8142</v>
      </c>
      <c r="D606" s="3161"/>
    </row>
    <row r="607" spans="1:4" ht="25.5" x14ac:dyDescent="0.35">
      <c r="A607" s="3518"/>
      <c r="B607" s="3005"/>
      <c r="C607" s="3161" t="s">
        <v>8148</v>
      </c>
      <c r="D607" s="3161"/>
    </row>
    <row r="608" spans="1:4" x14ac:dyDescent="0.35">
      <c r="A608" s="3318"/>
      <c r="B608" s="3520" t="s">
        <v>7546</v>
      </c>
      <c r="C608" s="3161" t="s">
        <v>8149</v>
      </c>
      <c r="D608" s="3161"/>
    </row>
    <row r="609" spans="1:4" x14ac:dyDescent="0.35">
      <c r="A609" s="3542" t="s">
        <v>8150</v>
      </c>
      <c r="B609" s="3543">
        <v>43025</v>
      </c>
      <c r="C609" s="3161"/>
      <c r="D609" s="3161"/>
    </row>
    <row r="610" spans="1:4" x14ac:dyDescent="0.35">
      <c r="A610" s="3318"/>
      <c r="B610" s="3520" t="s">
        <v>6893</v>
      </c>
      <c r="C610" s="3161" t="s">
        <v>8151</v>
      </c>
      <c r="D610" s="3161"/>
    </row>
    <row r="611" spans="1:4" ht="25.5" x14ac:dyDescent="0.35">
      <c r="A611" s="3569" t="s">
        <v>8198</v>
      </c>
      <c r="B611" s="3161" t="s">
        <v>7968</v>
      </c>
      <c r="C611" s="3161" t="s">
        <v>8199</v>
      </c>
      <c r="D611" s="3161" t="s">
        <v>8111</v>
      </c>
    </row>
    <row r="612" spans="1:4" x14ac:dyDescent="0.35">
      <c r="A612" s="3570"/>
      <c r="B612" s="3161" t="s">
        <v>7968</v>
      </c>
      <c r="C612" s="3161" t="s">
        <v>8200</v>
      </c>
      <c r="D612" s="3161" t="s">
        <v>8111</v>
      </c>
    </row>
    <row r="613" spans="1:4" ht="25.5" x14ac:dyDescent="0.35">
      <c r="A613" s="3570"/>
      <c r="B613" s="3161" t="s">
        <v>7001</v>
      </c>
      <c r="C613" s="3161" t="s">
        <v>8201</v>
      </c>
      <c r="D613" s="3161" t="s">
        <v>8111</v>
      </c>
    </row>
    <row r="614" spans="1:4" x14ac:dyDescent="0.35">
      <c r="A614" s="3570"/>
      <c r="B614" s="3161" t="s">
        <v>7000</v>
      </c>
      <c r="C614" s="3161" t="s">
        <v>8202</v>
      </c>
      <c r="D614" s="3161" t="s">
        <v>8111</v>
      </c>
    </row>
    <row r="615" spans="1:4" x14ac:dyDescent="0.35">
      <c r="A615" s="3570"/>
      <c r="B615" s="3161" t="s">
        <v>7003</v>
      </c>
      <c r="C615" s="3161" t="s">
        <v>8203</v>
      </c>
      <c r="D615" s="3161" t="s">
        <v>8111</v>
      </c>
    </row>
    <row r="616" spans="1:4" x14ac:dyDescent="0.35">
      <c r="A616" s="3571"/>
      <c r="B616" s="3161" t="s">
        <v>8204</v>
      </c>
      <c r="C616" s="3161" t="s">
        <v>8205</v>
      </c>
      <c r="D616" s="3161" t="s">
        <v>8111</v>
      </c>
    </row>
    <row r="617" spans="1:4" x14ac:dyDescent="0.35">
      <c r="A617" s="3552" t="s">
        <v>8189</v>
      </c>
      <c r="B617" s="3161" t="s">
        <v>8190</v>
      </c>
      <c r="C617" s="3161" t="s">
        <v>8191</v>
      </c>
      <c r="D617" s="3161" t="s">
        <v>8111</v>
      </c>
    </row>
    <row r="618" spans="1:4" x14ac:dyDescent="0.35">
      <c r="A618" s="3553"/>
      <c r="B618" s="3161" t="s">
        <v>8192</v>
      </c>
      <c r="C618" s="3161" t="s">
        <v>8193</v>
      </c>
      <c r="D618" s="3161" t="s">
        <v>8111</v>
      </c>
    </row>
    <row r="619" spans="1:4" x14ac:dyDescent="0.35">
      <c r="A619" s="3553"/>
      <c r="B619" s="3161" t="s">
        <v>8192</v>
      </c>
      <c r="C619" s="3161" t="s">
        <v>8194</v>
      </c>
      <c r="D619" s="3161" t="s">
        <v>8111</v>
      </c>
    </row>
    <row r="620" spans="1:4" x14ac:dyDescent="0.35">
      <c r="A620" s="3554" t="s">
        <v>8197</v>
      </c>
      <c r="B620" s="3161" t="s">
        <v>8195</v>
      </c>
      <c r="C620" s="3161" t="s">
        <v>8196</v>
      </c>
      <c r="D620" s="3161" t="s">
        <v>8111</v>
      </c>
    </row>
    <row r="621" spans="1:4" x14ac:dyDescent="0.35">
      <c r="A621" s="3572" t="s">
        <v>8189</v>
      </c>
      <c r="B621" s="3161" t="s">
        <v>8190</v>
      </c>
      <c r="C621" s="3161" t="s">
        <v>8209</v>
      </c>
      <c r="D621" s="3161" t="s">
        <v>8111</v>
      </c>
    </row>
    <row r="622" spans="1:4" x14ac:dyDescent="0.35">
      <c r="A622" s="3573" t="s">
        <v>8210</v>
      </c>
      <c r="B622" s="3161" t="s">
        <v>8195</v>
      </c>
      <c r="C622" s="3161" t="s">
        <v>8211</v>
      </c>
      <c r="D622" s="3161" t="s">
        <v>8111</v>
      </c>
    </row>
    <row r="623" spans="1:4" x14ac:dyDescent="0.35">
      <c r="A623" s="3572" t="s">
        <v>8189</v>
      </c>
      <c r="B623" s="3161" t="s">
        <v>7968</v>
      </c>
      <c r="C623" s="3161" t="s">
        <v>8212</v>
      </c>
      <c r="D623" s="3161" t="s">
        <v>8111</v>
      </c>
    </row>
    <row r="624" spans="1:4" x14ac:dyDescent="0.35">
      <c r="A624" s="3573" t="s">
        <v>8213</v>
      </c>
      <c r="B624" s="3161" t="s">
        <v>8195</v>
      </c>
      <c r="C624" s="3161" t="s">
        <v>8214</v>
      </c>
      <c r="D624" s="3161" t="s">
        <v>8111</v>
      </c>
    </row>
    <row r="625" spans="1:4" x14ac:dyDescent="0.35">
      <c r="A625" s="3572" t="s">
        <v>8189</v>
      </c>
      <c r="B625" s="3161" t="s">
        <v>8195</v>
      </c>
      <c r="C625" s="3161" t="s">
        <v>8215</v>
      </c>
      <c r="D625" s="3161" t="s">
        <v>8111</v>
      </c>
    </row>
    <row r="626" spans="1:4" x14ac:dyDescent="0.35">
      <c r="A626" s="3573" t="s">
        <v>8216</v>
      </c>
      <c r="B626" s="3161" t="s">
        <v>8195</v>
      </c>
      <c r="C626" s="3161" t="s">
        <v>8217</v>
      </c>
      <c r="D626" s="3161" t="s">
        <v>8111</v>
      </c>
    </row>
    <row r="627" spans="1:4" x14ac:dyDescent="0.35">
      <c r="A627" s="3542" t="s">
        <v>8156</v>
      </c>
      <c r="B627" s="3543">
        <v>43027</v>
      </c>
      <c r="C627" s="3161"/>
      <c r="D627" s="3161"/>
    </row>
    <row r="628" spans="1:4" x14ac:dyDescent="0.35">
      <c r="A628" s="3318"/>
      <c r="B628" s="3520" t="s">
        <v>6877</v>
      </c>
      <c r="C628" s="3161" t="s">
        <v>8154</v>
      </c>
      <c r="D628" s="3161"/>
    </row>
    <row r="629" spans="1:4" x14ac:dyDescent="0.35">
      <c r="A629" s="3318"/>
      <c r="B629" s="3520" t="s">
        <v>6877</v>
      </c>
      <c r="C629" s="3161" t="s">
        <v>8155</v>
      </c>
      <c r="D629" s="3161"/>
    </row>
    <row r="630" spans="1:4" x14ac:dyDescent="0.35">
      <c r="A630" s="3318"/>
      <c r="B630" s="3520" t="s">
        <v>6894</v>
      </c>
      <c r="C630" s="3161" t="s">
        <v>8157</v>
      </c>
      <c r="D630" s="3161"/>
    </row>
    <row r="631" spans="1:4" x14ac:dyDescent="0.35">
      <c r="A631" s="3318"/>
      <c r="B631" s="3520" t="s">
        <v>6883</v>
      </c>
      <c r="C631" s="3161" t="s">
        <v>8158</v>
      </c>
      <c r="D631" s="3161"/>
    </row>
    <row r="632" spans="1:4" x14ac:dyDescent="0.35">
      <c r="A632" s="3318"/>
      <c r="B632" s="3520" t="s">
        <v>6883</v>
      </c>
      <c r="C632" s="3161" t="s">
        <v>8159</v>
      </c>
      <c r="D632" s="3161"/>
    </row>
    <row r="633" spans="1:4" x14ac:dyDescent="0.35">
      <c r="A633" s="3318"/>
      <c r="B633" s="3520" t="s">
        <v>7141</v>
      </c>
      <c r="C633" s="3161" t="s">
        <v>8160</v>
      </c>
      <c r="D633" s="3161"/>
    </row>
    <row r="634" spans="1:4" ht="25.5" x14ac:dyDescent="0.35">
      <c r="A634" s="3318"/>
      <c r="B634" s="3184" t="s">
        <v>7789</v>
      </c>
      <c r="C634" s="3161" t="s">
        <v>8166</v>
      </c>
      <c r="D634" s="3161"/>
    </row>
    <row r="635" spans="1:4" ht="25.5" x14ac:dyDescent="0.35">
      <c r="A635" s="3318"/>
      <c r="B635" s="3184" t="s">
        <v>7789</v>
      </c>
      <c r="C635" s="3161" t="s">
        <v>8167</v>
      </c>
      <c r="D635" s="3161"/>
    </row>
    <row r="636" spans="1:4" ht="25.5" x14ac:dyDescent="0.35">
      <c r="A636" s="3318"/>
      <c r="B636" s="3184" t="s">
        <v>7789</v>
      </c>
      <c r="C636" s="3161" t="s">
        <v>8168</v>
      </c>
      <c r="D636" s="3161"/>
    </row>
    <row r="637" spans="1:4" x14ac:dyDescent="0.35">
      <c r="A637" s="3318"/>
      <c r="B637" s="3184" t="s">
        <v>1491</v>
      </c>
      <c r="C637" s="3161" t="s">
        <v>8170</v>
      </c>
      <c r="D637" s="3161"/>
    </row>
    <row r="638" spans="1:4" ht="25.5" x14ac:dyDescent="0.35">
      <c r="A638" s="3318"/>
      <c r="B638" s="3184" t="s">
        <v>7789</v>
      </c>
      <c r="C638" s="3161" t="s">
        <v>8171</v>
      </c>
      <c r="D638" s="3161"/>
    </row>
    <row r="639" spans="1:4" ht="15" customHeight="1" x14ac:dyDescent="0.35">
      <c r="A639" s="3318"/>
      <c r="B639" s="3184" t="s">
        <v>7141</v>
      </c>
      <c r="C639" s="3161" t="s">
        <v>8175</v>
      </c>
      <c r="D639" s="3161"/>
    </row>
    <row r="640" spans="1:4" x14ac:dyDescent="0.35">
      <c r="A640" s="3318"/>
      <c r="B640" s="3184" t="s">
        <v>6893</v>
      </c>
      <c r="C640" s="3161" t="s">
        <v>8172</v>
      </c>
      <c r="D640" s="3161"/>
    </row>
    <row r="641" spans="1:1022 1025:2046 2049:3070 3073:4094 4097:5118 5121:6142 6145:7166 7169:8190 8193:9214 9217:10238 10241:11262 11265:12286 12289:13310 13313:14334 14337:15358 15361:16382" x14ac:dyDescent="0.35">
      <c r="A641" s="3318"/>
      <c r="B641" s="3184" t="s">
        <v>6893</v>
      </c>
      <c r="C641" s="3161" t="s">
        <v>8260</v>
      </c>
      <c r="D641" s="3161"/>
    </row>
    <row r="642" spans="1:1022 1025:2046 2049:3070 3073:4094 4097:5118 5121:6142 6145:7166 7169:8190 8193:9214 9217:10238 10241:11262 11265:12286 12289:13310 13313:14334 14337:15358 15361:16382" x14ac:dyDescent="0.35">
      <c r="A642" s="3318"/>
      <c r="B642" s="3184" t="s">
        <v>4609</v>
      </c>
      <c r="C642" s="3161" t="s">
        <v>8173</v>
      </c>
      <c r="D642" s="3161"/>
    </row>
    <row r="643" spans="1:1022 1025:2046 2049:3070 3073:4094 4097:5118 5121:6142 6145:7166 7169:8190 8193:9214 9217:10238 10241:11262 11265:12286 12289:13310 13313:14334 14337:15358 15361:16382" x14ac:dyDescent="0.35">
      <c r="A643" s="3318"/>
      <c r="B643" s="3184" t="s">
        <v>7141</v>
      </c>
      <c r="C643" s="3161" t="s">
        <v>8174</v>
      </c>
      <c r="D643" s="3161"/>
    </row>
    <row r="644" spans="1:1022 1025:2046 2049:3070 3073:4094 4097:5118 5121:6142 6145:7166 7169:8190 8193:9214 9217:10238 10241:11262 11265:12286 12289:13310 13313:14334 14337:15358 15361:16382" x14ac:dyDescent="0.35">
      <c r="A644" s="3318"/>
      <c r="B644" s="3184" t="s">
        <v>7141</v>
      </c>
      <c r="C644" s="3161" t="s">
        <v>8261</v>
      </c>
      <c r="D644" s="3161"/>
    </row>
    <row r="645" spans="1:1022 1025:2046 2049:3070 3073:4094 4097:5118 5121:6142 6145:7166 7169:8190 8193:9214 9217:10238 10241:11262 11265:12286 12289:13310 13313:14334 14337:15358 15361:16382" x14ac:dyDescent="0.35">
      <c r="A645" s="3542" t="s">
        <v>8227</v>
      </c>
      <c r="B645" s="3646">
        <v>43038</v>
      </c>
      <c r="C645" s="3161"/>
      <c r="D645" s="3161"/>
      <c r="E645" t="s">
        <v>8150</v>
      </c>
      <c r="F645">
        <v>43025</v>
      </c>
      <c r="I645" t="s">
        <v>8150</v>
      </c>
      <c r="J645">
        <v>43025</v>
      </c>
      <c r="M645" t="s">
        <v>8150</v>
      </c>
      <c r="N645">
        <v>43025</v>
      </c>
      <c r="Q645" t="s">
        <v>8150</v>
      </c>
      <c r="R645">
        <v>43025</v>
      </c>
      <c r="U645" t="s">
        <v>8150</v>
      </c>
      <c r="V645">
        <v>43025</v>
      </c>
      <c r="Y645" t="s">
        <v>8150</v>
      </c>
      <c r="Z645">
        <v>43025</v>
      </c>
      <c r="AC645" t="s">
        <v>8150</v>
      </c>
      <c r="AD645">
        <v>43025</v>
      </c>
      <c r="AG645" t="s">
        <v>8150</v>
      </c>
      <c r="AH645">
        <v>43025</v>
      </c>
      <c r="AK645" t="s">
        <v>8150</v>
      </c>
      <c r="AL645">
        <v>43025</v>
      </c>
      <c r="AO645" t="s">
        <v>8150</v>
      </c>
      <c r="AP645">
        <v>43025</v>
      </c>
      <c r="AS645" t="s">
        <v>8150</v>
      </c>
      <c r="AT645">
        <v>43025</v>
      </c>
      <c r="AW645" t="s">
        <v>8150</v>
      </c>
      <c r="AX645">
        <v>43025</v>
      </c>
      <c r="BA645" t="s">
        <v>8150</v>
      </c>
      <c r="BB645">
        <v>43025</v>
      </c>
      <c r="BE645" t="s">
        <v>8150</v>
      </c>
      <c r="BF645">
        <v>43025</v>
      </c>
      <c r="BI645" t="s">
        <v>8150</v>
      </c>
      <c r="BJ645">
        <v>43025</v>
      </c>
      <c r="BM645" t="s">
        <v>8150</v>
      </c>
      <c r="BN645">
        <v>43025</v>
      </c>
      <c r="BQ645" t="s">
        <v>8150</v>
      </c>
      <c r="BR645">
        <v>43025</v>
      </c>
      <c r="BU645" t="s">
        <v>8150</v>
      </c>
      <c r="BV645">
        <v>43025</v>
      </c>
      <c r="BY645" t="s">
        <v>8150</v>
      </c>
      <c r="BZ645">
        <v>43025</v>
      </c>
      <c r="CC645" t="s">
        <v>8150</v>
      </c>
      <c r="CD645">
        <v>43025</v>
      </c>
      <c r="CG645" t="s">
        <v>8150</v>
      </c>
      <c r="CH645">
        <v>43025</v>
      </c>
      <c r="CK645" t="s">
        <v>8150</v>
      </c>
      <c r="CL645">
        <v>43025</v>
      </c>
      <c r="CO645" t="s">
        <v>8150</v>
      </c>
      <c r="CP645">
        <v>43025</v>
      </c>
      <c r="CS645" t="s">
        <v>8150</v>
      </c>
      <c r="CT645">
        <v>43025</v>
      </c>
      <c r="CW645" t="s">
        <v>8150</v>
      </c>
      <c r="CX645">
        <v>43025</v>
      </c>
      <c r="DA645" t="s">
        <v>8150</v>
      </c>
      <c r="DB645">
        <v>43025</v>
      </c>
      <c r="DE645" t="s">
        <v>8150</v>
      </c>
      <c r="DF645">
        <v>43025</v>
      </c>
      <c r="DI645" t="s">
        <v>8150</v>
      </c>
      <c r="DJ645">
        <v>43025</v>
      </c>
      <c r="DM645" t="s">
        <v>8150</v>
      </c>
      <c r="DN645">
        <v>43025</v>
      </c>
      <c r="DQ645" t="s">
        <v>8150</v>
      </c>
      <c r="DR645">
        <v>43025</v>
      </c>
      <c r="DU645" t="s">
        <v>8150</v>
      </c>
      <c r="DV645">
        <v>43025</v>
      </c>
      <c r="DY645" t="s">
        <v>8150</v>
      </c>
      <c r="DZ645">
        <v>43025</v>
      </c>
      <c r="EC645" t="s">
        <v>8150</v>
      </c>
      <c r="ED645">
        <v>43025</v>
      </c>
      <c r="EG645" t="s">
        <v>8150</v>
      </c>
      <c r="EH645">
        <v>43025</v>
      </c>
      <c r="EK645" t="s">
        <v>8150</v>
      </c>
      <c r="EL645">
        <v>43025</v>
      </c>
      <c r="EO645" t="s">
        <v>8150</v>
      </c>
      <c r="EP645">
        <v>43025</v>
      </c>
      <c r="ES645" t="s">
        <v>8150</v>
      </c>
      <c r="ET645">
        <v>43025</v>
      </c>
      <c r="EW645" t="s">
        <v>8150</v>
      </c>
      <c r="EX645">
        <v>43025</v>
      </c>
      <c r="FA645" t="s">
        <v>8150</v>
      </c>
      <c r="FB645">
        <v>43025</v>
      </c>
      <c r="FE645" t="s">
        <v>8150</v>
      </c>
      <c r="FF645">
        <v>43025</v>
      </c>
      <c r="FI645" t="s">
        <v>8150</v>
      </c>
      <c r="FJ645">
        <v>43025</v>
      </c>
      <c r="FM645" t="s">
        <v>8150</v>
      </c>
      <c r="FN645">
        <v>43025</v>
      </c>
      <c r="FQ645" t="s">
        <v>8150</v>
      </c>
      <c r="FR645">
        <v>43025</v>
      </c>
      <c r="FU645" t="s">
        <v>8150</v>
      </c>
      <c r="FV645">
        <v>43025</v>
      </c>
      <c r="FY645" t="s">
        <v>8150</v>
      </c>
      <c r="FZ645">
        <v>43025</v>
      </c>
      <c r="GC645" t="s">
        <v>8150</v>
      </c>
      <c r="GD645">
        <v>43025</v>
      </c>
      <c r="GG645" t="s">
        <v>8150</v>
      </c>
      <c r="GH645">
        <v>43025</v>
      </c>
      <c r="GK645" t="s">
        <v>8150</v>
      </c>
      <c r="GL645">
        <v>43025</v>
      </c>
      <c r="GO645" t="s">
        <v>8150</v>
      </c>
      <c r="GP645">
        <v>43025</v>
      </c>
      <c r="GS645" t="s">
        <v>8150</v>
      </c>
      <c r="GT645">
        <v>43025</v>
      </c>
      <c r="GW645" t="s">
        <v>8150</v>
      </c>
      <c r="GX645">
        <v>43025</v>
      </c>
      <c r="HA645" t="s">
        <v>8150</v>
      </c>
      <c r="HB645">
        <v>43025</v>
      </c>
      <c r="HE645" t="s">
        <v>8150</v>
      </c>
      <c r="HF645">
        <v>43025</v>
      </c>
      <c r="HI645" t="s">
        <v>8150</v>
      </c>
      <c r="HJ645">
        <v>43025</v>
      </c>
      <c r="HM645" t="s">
        <v>8150</v>
      </c>
      <c r="HN645">
        <v>43025</v>
      </c>
      <c r="HQ645" t="s">
        <v>8150</v>
      </c>
      <c r="HR645">
        <v>43025</v>
      </c>
      <c r="HU645" t="s">
        <v>8150</v>
      </c>
      <c r="HV645">
        <v>43025</v>
      </c>
      <c r="HY645" t="s">
        <v>8150</v>
      </c>
      <c r="HZ645">
        <v>43025</v>
      </c>
      <c r="IC645" t="s">
        <v>8150</v>
      </c>
      <c r="ID645">
        <v>43025</v>
      </c>
      <c r="IG645" t="s">
        <v>8150</v>
      </c>
      <c r="IH645">
        <v>43025</v>
      </c>
      <c r="IK645" t="s">
        <v>8150</v>
      </c>
      <c r="IL645">
        <v>43025</v>
      </c>
      <c r="IO645" t="s">
        <v>8150</v>
      </c>
      <c r="IP645">
        <v>43025</v>
      </c>
      <c r="IS645" t="s">
        <v>8150</v>
      </c>
      <c r="IT645">
        <v>43025</v>
      </c>
      <c r="IW645" t="s">
        <v>8150</v>
      </c>
      <c r="IX645">
        <v>43025</v>
      </c>
      <c r="JA645" t="s">
        <v>8150</v>
      </c>
      <c r="JB645">
        <v>43025</v>
      </c>
      <c r="JE645" t="s">
        <v>8150</v>
      </c>
      <c r="JF645">
        <v>43025</v>
      </c>
      <c r="JI645" t="s">
        <v>8150</v>
      </c>
      <c r="JJ645">
        <v>43025</v>
      </c>
      <c r="JM645" t="s">
        <v>8150</v>
      </c>
      <c r="JN645">
        <v>43025</v>
      </c>
      <c r="JQ645" t="s">
        <v>8150</v>
      </c>
      <c r="JR645">
        <v>43025</v>
      </c>
      <c r="JU645" t="s">
        <v>8150</v>
      </c>
      <c r="JV645">
        <v>43025</v>
      </c>
      <c r="JY645" t="s">
        <v>8150</v>
      </c>
      <c r="JZ645">
        <v>43025</v>
      </c>
      <c r="KC645" t="s">
        <v>8150</v>
      </c>
      <c r="KD645">
        <v>43025</v>
      </c>
      <c r="KG645" t="s">
        <v>8150</v>
      </c>
      <c r="KH645">
        <v>43025</v>
      </c>
      <c r="KK645" t="s">
        <v>8150</v>
      </c>
      <c r="KL645">
        <v>43025</v>
      </c>
      <c r="KO645" t="s">
        <v>8150</v>
      </c>
      <c r="KP645">
        <v>43025</v>
      </c>
      <c r="KS645" t="s">
        <v>8150</v>
      </c>
      <c r="KT645">
        <v>43025</v>
      </c>
      <c r="KW645" t="s">
        <v>8150</v>
      </c>
      <c r="KX645">
        <v>43025</v>
      </c>
      <c r="LA645" t="s">
        <v>8150</v>
      </c>
      <c r="LB645">
        <v>43025</v>
      </c>
      <c r="LE645" t="s">
        <v>8150</v>
      </c>
      <c r="LF645">
        <v>43025</v>
      </c>
      <c r="LI645" t="s">
        <v>8150</v>
      </c>
      <c r="LJ645">
        <v>43025</v>
      </c>
      <c r="LM645" t="s">
        <v>8150</v>
      </c>
      <c r="LN645">
        <v>43025</v>
      </c>
      <c r="LQ645" t="s">
        <v>8150</v>
      </c>
      <c r="LR645">
        <v>43025</v>
      </c>
      <c r="LU645" t="s">
        <v>8150</v>
      </c>
      <c r="LV645">
        <v>43025</v>
      </c>
      <c r="LY645" t="s">
        <v>8150</v>
      </c>
      <c r="LZ645">
        <v>43025</v>
      </c>
      <c r="MC645" t="s">
        <v>8150</v>
      </c>
      <c r="MD645">
        <v>43025</v>
      </c>
      <c r="MG645" t="s">
        <v>8150</v>
      </c>
      <c r="MH645">
        <v>43025</v>
      </c>
      <c r="MK645" t="s">
        <v>8150</v>
      </c>
      <c r="ML645">
        <v>43025</v>
      </c>
      <c r="MO645" t="s">
        <v>8150</v>
      </c>
      <c r="MP645">
        <v>43025</v>
      </c>
      <c r="MS645" t="s">
        <v>8150</v>
      </c>
      <c r="MT645">
        <v>43025</v>
      </c>
      <c r="MW645" t="s">
        <v>8150</v>
      </c>
      <c r="MX645">
        <v>43025</v>
      </c>
      <c r="NA645" t="s">
        <v>8150</v>
      </c>
      <c r="NB645">
        <v>43025</v>
      </c>
      <c r="NE645" t="s">
        <v>8150</v>
      </c>
      <c r="NF645">
        <v>43025</v>
      </c>
      <c r="NI645" t="s">
        <v>8150</v>
      </c>
      <c r="NJ645">
        <v>43025</v>
      </c>
      <c r="NM645" t="s">
        <v>8150</v>
      </c>
      <c r="NN645">
        <v>43025</v>
      </c>
      <c r="NQ645" t="s">
        <v>8150</v>
      </c>
      <c r="NR645">
        <v>43025</v>
      </c>
      <c r="NU645" t="s">
        <v>8150</v>
      </c>
      <c r="NV645">
        <v>43025</v>
      </c>
      <c r="NY645" t="s">
        <v>8150</v>
      </c>
      <c r="NZ645">
        <v>43025</v>
      </c>
      <c r="OC645" t="s">
        <v>8150</v>
      </c>
      <c r="OD645">
        <v>43025</v>
      </c>
      <c r="OG645" t="s">
        <v>8150</v>
      </c>
      <c r="OH645">
        <v>43025</v>
      </c>
      <c r="OK645" t="s">
        <v>8150</v>
      </c>
      <c r="OL645">
        <v>43025</v>
      </c>
      <c r="OO645" t="s">
        <v>8150</v>
      </c>
      <c r="OP645">
        <v>43025</v>
      </c>
      <c r="OS645" t="s">
        <v>8150</v>
      </c>
      <c r="OT645">
        <v>43025</v>
      </c>
      <c r="OW645" t="s">
        <v>8150</v>
      </c>
      <c r="OX645">
        <v>43025</v>
      </c>
      <c r="PA645" t="s">
        <v>8150</v>
      </c>
      <c r="PB645">
        <v>43025</v>
      </c>
      <c r="PE645" t="s">
        <v>8150</v>
      </c>
      <c r="PF645">
        <v>43025</v>
      </c>
      <c r="PI645" t="s">
        <v>8150</v>
      </c>
      <c r="PJ645">
        <v>43025</v>
      </c>
      <c r="PM645" t="s">
        <v>8150</v>
      </c>
      <c r="PN645">
        <v>43025</v>
      </c>
      <c r="PQ645" t="s">
        <v>8150</v>
      </c>
      <c r="PR645">
        <v>43025</v>
      </c>
      <c r="PU645" t="s">
        <v>8150</v>
      </c>
      <c r="PV645">
        <v>43025</v>
      </c>
      <c r="PY645" t="s">
        <v>8150</v>
      </c>
      <c r="PZ645">
        <v>43025</v>
      </c>
      <c r="QC645" t="s">
        <v>8150</v>
      </c>
      <c r="QD645">
        <v>43025</v>
      </c>
      <c r="QG645" t="s">
        <v>8150</v>
      </c>
      <c r="QH645">
        <v>43025</v>
      </c>
      <c r="QK645" t="s">
        <v>8150</v>
      </c>
      <c r="QL645">
        <v>43025</v>
      </c>
      <c r="QO645" t="s">
        <v>8150</v>
      </c>
      <c r="QP645">
        <v>43025</v>
      </c>
      <c r="QS645" t="s">
        <v>8150</v>
      </c>
      <c r="QT645">
        <v>43025</v>
      </c>
      <c r="QW645" t="s">
        <v>8150</v>
      </c>
      <c r="QX645">
        <v>43025</v>
      </c>
      <c r="RA645" t="s">
        <v>8150</v>
      </c>
      <c r="RB645">
        <v>43025</v>
      </c>
      <c r="RE645" t="s">
        <v>8150</v>
      </c>
      <c r="RF645">
        <v>43025</v>
      </c>
      <c r="RI645" t="s">
        <v>8150</v>
      </c>
      <c r="RJ645">
        <v>43025</v>
      </c>
      <c r="RM645" t="s">
        <v>8150</v>
      </c>
      <c r="RN645">
        <v>43025</v>
      </c>
      <c r="RQ645" t="s">
        <v>8150</v>
      </c>
      <c r="RR645">
        <v>43025</v>
      </c>
      <c r="RU645" t="s">
        <v>8150</v>
      </c>
      <c r="RV645">
        <v>43025</v>
      </c>
      <c r="RY645" t="s">
        <v>8150</v>
      </c>
      <c r="RZ645">
        <v>43025</v>
      </c>
      <c r="SC645" t="s">
        <v>8150</v>
      </c>
      <c r="SD645">
        <v>43025</v>
      </c>
      <c r="SG645" t="s">
        <v>8150</v>
      </c>
      <c r="SH645">
        <v>43025</v>
      </c>
      <c r="SK645" t="s">
        <v>8150</v>
      </c>
      <c r="SL645">
        <v>43025</v>
      </c>
      <c r="SO645" t="s">
        <v>8150</v>
      </c>
      <c r="SP645">
        <v>43025</v>
      </c>
      <c r="SS645" t="s">
        <v>8150</v>
      </c>
      <c r="ST645">
        <v>43025</v>
      </c>
      <c r="SW645" t="s">
        <v>8150</v>
      </c>
      <c r="SX645">
        <v>43025</v>
      </c>
      <c r="TA645" t="s">
        <v>8150</v>
      </c>
      <c r="TB645">
        <v>43025</v>
      </c>
      <c r="TE645" t="s">
        <v>8150</v>
      </c>
      <c r="TF645">
        <v>43025</v>
      </c>
      <c r="TI645" t="s">
        <v>8150</v>
      </c>
      <c r="TJ645">
        <v>43025</v>
      </c>
      <c r="TM645" t="s">
        <v>8150</v>
      </c>
      <c r="TN645">
        <v>43025</v>
      </c>
      <c r="TQ645" t="s">
        <v>8150</v>
      </c>
      <c r="TR645">
        <v>43025</v>
      </c>
      <c r="TU645" t="s">
        <v>8150</v>
      </c>
      <c r="TV645">
        <v>43025</v>
      </c>
      <c r="TY645" t="s">
        <v>8150</v>
      </c>
      <c r="TZ645">
        <v>43025</v>
      </c>
      <c r="UC645" t="s">
        <v>8150</v>
      </c>
      <c r="UD645">
        <v>43025</v>
      </c>
      <c r="UG645" t="s">
        <v>8150</v>
      </c>
      <c r="UH645">
        <v>43025</v>
      </c>
      <c r="UK645" t="s">
        <v>8150</v>
      </c>
      <c r="UL645">
        <v>43025</v>
      </c>
      <c r="UO645" t="s">
        <v>8150</v>
      </c>
      <c r="UP645">
        <v>43025</v>
      </c>
      <c r="US645" t="s">
        <v>8150</v>
      </c>
      <c r="UT645">
        <v>43025</v>
      </c>
      <c r="UW645" t="s">
        <v>8150</v>
      </c>
      <c r="UX645">
        <v>43025</v>
      </c>
      <c r="VA645" t="s">
        <v>8150</v>
      </c>
      <c r="VB645">
        <v>43025</v>
      </c>
      <c r="VE645" t="s">
        <v>8150</v>
      </c>
      <c r="VF645">
        <v>43025</v>
      </c>
      <c r="VI645" t="s">
        <v>8150</v>
      </c>
      <c r="VJ645">
        <v>43025</v>
      </c>
      <c r="VM645" t="s">
        <v>8150</v>
      </c>
      <c r="VN645">
        <v>43025</v>
      </c>
      <c r="VQ645" t="s">
        <v>8150</v>
      </c>
      <c r="VR645">
        <v>43025</v>
      </c>
      <c r="VU645" t="s">
        <v>8150</v>
      </c>
      <c r="VV645">
        <v>43025</v>
      </c>
      <c r="VY645" t="s">
        <v>8150</v>
      </c>
      <c r="VZ645">
        <v>43025</v>
      </c>
      <c r="WC645" t="s">
        <v>8150</v>
      </c>
      <c r="WD645">
        <v>43025</v>
      </c>
      <c r="WG645" t="s">
        <v>8150</v>
      </c>
      <c r="WH645">
        <v>43025</v>
      </c>
      <c r="WK645" t="s">
        <v>8150</v>
      </c>
      <c r="WL645">
        <v>43025</v>
      </c>
      <c r="WO645" t="s">
        <v>8150</v>
      </c>
      <c r="WP645">
        <v>43025</v>
      </c>
      <c r="WS645" t="s">
        <v>8150</v>
      </c>
      <c r="WT645">
        <v>43025</v>
      </c>
      <c r="WW645" t="s">
        <v>8150</v>
      </c>
      <c r="WX645">
        <v>43025</v>
      </c>
      <c r="XA645" t="s">
        <v>8150</v>
      </c>
      <c r="XB645">
        <v>43025</v>
      </c>
      <c r="XE645" t="s">
        <v>8150</v>
      </c>
      <c r="XF645">
        <v>43025</v>
      </c>
      <c r="XI645" t="s">
        <v>8150</v>
      </c>
      <c r="XJ645">
        <v>43025</v>
      </c>
      <c r="XM645" t="s">
        <v>8150</v>
      </c>
      <c r="XN645">
        <v>43025</v>
      </c>
      <c r="XQ645" t="s">
        <v>8150</v>
      </c>
      <c r="XR645">
        <v>43025</v>
      </c>
      <c r="XU645" t="s">
        <v>8150</v>
      </c>
      <c r="XV645">
        <v>43025</v>
      </c>
      <c r="XY645" t="s">
        <v>8150</v>
      </c>
      <c r="XZ645">
        <v>43025</v>
      </c>
      <c r="YC645" t="s">
        <v>8150</v>
      </c>
      <c r="YD645">
        <v>43025</v>
      </c>
      <c r="YG645" t="s">
        <v>8150</v>
      </c>
      <c r="YH645">
        <v>43025</v>
      </c>
      <c r="YK645" t="s">
        <v>8150</v>
      </c>
      <c r="YL645">
        <v>43025</v>
      </c>
      <c r="YO645" t="s">
        <v>8150</v>
      </c>
      <c r="YP645">
        <v>43025</v>
      </c>
      <c r="YS645" t="s">
        <v>8150</v>
      </c>
      <c r="YT645">
        <v>43025</v>
      </c>
      <c r="YW645" t="s">
        <v>8150</v>
      </c>
      <c r="YX645">
        <v>43025</v>
      </c>
      <c r="ZA645" t="s">
        <v>8150</v>
      </c>
      <c r="ZB645">
        <v>43025</v>
      </c>
      <c r="ZE645" t="s">
        <v>8150</v>
      </c>
      <c r="ZF645">
        <v>43025</v>
      </c>
      <c r="ZI645" t="s">
        <v>8150</v>
      </c>
      <c r="ZJ645">
        <v>43025</v>
      </c>
      <c r="ZM645" t="s">
        <v>8150</v>
      </c>
      <c r="ZN645">
        <v>43025</v>
      </c>
      <c r="ZQ645" t="s">
        <v>8150</v>
      </c>
      <c r="ZR645">
        <v>43025</v>
      </c>
      <c r="ZU645" t="s">
        <v>8150</v>
      </c>
      <c r="ZV645">
        <v>43025</v>
      </c>
      <c r="ZY645" t="s">
        <v>8150</v>
      </c>
      <c r="ZZ645">
        <v>43025</v>
      </c>
      <c r="AAC645" t="s">
        <v>8150</v>
      </c>
      <c r="AAD645">
        <v>43025</v>
      </c>
      <c r="AAG645" t="s">
        <v>8150</v>
      </c>
      <c r="AAH645">
        <v>43025</v>
      </c>
      <c r="AAK645" t="s">
        <v>8150</v>
      </c>
      <c r="AAL645">
        <v>43025</v>
      </c>
      <c r="AAO645" t="s">
        <v>8150</v>
      </c>
      <c r="AAP645">
        <v>43025</v>
      </c>
      <c r="AAS645" t="s">
        <v>8150</v>
      </c>
      <c r="AAT645">
        <v>43025</v>
      </c>
      <c r="AAW645" t="s">
        <v>8150</v>
      </c>
      <c r="AAX645">
        <v>43025</v>
      </c>
      <c r="ABA645" t="s">
        <v>8150</v>
      </c>
      <c r="ABB645">
        <v>43025</v>
      </c>
      <c r="ABE645" t="s">
        <v>8150</v>
      </c>
      <c r="ABF645">
        <v>43025</v>
      </c>
      <c r="ABI645" t="s">
        <v>8150</v>
      </c>
      <c r="ABJ645">
        <v>43025</v>
      </c>
      <c r="ABM645" t="s">
        <v>8150</v>
      </c>
      <c r="ABN645">
        <v>43025</v>
      </c>
      <c r="ABQ645" t="s">
        <v>8150</v>
      </c>
      <c r="ABR645">
        <v>43025</v>
      </c>
      <c r="ABU645" t="s">
        <v>8150</v>
      </c>
      <c r="ABV645">
        <v>43025</v>
      </c>
      <c r="ABY645" t="s">
        <v>8150</v>
      </c>
      <c r="ABZ645">
        <v>43025</v>
      </c>
      <c r="ACC645" t="s">
        <v>8150</v>
      </c>
      <c r="ACD645">
        <v>43025</v>
      </c>
      <c r="ACG645" t="s">
        <v>8150</v>
      </c>
      <c r="ACH645">
        <v>43025</v>
      </c>
      <c r="ACK645" t="s">
        <v>8150</v>
      </c>
      <c r="ACL645">
        <v>43025</v>
      </c>
      <c r="ACO645" t="s">
        <v>8150</v>
      </c>
      <c r="ACP645">
        <v>43025</v>
      </c>
      <c r="ACS645" t="s">
        <v>8150</v>
      </c>
      <c r="ACT645">
        <v>43025</v>
      </c>
      <c r="ACW645" t="s">
        <v>8150</v>
      </c>
      <c r="ACX645">
        <v>43025</v>
      </c>
      <c r="ADA645" t="s">
        <v>8150</v>
      </c>
      <c r="ADB645">
        <v>43025</v>
      </c>
      <c r="ADE645" t="s">
        <v>8150</v>
      </c>
      <c r="ADF645">
        <v>43025</v>
      </c>
      <c r="ADI645" t="s">
        <v>8150</v>
      </c>
      <c r="ADJ645">
        <v>43025</v>
      </c>
      <c r="ADM645" t="s">
        <v>8150</v>
      </c>
      <c r="ADN645">
        <v>43025</v>
      </c>
      <c r="ADQ645" t="s">
        <v>8150</v>
      </c>
      <c r="ADR645">
        <v>43025</v>
      </c>
      <c r="ADU645" t="s">
        <v>8150</v>
      </c>
      <c r="ADV645">
        <v>43025</v>
      </c>
      <c r="ADY645" t="s">
        <v>8150</v>
      </c>
      <c r="ADZ645">
        <v>43025</v>
      </c>
      <c r="AEC645" t="s">
        <v>8150</v>
      </c>
      <c r="AED645">
        <v>43025</v>
      </c>
      <c r="AEG645" t="s">
        <v>8150</v>
      </c>
      <c r="AEH645">
        <v>43025</v>
      </c>
      <c r="AEK645" t="s">
        <v>8150</v>
      </c>
      <c r="AEL645">
        <v>43025</v>
      </c>
      <c r="AEO645" t="s">
        <v>8150</v>
      </c>
      <c r="AEP645">
        <v>43025</v>
      </c>
      <c r="AES645" t="s">
        <v>8150</v>
      </c>
      <c r="AET645">
        <v>43025</v>
      </c>
      <c r="AEW645" t="s">
        <v>8150</v>
      </c>
      <c r="AEX645">
        <v>43025</v>
      </c>
      <c r="AFA645" t="s">
        <v>8150</v>
      </c>
      <c r="AFB645">
        <v>43025</v>
      </c>
      <c r="AFE645" t="s">
        <v>8150</v>
      </c>
      <c r="AFF645">
        <v>43025</v>
      </c>
      <c r="AFI645" t="s">
        <v>8150</v>
      </c>
      <c r="AFJ645">
        <v>43025</v>
      </c>
      <c r="AFM645" t="s">
        <v>8150</v>
      </c>
      <c r="AFN645">
        <v>43025</v>
      </c>
      <c r="AFQ645" t="s">
        <v>8150</v>
      </c>
      <c r="AFR645">
        <v>43025</v>
      </c>
      <c r="AFU645" t="s">
        <v>8150</v>
      </c>
      <c r="AFV645">
        <v>43025</v>
      </c>
      <c r="AFY645" t="s">
        <v>8150</v>
      </c>
      <c r="AFZ645">
        <v>43025</v>
      </c>
      <c r="AGC645" t="s">
        <v>8150</v>
      </c>
      <c r="AGD645">
        <v>43025</v>
      </c>
      <c r="AGG645" t="s">
        <v>8150</v>
      </c>
      <c r="AGH645">
        <v>43025</v>
      </c>
      <c r="AGK645" t="s">
        <v>8150</v>
      </c>
      <c r="AGL645">
        <v>43025</v>
      </c>
      <c r="AGO645" t="s">
        <v>8150</v>
      </c>
      <c r="AGP645">
        <v>43025</v>
      </c>
      <c r="AGS645" t="s">
        <v>8150</v>
      </c>
      <c r="AGT645">
        <v>43025</v>
      </c>
      <c r="AGW645" t="s">
        <v>8150</v>
      </c>
      <c r="AGX645">
        <v>43025</v>
      </c>
      <c r="AHA645" t="s">
        <v>8150</v>
      </c>
      <c r="AHB645">
        <v>43025</v>
      </c>
      <c r="AHE645" t="s">
        <v>8150</v>
      </c>
      <c r="AHF645">
        <v>43025</v>
      </c>
      <c r="AHI645" t="s">
        <v>8150</v>
      </c>
      <c r="AHJ645">
        <v>43025</v>
      </c>
      <c r="AHM645" t="s">
        <v>8150</v>
      </c>
      <c r="AHN645">
        <v>43025</v>
      </c>
      <c r="AHQ645" t="s">
        <v>8150</v>
      </c>
      <c r="AHR645">
        <v>43025</v>
      </c>
      <c r="AHU645" t="s">
        <v>8150</v>
      </c>
      <c r="AHV645">
        <v>43025</v>
      </c>
      <c r="AHY645" t="s">
        <v>8150</v>
      </c>
      <c r="AHZ645">
        <v>43025</v>
      </c>
      <c r="AIC645" t="s">
        <v>8150</v>
      </c>
      <c r="AID645">
        <v>43025</v>
      </c>
      <c r="AIG645" t="s">
        <v>8150</v>
      </c>
      <c r="AIH645">
        <v>43025</v>
      </c>
      <c r="AIK645" t="s">
        <v>8150</v>
      </c>
      <c r="AIL645">
        <v>43025</v>
      </c>
      <c r="AIO645" t="s">
        <v>8150</v>
      </c>
      <c r="AIP645">
        <v>43025</v>
      </c>
      <c r="AIS645" t="s">
        <v>8150</v>
      </c>
      <c r="AIT645">
        <v>43025</v>
      </c>
      <c r="AIW645" t="s">
        <v>8150</v>
      </c>
      <c r="AIX645">
        <v>43025</v>
      </c>
      <c r="AJA645" t="s">
        <v>8150</v>
      </c>
      <c r="AJB645">
        <v>43025</v>
      </c>
      <c r="AJE645" t="s">
        <v>8150</v>
      </c>
      <c r="AJF645">
        <v>43025</v>
      </c>
      <c r="AJI645" t="s">
        <v>8150</v>
      </c>
      <c r="AJJ645">
        <v>43025</v>
      </c>
      <c r="AJM645" t="s">
        <v>8150</v>
      </c>
      <c r="AJN645">
        <v>43025</v>
      </c>
      <c r="AJQ645" t="s">
        <v>8150</v>
      </c>
      <c r="AJR645">
        <v>43025</v>
      </c>
      <c r="AJU645" t="s">
        <v>8150</v>
      </c>
      <c r="AJV645">
        <v>43025</v>
      </c>
      <c r="AJY645" t="s">
        <v>8150</v>
      </c>
      <c r="AJZ645">
        <v>43025</v>
      </c>
      <c r="AKC645" t="s">
        <v>8150</v>
      </c>
      <c r="AKD645">
        <v>43025</v>
      </c>
      <c r="AKG645" t="s">
        <v>8150</v>
      </c>
      <c r="AKH645">
        <v>43025</v>
      </c>
      <c r="AKK645" t="s">
        <v>8150</v>
      </c>
      <c r="AKL645">
        <v>43025</v>
      </c>
      <c r="AKO645" t="s">
        <v>8150</v>
      </c>
      <c r="AKP645">
        <v>43025</v>
      </c>
      <c r="AKS645" t="s">
        <v>8150</v>
      </c>
      <c r="AKT645">
        <v>43025</v>
      </c>
      <c r="AKW645" t="s">
        <v>8150</v>
      </c>
      <c r="AKX645">
        <v>43025</v>
      </c>
      <c r="ALA645" t="s">
        <v>8150</v>
      </c>
      <c r="ALB645">
        <v>43025</v>
      </c>
      <c r="ALE645" t="s">
        <v>8150</v>
      </c>
      <c r="ALF645">
        <v>43025</v>
      </c>
      <c r="ALI645" t="s">
        <v>8150</v>
      </c>
      <c r="ALJ645">
        <v>43025</v>
      </c>
      <c r="ALM645" t="s">
        <v>8150</v>
      </c>
      <c r="ALN645">
        <v>43025</v>
      </c>
      <c r="ALQ645" t="s">
        <v>8150</v>
      </c>
      <c r="ALR645">
        <v>43025</v>
      </c>
      <c r="ALU645" t="s">
        <v>8150</v>
      </c>
      <c r="ALV645">
        <v>43025</v>
      </c>
      <c r="ALY645" t="s">
        <v>8150</v>
      </c>
      <c r="ALZ645">
        <v>43025</v>
      </c>
      <c r="AMC645" t="s">
        <v>8150</v>
      </c>
      <c r="AMD645">
        <v>43025</v>
      </c>
      <c r="AMG645" t="s">
        <v>8150</v>
      </c>
      <c r="AMH645">
        <v>43025</v>
      </c>
      <c r="AMK645" t="s">
        <v>8150</v>
      </c>
      <c r="AML645">
        <v>43025</v>
      </c>
      <c r="AMO645" t="s">
        <v>8150</v>
      </c>
      <c r="AMP645">
        <v>43025</v>
      </c>
      <c r="AMS645" t="s">
        <v>8150</v>
      </c>
      <c r="AMT645">
        <v>43025</v>
      </c>
      <c r="AMW645" t="s">
        <v>8150</v>
      </c>
      <c r="AMX645">
        <v>43025</v>
      </c>
      <c r="ANA645" t="s">
        <v>8150</v>
      </c>
      <c r="ANB645">
        <v>43025</v>
      </c>
      <c r="ANE645" t="s">
        <v>8150</v>
      </c>
      <c r="ANF645">
        <v>43025</v>
      </c>
      <c r="ANI645" t="s">
        <v>8150</v>
      </c>
      <c r="ANJ645">
        <v>43025</v>
      </c>
      <c r="ANM645" t="s">
        <v>8150</v>
      </c>
      <c r="ANN645">
        <v>43025</v>
      </c>
      <c r="ANQ645" t="s">
        <v>8150</v>
      </c>
      <c r="ANR645">
        <v>43025</v>
      </c>
      <c r="ANU645" t="s">
        <v>8150</v>
      </c>
      <c r="ANV645">
        <v>43025</v>
      </c>
      <c r="ANY645" t="s">
        <v>8150</v>
      </c>
      <c r="ANZ645">
        <v>43025</v>
      </c>
      <c r="AOC645" t="s">
        <v>8150</v>
      </c>
      <c r="AOD645">
        <v>43025</v>
      </c>
      <c r="AOG645" t="s">
        <v>8150</v>
      </c>
      <c r="AOH645">
        <v>43025</v>
      </c>
      <c r="AOK645" t="s">
        <v>8150</v>
      </c>
      <c r="AOL645">
        <v>43025</v>
      </c>
      <c r="AOO645" t="s">
        <v>8150</v>
      </c>
      <c r="AOP645">
        <v>43025</v>
      </c>
      <c r="AOS645" t="s">
        <v>8150</v>
      </c>
      <c r="AOT645">
        <v>43025</v>
      </c>
      <c r="AOW645" t="s">
        <v>8150</v>
      </c>
      <c r="AOX645">
        <v>43025</v>
      </c>
      <c r="APA645" t="s">
        <v>8150</v>
      </c>
      <c r="APB645">
        <v>43025</v>
      </c>
      <c r="APE645" t="s">
        <v>8150</v>
      </c>
      <c r="APF645">
        <v>43025</v>
      </c>
      <c r="API645" t="s">
        <v>8150</v>
      </c>
      <c r="APJ645">
        <v>43025</v>
      </c>
      <c r="APM645" t="s">
        <v>8150</v>
      </c>
      <c r="APN645">
        <v>43025</v>
      </c>
      <c r="APQ645" t="s">
        <v>8150</v>
      </c>
      <c r="APR645">
        <v>43025</v>
      </c>
      <c r="APU645" t="s">
        <v>8150</v>
      </c>
      <c r="APV645">
        <v>43025</v>
      </c>
      <c r="APY645" t="s">
        <v>8150</v>
      </c>
      <c r="APZ645">
        <v>43025</v>
      </c>
      <c r="AQC645" t="s">
        <v>8150</v>
      </c>
      <c r="AQD645">
        <v>43025</v>
      </c>
      <c r="AQG645" t="s">
        <v>8150</v>
      </c>
      <c r="AQH645">
        <v>43025</v>
      </c>
      <c r="AQK645" t="s">
        <v>8150</v>
      </c>
      <c r="AQL645">
        <v>43025</v>
      </c>
      <c r="AQO645" t="s">
        <v>8150</v>
      </c>
      <c r="AQP645">
        <v>43025</v>
      </c>
      <c r="AQS645" t="s">
        <v>8150</v>
      </c>
      <c r="AQT645">
        <v>43025</v>
      </c>
      <c r="AQW645" t="s">
        <v>8150</v>
      </c>
      <c r="AQX645">
        <v>43025</v>
      </c>
      <c r="ARA645" t="s">
        <v>8150</v>
      </c>
      <c r="ARB645">
        <v>43025</v>
      </c>
      <c r="ARE645" t="s">
        <v>8150</v>
      </c>
      <c r="ARF645">
        <v>43025</v>
      </c>
      <c r="ARI645" t="s">
        <v>8150</v>
      </c>
      <c r="ARJ645">
        <v>43025</v>
      </c>
      <c r="ARM645" t="s">
        <v>8150</v>
      </c>
      <c r="ARN645">
        <v>43025</v>
      </c>
      <c r="ARQ645" t="s">
        <v>8150</v>
      </c>
      <c r="ARR645">
        <v>43025</v>
      </c>
      <c r="ARU645" t="s">
        <v>8150</v>
      </c>
      <c r="ARV645">
        <v>43025</v>
      </c>
      <c r="ARY645" t="s">
        <v>8150</v>
      </c>
      <c r="ARZ645">
        <v>43025</v>
      </c>
      <c r="ASC645" t="s">
        <v>8150</v>
      </c>
      <c r="ASD645">
        <v>43025</v>
      </c>
      <c r="ASG645" t="s">
        <v>8150</v>
      </c>
      <c r="ASH645">
        <v>43025</v>
      </c>
      <c r="ASK645" t="s">
        <v>8150</v>
      </c>
      <c r="ASL645">
        <v>43025</v>
      </c>
      <c r="ASO645" t="s">
        <v>8150</v>
      </c>
      <c r="ASP645">
        <v>43025</v>
      </c>
      <c r="ASS645" t="s">
        <v>8150</v>
      </c>
      <c r="AST645">
        <v>43025</v>
      </c>
      <c r="ASW645" t="s">
        <v>8150</v>
      </c>
      <c r="ASX645">
        <v>43025</v>
      </c>
      <c r="ATA645" t="s">
        <v>8150</v>
      </c>
      <c r="ATB645">
        <v>43025</v>
      </c>
      <c r="ATE645" t="s">
        <v>8150</v>
      </c>
      <c r="ATF645">
        <v>43025</v>
      </c>
      <c r="ATI645" t="s">
        <v>8150</v>
      </c>
      <c r="ATJ645">
        <v>43025</v>
      </c>
      <c r="ATM645" t="s">
        <v>8150</v>
      </c>
      <c r="ATN645">
        <v>43025</v>
      </c>
      <c r="ATQ645" t="s">
        <v>8150</v>
      </c>
      <c r="ATR645">
        <v>43025</v>
      </c>
      <c r="ATU645" t="s">
        <v>8150</v>
      </c>
      <c r="ATV645">
        <v>43025</v>
      </c>
      <c r="ATY645" t="s">
        <v>8150</v>
      </c>
      <c r="ATZ645">
        <v>43025</v>
      </c>
      <c r="AUC645" t="s">
        <v>8150</v>
      </c>
      <c r="AUD645">
        <v>43025</v>
      </c>
      <c r="AUG645" t="s">
        <v>8150</v>
      </c>
      <c r="AUH645">
        <v>43025</v>
      </c>
      <c r="AUK645" t="s">
        <v>8150</v>
      </c>
      <c r="AUL645">
        <v>43025</v>
      </c>
      <c r="AUO645" t="s">
        <v>8150</v>
      </c>
      <c r="AUP645">
        <v>43025</v>
      </c>
      <c r="AUS645" t="s">
        <v>8150</v>
      </c>
      <c r="AUT645">
        <v>43025</v>
      </c>
      <c r="AUW645" t="s">
        <v>8150</v>
      </c>
      <c r="AUX645">
        <v>43025</v>
      </c>
      <c r="AVA645" t="s">
        <v>8150</v>
      </c>
      <c r="AVB645">
        <v>43025</v>
      </c>
      <c r="AVE645" t="s">
        <v>8150</v>
      </c>
      <c r="AVF645">
        <v>43025</v>
      </c>
      <c r="AVI645" t="s">
        <v>8150</v>
      </c>
      <c r="AVJ645">
        <v>43025</v>
      </c>
      <c r="AVM645" t="s">
        <v>8150</v>
      </c>
      <c r="AVN645">
        <v>43025</v>
      </c>
      <c r="AVQ645" t="s">
        <v>8150</v>
      </c>
      <c r="AVR645">
        <v>43025</v>
      </c>
      <c r="AVU645" t="s">
        <v>8150</v>
      </c>
      <c r="AVV645">
        <v>43025</v>
      </c>
      <c r="AVY645" t="s">
        <v>8150</v>
      </c>
      <c r="AVZ645">
        <v>43025</v>
      </c>
      <c r="AWC645" t="s">
        <v>8150</v>
      </c>
      <c r="AWD645">
        <v>43025</v>
      </c>
      <c r="AWG645" t="s">
        <v>8150</v>
      </c>
      <c r="AWH645">
        <v>43025</v>
      </c>
      <c r="AWK645" t="s">
        <v>8150</v>
      </c>
      <c r="AWL645">
        <v>43025</v>
      </c>
      <c r="AWO645" t="s">
        <v>8150</v>
      </c>
      <c r="AWP645">
        <v>43025</v>
      </c>
      <c r="AWS645" t="s">
        <v>8150</v>
      </c>
      <c r="AWT645">
        <v>43025</v>
      </c>
      <c r="AWW645" t="s">
        <v>8150</v>
      </c>
      <c r="AWX645">
        <v>43025</v>
      </c>
      <c r="AXA645" t="s">
        <v>8150</v>
      </c>
      <c r="AXB645">
        <v>43025</v>
      </c>
      <c r="AXE645" t="s">
        <v>8150</v>
      </c>
      <c r="AXF645">
        <v>43025</v>
      </c>
      <c r="AXI645" t="s">
        <v>8150</v>
      </c>
      <c r="AXJ645">
        <v>43025</v>
      </c>
      <c r="AXM645" t="s">
        <v>8150</v>
      </c>
      <c r="AXN645">
        <v>43025</v>
      </c>
      <c r="AXQ645" t="s">
        <v>8150</v>
      </c>
      <c r="AXR645">
        <v>43025</v>
      </c>
      <c r="AXU645" t="s">
        <v>8150</v>
      </c>
      <c r="AXV645">
        <v>43025</v>
      </c>
      <c r="AXY645" t="s">
        <v>8150</v>
      </c>
      <c r="AXZ645">
        <v>43025</v>
      </c>
      <c r="AYC645" t="s">
        <v>8150</v>
      </c>
      <c r="AYD645">
        <v>43025</v>
      </c>
      <c r="AYG645" t="s">
        <v>8150</v>
      </c>
      <c r="AYH645">
        <v>43025</v>
      </c>
      <c r="AYK645" t="s">
        <v>8150</v>
      </c>
      <c r="AYL645">
        <v>43025</v>
      </c>
      <c r="AYO645" t="s">
        <v>8150</v>
      </c>
      <c r="AYP645">
        <v>43025</v>
      </c>
      <c r="AYS645" t="s">
        <v>8150</v>
      </c>
      <c r="AYT645">
        <v>43025</v>
      </c>
      <c r="AYW645" t="s">
        <v>8150</v>
      </c>
      <c r="AYX645">
        <v>43025</v>
      </c>
      <c r="AZA645" t="s">
        <v>8150</v>
      </c>
      <c r="AZB645">
        <v>43025</v>
      </c>
      <c r="AZE645" t="s">
        <v>8150</v>
      </c>
      <c r="AZF645">
        <v>43025</v>
      </c>
      <c r="AZI645" t="s">
        <v>8150</v>
      </c>
      <c r="AZJ645">
        <v>43025</v>
      </c>
      <c r="AZM645" t="s">
        <v>8150</v>
      </c>
      <c r="AZN645">
        <v>43025</v>
      </c>
      <c r="AZQ645" t="s">
        <v>8150</v>
      </c>
      <c r="AZR645">
        <v>43025</v>
      </c>
      <c r="AZU645" t="s">
        <v>8150</v>
      </c>
      <c r="AZV645">
        <v>43025</v>
      </c>
      <c r="AZY645" t="s">
        <v>8150</v>
      </c>
      <c r="AZZ645">
        <v>43025</v>
      </c>
      <c r="BAC645" t="s">
        <v>8150</v>
      </c>
      <c r="BAD645">
        <v>43025</v>
      </c>
      <c r="BAG645" t="s">
        <v>8150</v>
      </c>
      <c r="BAH645">
        <v>43025</v>
      </c>
      <c r="BAK645" t="s">
        <v>8150</v>
      </c>
      <c r="BAL645">
        <v>43025</v>
      </c>
      <c r="BAO645" t="s">
        <v>8150</v>
      </c>
      <c r="BAP645">
        <v>43025</v>
      </c>
      <c r="BAS645" t="s">
        <v>8150</v>
      </c>
      <c r="BAT645">
        <v>43025</v>
      </c>
      <c r="BAW645" t="s">
        <v>8150</v>
      </c>
      <c r="BAX645">
        <v>43025</v>
      </c>
      <c r="BBA645" t="s">
        <v>8150</v>
      </c>
      <c r="BBB645">
        <v>43025</v>
      </c>
      <c r="BBE645" t="s">
        <v>8150</v>
      </c>
      <c r="BBF645">
        <v>43025</v>
      </c>
      <c r="BBI645" t="s">
        <v>8150</v>
      </c>
      <c r="BBJ645">
        <v>43025</v>
      </c>
      <c r="BBM645" t="s">
        <v>8150</v>
      </c>
      <c r="BBN645">
        <v>43025</v>
      </c>
      <c r="BBQ645" t="s">
        <v>8150</v>
      </c>
      <c r="BBR645">
        <v>43025</v>
      </c>
      <c r="BBU645" t="s">
        <v>8150</v>
      </c>
      <c r="BBV645">
        <v>43025</v>
      </c>
      <c r="BBY645" t="s">
        <v>8150</v>
      </c>
      <c r="BBZ645">
        <v>43025</v>
      </c>
      <c r="BCC645" t="s">
        <v>8150</v>
      </c>
      <c r="BCD645">
        <v>43025</v>
      </c>
      <c r="BCG645" t="s">
        <v>8150</v>
      </c>
      <c r="BCH645">
        <v>43025</v>
      </c>
      <c r="BCK645" t="s">
        <v>8150</v>
      </c>
      <c r="BCL645">
        <v>43025</v>
      </c>
      <c r="BCO645" t="s">
        <v>8150</v>
      </c>
      <c r="BCP645">
        <v>43025</v>
      </c>
      <c r="BCS645" t="s">
        <v>8150</v>
      </c>
      <c r="BCT645">
        <v>43025</v>
      </c>
      <c r="BCW645" t="s">
        <v>8150</v>
      </c>
      <c r="BCX645">
        <v>43025</v>
      </c>
      <c r="BDA645" t="s">
        <v>8150</v>
      </c>
      <c r="BDB645">
        <v>43025</v>
      </c>
      <c r="BDE645" t="s">
        <v>8150</v>
      </c>
      <c r="BDF645">
        <v>43025</v>
      </c>
      <c r="BDI645" t="s">
        <v>8150</v>
      </c>
      <c r="BDJ645">
        <v>43025</v>
      </c>
      <c r="BDM645" t="s">
        <v>8150</v>
      </c>
      <c r="BDN645">
        <v>43025</v>
      </c>
      <c r="BDQ645" t="s">
        <v>8150</v>
      </c>
      <c r="BDR645">
        <v>43025</v>
      </c>
      <c r="BDU645" t="s">
        <v>8150</v>
      </c>
      <c r="BDV645">
        <v>43025</v>
      </c>
      <c r="BDY645" t="s">
        <v>8150</v>
      </c>
      <c r="BDZ645">
        <v>43025</v>
      </c>
      <c r="BEC645" t="s">
        <v>8150</v>
      </c>
      <c r="BED645">
        <v>43025</v>
      </c>
      <c r="BEG645" t="s">
        <v>8150</v>
      </c>
      <c r="BEH645">
        <v>43025</v>
      </c>
      <c r="BEK645" t="s">
        <v>8150</v>
      </c>
      <c r="BEL645">
        <v>43025</v>
      </c>
      <c r="BEO645" t="s">
        <v>8150</v>
      </c>
      <c r="BEP645">
        <v>43025</v>
      </c>
      <c r="BES645" t="s">
        <v>8150</v>
      </c>
      <c r="BET645">
        <v>43025</v>
      </c>
      <c r="BEW645" t="s">
        <v>8150</v>
      </c>
      <c r="BEX645">
        <v>43025</v>
      </c>
      <c r="BFA645" t="s">
        <v>8150</v>
      </c>
      <c r="BFB645">
        <v>43025</v>
      </c>
      <c r="BFE645" t="s">
        <v>8150</v>
      </c>
      <c r="BFF645">
        <v>43025</v>
      </c>
      <c r="BFI645" t="s">
        <v>8150</v>
      </c>
      <c r="BFJ645">
        <v>43025</v>
      </c>
      <c r="BFM645" t="s">
        <v>8150</v>
      </c>
      <c r="BFN645">
        <v>43025</v>
      </c>
      <c r="BFQ645" t="s">
        <v>8150</v>
      </c>
      <c r="BFR645">
        <v>43025</v>
      </c>
      <c r="BFU645" t="s">
        <v>8150</v>
      </c>
      <c r="BFV645">
        <v>43025</v>
      </c>
      <c r="BFY645" t="s">
        <v>8150</v>
      </c>
      <c r="BFZ645">
        <v>43025</v>
      </c>
      <c r="BGC645" t="s">
        <v>8150</v>
      </c>
      <c r="BGD645">
        <v>43025</v>
      </c>
      <c r="BGG645" t="s">
        <v>8150</v>
      </c>
      <c r="BGH645">
        <v>43025</v>
      </c>
      <c r="BGK645" t="s">
        <v>8150</v>
      </c>
      <c r="BGL645">
        <v>43025</v>
      </c>
      <c r="BGO645" t="s">
        <v>8150</v>
      </c>
      <c r="BGP645">
        <v>43025</v>
      </c>
      <c r="BGS645" t="s">
        <v>8150</v>
      </c>
      <c r="BGT645">
        <v>43025</v>
      </c>
      <c r="BGW645" t="s">
        <v>8150</v>
      </c>
      <c r="BGX645">
        <v>43025</v>
      </c>
      <c r="BHA645" t="s">
        <v>8150</v>
      </c>
      <c r="BHB645">
        <v>43025</v>
      </c>
      <c r="BHE645" t="s">
        <v>8150</v>
      </c>
      <c r="BHF645">
        <v>43025</v>
      </c>
      <c r="BHI645" t="s">
        <v>8150</v>
      </c>
      <c r="BHJ645">
        <v>43025</v>
      </c>
      <c r="BHM645" t="s">
        <v>8150</v>
      </c>
      <c r="BHN645">
        <v>43025</v>
      </c>
      <c r="BHQ645" t="s">
        <v>8150</v>
      </c>
      <c r="BHR645">
        <v>43025</v>
      </c>
      <c r="BHU645" t="s">
        <v>8150</v>
      </c>
      <c r="BHV645">
        <v>43025</v>
      </c>
      <c r="BHY645" t="s">
        <v>8150</v>
      </c>
      <c r="BHZ645">
        <v>43025</v>
      </c>
      <c r="BIC645" t="s">
        <v>8150</v>
      </c>
      <c r="BID645">
        <v>43025</v>
      </c>
      <c r="BIG645" t="s">
        <v>8150</v>
      </c>
      <c r="BIH645">
        <v>43025</v>
      </c>
      <c r="BIK645" t="s">
        <v>8150</v>
      </c>
      <c r="BIL645">
        <v>43025</v>
      </c>
      <c r="BIO645" t="s">
        <v>8150</v>
      </c>
      <c r="BIP645">
        <v>43025</v>
      </c>
      <c r="BIS645" t="s">
        <v>8150</v>
      </c>
      <c r="BIT645">
        <v>43025</v>
      </c>
      <c r="BIW645" t="s">
        <v>8150</v>
      </c>
      <c r="BIX645">
        <v>43025</v>
      </c>
      <c r="BJA645" t="s">
        <v>8150</v>
      </c>
      <c r="BJB645">
        <v>43025</v>
      </c>
      <c r="BJE645" t="s">
        <v>8150</v>
      </c>
      <c r="BJF645">
        <v>43025</v>
      </c>
      <c r="BJI645" t="s">
        <v>8150</v>
      </c>
      <c r="BJJ645">
        <v>43025</v>
      </c>
      <c r="BJM645" t="s">
        <v>8150</v>
      </c>
      <c r="BJN645">
        <v>43025</v>
      </c>
      <c r="BJQ645" t="s">
        <v>8150</v>
      </c>
      <c r="BJR645">
        <v>43025</v>
      </c>
      <c r="BJU645" t="s">
        <v>8150</v>
      </c>
      <c r="BJV645">
        <v>43025</v>
      </c>
      <c r="BJY645" t="s">
        <v>8150</v>
      </c>
      <c r="BJZ645">
        <v>43025</v>
      </c>
      <c r="BKC645" t="s">
        <v>8150</v>
      </c>
      <c r="BKD645">
        <v>43025</v>
      </c>
      <c r="BKG645" t="s">
        <v>8150</v>
      </c>
      <c r="BKH645">
        <v>43025</v>
      </c>
      <c r="BKK645" t="s">
        <v>8150</v>
      </c>
      <c r="BKL645">
        <v>43025</v>
      </c>
      <c r="BKO645" t="s">
        <v>8150</v>
      </c>
      <c r="BKP645">
        <v>43025</v>
      </c>
      <c r="BKS645" t="s">
        <v>8150</v>
      </c>
      <c r="BKT645">
        <v>43025</v>
      </c>
      <c r="BKW645" t="s">
        <v>8150</v>
      </c>
      <c r="BKX645">
        <v>43025</v>
      </c>
      <c r="BLA645" t="s">
        <v>8150</v>
      </c>
      <c r="BLB645">
        <v>43025</v>
      </c>
      <c r="BLE645" t="s">
        <v>8150</v>
      </c>
      <c r="BLF645">
        <v>43025</v>
      </c>
      <c r="BLI645" t="s">
        <v>8150</v>
      </c>
      <c r="BLJ645">
        <v>43025</v>
      </c>
      <c r="BLM645" t="s">
        <v>8150</v>
      </c>
      <c r="BLN645">
        <v>43025</v>
      </c>
      <c r="BLQ645" t="s">
        <v>8150</v>
      </c>
      <c r="BLR645">
        <v>43025</v>
      </c>
      <c r="BLU645" t="s">
        <v>8150</v>
      </c>
      <c r="BLV645">
        <v>43025</v>
      </c>
      <c r="BLY645" t="s">
        <v>8150</v>
      </c>
      <c r="BLZ645">
        <v>43025</v>
      </c>
      <c r="BMC645" t="s">
        <v>8150</v>
      </c>
      <c r="BMD645">
        <v>43025</v>
      </c>
      <c r="BMG645" t="s">
        <v>8150</v>
      </c>
      <c r="BMH645">
        <v>43025</v>
      </c>
      <c r="BMK645" t="s">
        <v>8150</v>
      </c>
      <c r="BML645">
        <v>43025</v>
      </c>
      <c r="BMO645" t="s">
        <v>8150</v>
      </c>
      <c r="BMP645">
        <v>43025</v>
      </c>
      <c r="BMS645" t="s">
        <v>8150</v>
      </c>
      <c r="BMT645">
        <v>43025</v>
      </c>
      <c r="BMW645" t="s">
        <v>8150</v>
      </c>
      <c r="BMX645">
        <v>43025</v>
      </c>
      <c r="BNA645" t="s">
        <v>8150</v>
      </c>
      <c r="BNB645">
        <v>43025</v>
      </c>
      <c r="BNE645" t="s">
        <v>8150</v>
      </c>
      <c r="BNF645">
        <v>43025</v>
      </c>
      <c r="BNI645" t="s">
        <v>8150</v>
      </c>
      <c r="BNJ645">
        <v>43025</v>
      </c>
      <c r="BNM645" t="s">
        <v>8150</v>
      </c>
      <c r="BNN645">
        <v>43025</v>
      </c>
      <c r="BNQ645" t="s">
        <v>8150</v>
      </c>
      <c r="BNR645">
        <v>43025</v>
      </c>
      <c r="BNU645" t="s">
        <v>8150</v>
      </c>
      <c r="BNV645">
        <v>43025</v>
      </c>
      <c r="BNY645" t="s">
        <v>8150</v>
      </c>
      <c r="BNZ645">
        <v>43025</v>
      </c>
      <c r="BOC645" t="s">
        <v>8150</v>
      </c>
      <c r="BOD645">
        <v>43025</v>
      </c>
      <c r="BOG645" t="s">
        <v>8150</v>
      </c>
      <c r="BOH645">
        <v>43025</v>
      </c>
      <c r="BOK645" t="s">
        <v>8150</v>
      </c>
      <c r="BOL645">
        <v>43025</v>
      </c>
      <c r="BOO645" t="s">
        <v>8150</v>
      </c>
      <c r="BOP645">
        <v>43025</v>
      </c>
      <c r="BOS645" t="s">
        <v>8150</v>
      </c>
      <c r="BOT645">
        <v>43025</v>
      </c>
      <c r="BOW645" t="s">
        <v>8150</v>
      </c>
      <c r="BOX645">
        <v>43025</v>
      </c>
      <c r="BPA645" t="s">
        <v>8150</v>
      </c>
      <c r="BPB645">
        <v>43025</v>
      </c>
      <c r="BPE645" t="s">
        <v>8150</v>
      </c>
      <c r="BPF645">
        <v>43025</v>
      </c>
      <c r="BPI645" t="s">
        <v>8150</v>
      </c>
      <c r="BPJ645">
        <v>43025</v>
      </c>
      <c r="BPM645" t="s">
        <v>8150</v>
      </c>
      <c r="BPN645">
        <v>43025</v>
      </c>
      <c r="BPQ645" t="s">
        <v>8150</v>
      </c>
      <c r="BPR645">
        <v>43025</v>
      </c>
      <c r="BPU645" t="s">
        <v>8150</v>
      </c>
      <c r="BPV645">
        <v>43025</v>
      </c>
      <c r="BPY645" t="s">
        <v>8150</v>
      </c>
      <c r="BPZ645">
        <v>43025</v>
      </c>
      <c r="BQC645" t="s">
        <v>8150</v>
      </c>
      <c r="BQD645">
        <v>43025</v>
      </c>
      <c r="BQG645" t="s">
        <v>8150</v>
      </c>
      <c r="BQH645">
        <v>43025</v>
      </c>
      <c r="BQK645" t="s">
        <v>8150</v>
      </c>
      <c r="BQL645">
        <v>43025</v>
      </c>
      <c r="BQO645" t="s">
        <v>8150</v>
      </c>
      <c r="BQP645">
        <v>43025</v>
      </c>
      <c r="BQS645" t="s">
        <v>8150</v>
      </c>
      <c r="BQT645">
        <v>43025</v>
      </c>
      <c r="BQW645" t="s">
        <v>8150</v>
      </c>
      <c r="BQX645">
        <v>43025</v>
      </c>
      <c r="BRA645" t="s">
        <v>8150</v>
      </c>
      <c r="BRB645">
        <v>43025</v>
      </c>
      <c r="BRE645" t="s">
        <v>8150</v>
      </c>
      <c r="BRF645">
        <v>43025</v>
      </c>
      <c r="BRI645" t="s">
        <v>8150</v>
      </c>
      <c r="BRJ645">
        <v>43025</v>
      </c>
      <c r="BRM645" t="s">
        <v>8150</v>
      </c>
      <c r="BRN645">
        <v>43025</v>
      </c>
      <c r="BRQ645" t="s">
        <v>8150</v>
      </c>
      <c r="BRR645">
        <v>43025</v>
      </c>
      <c r="BRU645" t="s">
        <v>8150</v>
      </c>
      <c r="BRV645">
        <v>43025</v>
      </c>
      <c r="BRY645" t="s">
        <v>8150</v>
      </c>
      <c r="BRZ645">
        <v>43025</v>
      </c>
      <c r="BSC645" t="s">
        <v>8150</v>
      </c>
      <c r="BSD645">
        <v>43025</v>
      </c>
      <c r="BSG645" t="s">
        <v>8150</v>
      </c>
      <c r="BSH645">
        <v>43025</v>
      </c>
      <c r="BSK645" t="s">
        <v>8150</v>
      </c>
      <c r="BSL645">
        <v>43025</v>
      </c>
      <c r="BSO645" t="s">
        <v>8150</v>
      </c>
      <c r="BSP645">
        <v>43025</v>
      </c>
      <c r="BSS645" t="s">
        <v>8150</v>
      </c>
      <c r="BST645">
        <v>43025</v>
      </c>
      <c r="BSW645" t="s">
        <v>8150</v>
      </c>
      <c r="BSX645">
        <v>43025</v>
      </c>
      <c r="BTA645" t="s">
        <v>8150</v>
      </c>
      <c r="BTB645">
        <v>43025</v>
      </c>
      <c r="BTE645" t="s">
        <v>8150</v>
      </c>
      <c r="BTF645">
        <v>43025</v>
      </c>
      <c r="BTI645" t="s">
        <v>8150</v>
      </c>
      <c r="BTJ645">
        <v>43025</v>
      </c>
      <c r="BTM645" t="s">
        <v>8150</v>
      </c>
      <c r="BTN645">
        <v>43025</v>
      </c>
      <c r="BTQ645" t="s">
        <v>8150</v>
      </c>
      <c r="BTR645">
        <v>43025</v>
      </c>
      <c r="BTU645" t="s">
        <v>8150</v>
      </c>
      <c r="BTV645">
        <v>43025</v>
      </c>
      <c r="BTY645" t="s">
        <v>8150</v>
      </c>
      <c r="BTZ645">
        <v>43025</v>
      </c>
      <c r="BUC645" t="s">
        <v>8150</v>
      </c>
      <c r="BUD645">
        <v>43025</v>
      </c>
      <c r="BUG645" t="s">
        <v>8150</v>
      </c>
      <c r="BUH645">
        <v>43025</v>
      </c>
      <c r="BUK645" t="s">
        <v>8150</v>
      </c>
      <c r="BUL645">
        <v>43025</v>
      </c>
      <c r="BUO645" t="s">
        <v>8150</v>
      </c>
      <c r="BUP645">
        <v>43025</v>
      </c>
      <c r="BUS645" t="s">
        <v>8150</v>
      </c>
      <c r="BUT645">
        <v>43025</v>
      </c>
      <c r="BUW645" t="s">
        <v>8150</v>
      </c>
      <c r="BUX645">
        <v>43025</v>
      </c>
      <c r="BVA645" t="s">
        <v>8150</v>
      </c>
      <c r="BVB645">
        <v>43025</v>
      </c>
      <c r="BVE645" t="s">
        <v>8150</v>
      </c>
      <c r="BVF645">
        <v>43025</v>
      </c>
      <c r="BVI645" t="s">
        <v>8150</v>
      </c>
      <c r="BVJ645">
        <v>43025</v>
      </c>
      <c r="BVM645" t="s">
        <v>8150</v>
      </c>
      <c r="BVN645">
        <v>43025</v>
      </c>
      <c r="BVQ645" t="s">
        <v>8150</v>
      </c>
      <c r="BVR645">
        <v>43025</v>
      </c>
      <c r="BVU645" t="s">
        <v>8150</v>
      </c>
      <c r="BVV645">
        <v>43025</v>
      </c>
      <c r="BVY645" t="s">
        <v>8150</v>
      </c>
      <c r="BVZ645">
        <v>43025</v>
      </c>
      <c r="BWC645" t="s">
        <v>8150</v>
      </c>
      <c r="BWD645">
        <v>43025</v>
      </c>
      <c r="BWG645" t="s">
        <v>8150</v>
      </c>
      <c r="BWH645">
        <v>43025</v>
      </c>
      <c r="BWK645" t="s">
        <v>8150</v>
      </c>
      <c r="BWL645">
        <v>43025</v>
      </c>
      <c r="BWO645" t="s">
        <v>8150</v>
      </c>
      <c r="BWP645">
        <v>43025</v>
      </c>
      <c r="BWS645" t="s">
        <v>8150</v>
      </c>
      <c r="BWT645">
        <v>43025</v>
      </c>
      <c r="BWW645" t="s">
        <v>8150</v>
      </c>
      <c r="BWX645">
        <v>43025</v>
      </c>
      <c r="BXA645" t="s">
        <v>8150</v>
      </c>
      <c r="BXB645">
        <v>43025</v>
      </c>
      <c r="BXE645" t="s">
        <v>8150</v>
      </c>
      <c r="BXF645">
        <v>43025</v>
      </c>
      <c r="BXI645" t="s">
        <v>8150</v>
      </c>
      <c r="BXJ645">
        <v>43025</v>
      </c>
      <c r="BXM645" t="s">
        <v>8150</v>
      </c>
      <c r="BXN645">
        <v>43025</v>
      </c>
      <c r="BXQ645" t="s">
        <v>8150</v>
      </c>
      <c r="BXR645">
        <v>43025</v>
      </c>
      <c r="BXU645" t="s">
        <v>8150</v>
      </c>
      <c r="BXV645">
        <v>43025</v>
      </c>
      <c r="BXY645" t="s">
        <v>8150</v>
      </c>
      <c r="BXZ645">
        <v>43025</v>
      </c>
      <c r="BYC645" t="s">
        <v>8150</v>
      </c>
      <c r="BYD645">
        <v>43025</v>
      </c>
      <c r="BYG645" t="s">
        <v>8150</v>
      </c>
      <c r="BYH645">
        <v>43025</v>
      </c>
      <c r="BYK645" t="s">
        <v>8150</v>
      </c>
      <c r="BYL645">
        <v>43025</v>
      </c>
      <c r="BYO645" t="s">
        <v>8150</v>
      </c>
      <c r="BYP645">
        <v>43025</v>
      </c>
      <c r="BYS645" t="s">
        <v>8150</v>
      </c>
      <c r="BYT645">
        <v>43025</v>
      </c>
      <c r="BYW645" t="s">
        <v>8150</v>
      </c>
      <c r="BYX645">
        <v>43025</v>
      </c>
      <c r="BZA645" t="s">
        <v>8150</v>
      </c>
      <c r="BZB645">
        <v>43025</v>
      </c>
      <c r="BZE645" t="s">
        <v>8150</v>
      </c>
      <c r="BZF645">
        <v>43025</v>
      </c>
      <c r="BZI645" t="s">
        <v>8150</v>
      </c>
      <c r="BZJ645">
        <v>43025</v>
      </c>
      <c r="BZM645" t="s">
        <v>8150</v>
      </c>
      <c r="BZN645">
        <v>43025</v>
      </c>
      <c r="BZQ645" t="s">
        <v>8150</v>
      </c>
      <c r="BZR645">
        <v>43025</v>
      </c>
      <c r="BZU645" t="s">
        <v>8150</v>
      </c>
      <c r="BZV645">
        <v>43025</v>
      </c>
      <c r="BZY645" t="s">
        <v>8150</v>
      </c>
      <c r="BZZ645">
        <v>43025</v>
      </c>
      <c r="CAC645" t="s">
        <v>8150</v>
      </c>
      <c r="CAD645">
        <v>43025</v>
      </c>
      <c r="CAG645" t="s">
        <v>8150</v>
      </c>
      <c r="CAH645">
        <v>43025</v>
      </c>
      <c r="CAK645" t="s">
        <v>8150</v>
      </c>
      <c r="CAL645">
        <v>43025</v>
      </c>
      <c r="CAO645" t="s">
        <v>8150</v>
      </c>
      <c r="CAP645">
        <v>43025</v>
      </c>
      <c r="CAS645" t="s">
        <v>8150</v>
      </c>
      <c r="CAT645">
        <v>43025</v>
      </c>
      <c r="CAW645" t="s">
        <v>8150</v>
      </c>
      <c r="CAX645">
        <v>43025</v>
      </c>
      <c r="CBA645" t="s">
        <v>8150</v>
      </c>
      <c r="CBB645">
        <v>43025</v>
      </c>
      <c r="CBE645" t="s">
        <v>8150</v>
      </c>
      <c r="CBF645">
        <v>43025</v>
      </c>
      <c r="CBI645" t="s">
        <v>8150</v>
      </c>
      <c r="CBJ645">
        <v>43025</v>
      </c>
      <c r="CBM645" t="s">
        <v>8150</v>
      </c>
      <c r="CBN645">
        <v>43025</v>
      </c>
      <c r="CBQ645" t="s">
        <v>8150</v>
      </c>
      <c r="CBR645">
        <v>43025</v>
      </c>
      <c r="CBU645" t="s">
        <v>8150</v>
      </c>
      <c r="CBV645">
        <v>43025</v>
      </c>
      <c r="CBY645" t="s">
        <v>8150</v>
      </c>
      <c r="CBZ645">
        <v>43025</v>
      </c>
      <c r="CCC645" t="s">
        <v>8150</v>
      </c>
      <c r="CCD645">
        <v>43025</v>
      </c>
      <c r="CCG645" t="s">
        <v>8150</v>
      </c>
      <c r="CCH645">
        <v>43025</v>
      </c>
      <c r="CCK645" t="s">
        <v>8150</v>
      </c>
      <c r="CCL645">
        <v>43025</v>
      </c>
      <c r="CCO645" t="s">
        <v>8150</v>
      </c>
      <c r="CCP645">
        <v>43025</v>
      </c>
      <c r="CCS645" t="s">
        <v>8150</v>
      </c>
      <c r="CCT645">
        <v>43025</v>
      </c>
      <c r="CCW645" t="s">
        <v>8150</v>
      </c>
      <c r="CCX645">
        <v>43025</v>
      </c>
      <c r="CDA645" t="s">
        <v>8150</v>
      </c>
      <c r="CDB645">
        <v>43025</v>
      </c>
      <c r="CDE645" t="s">
        <v>8150</v>
      </c>
      <c r="CDF645">
        <v>43025</v>
      </c>
      <c r="CDI645" t="s">
        <v>8150</v>
      </c>
      <c r="CDJ645">
        <v>43025</v>
      </c>
      <c r="CDM645" t="s">
        <v>8150</v>
      </c>
      <c r="CDN645">
        <v>43025</v>
      </c>
      <c r="CDQ645" t="s">
        <v>8150</v>
      </c>
      <c r="CDR645">
        <v>43025</v>
      </c>
      <c r="CDU645" t="s">
        <v>8150</v>
      </c>
      <c r="CDV645">
        <v>43025</v>
      </c>
      <c r="CDY645" t="s">
        <v>8150</v>
      </c>
      <c r="CDZ645">
        <v>43025</v>
      </c>
      <c r="CEC645" t="s">
        <v>8150</v>
      </c>
      <c r="CED645">
        <v>43025</v>
      </c>
      <c r="CEG645" t="s">
        <v>8150</v>
      </c>
      <c r="CEH645">
        <v>43025</v>
      </c>
      <c r="CEK645" t="s">
        <v>8150</v>
      </c>
      <c r="CEL645">
        <v>43025</v>
      </c>
      <c r="CEO645" t="s">
        <v>8150</v>
      </c>
      <c r="CEP645">
        <v>43025</v>
      </c>
      <c r="CES645" t="s">
        <v>8150</v>
      </c>
      <c r="CET645">
        <v>43025</v>
      </c>
      <c r="CEW645" t="s">
        <v>8150</v>
      </c>
      <c r="CEX645">
        <v>43025</v>
      </c>
      <c r="CFA645" t="s">
        <v>8150</v>
      </c>
      <c r="CFB645">
        <v>43025</v>
      </c>
      <c r="CFE645" t="s">
        <v>8150</v>
      </c>
      <c r="CFF645">
        <v>43025</v>
      </c>
      <c r="CFI645" t="s">
        <v>8150</v>
      </c>
      <c r="CFJ645">
        <v>43025</v>
      </c>
      <c r="CFM645" t="s">
        <v>8150</v>
      </c>
      <c r="CFN645">
        <v>43025</v>
      </c>
      <c r="CFQ645" t="s">
        <v>8150</v>
      </c>
      <c r="CFR645">
        <v>43025</v>
      </c>
      <c r="CFU645" t="s">
        <v>8150</v>
      </c>
      <c r="CFV645">
        <v>43025</v>
      </c>
      <c r="CFY645" t="s">
        <v>8150</v>
      </c>
      <c r="CFZ645">
        <v>43025</v>
      </c>
      <c r="CGC645" t="s">
        <v>8150</v>
      </c>
      <c r="CGD645">
        <v>43025</v>
      </c>
      <c r="CGG645" t="s">
        <v>8150</v>
      </c>
      <c r="CGH645">
        <v>43025</v>
      </c>
      <c r="CGK645" t="s">
        <v>8150</v>
      </c>
      <c r="CGL645">
        <v>43025</v>
      </c>
      <c r="CGO645" t="s">
        <v>8150</v>
      </c>
      <c r="CGP645">
        <v>43025</v>
      </c>
      <c r="CGS645" t="s">
        <v>8150</v>
      </c>
      <c r="CGT645">
        <v>43025</v>
      </c>
      <c r="CGW645" t="s">
        <v>8150</v>
      </c>
      <c r="CGX645">
        <v>43025</v>
      </c>
      <c r="CHA645" t="s">
        <v>8150</v>
      </c>
      <c r="CHB645">
        <v>43025</v>
      </c>
      <c r="CHE645" t="s">
        <v>8150</v>
      </c>
      <c r="CHF645">
        <v>43025</v>
      </c>
      <c r="CHI645" t="s">
        <v>8150</v>
      </c>
      <c r="CHJ645">
        <v>43025</v>
      </c>
      <c r="CHM645" t="s">
        <v>8150</v>
      </c>
      <c r="CHN645">
        <v>43025</v>
      </c>
      <c r="CHQ645" t="s">
        <v>8150</v>
      </c>
      <c r="CHR645">
        <v>43025</v>
      </c>
      <c r="CHU645" t="s">
        <v>8150</v>
      </c>
      <c r="CHV645">
        <v>43025</v>
      </c>
      <c r="CHY645" t="s">
        <v>8150</v>
      </c>
      <c r="CHZ645">
        <v>43025</v>
      </c>
      <c r="CIC645" t="s">
        <v>8150</v>
      </c>
      <c r="CID645">
        <v>43025</v>
      </c>
      <c r="CIG645" t="s">
        <v>8150</v>
      </c>
      <c r="CIH645">
        <v>43025</v>
      </c>
      <c r="CIK645" t="s">
        <v>8150</v>
      </c>
      <c r="CIL645">
        <v>43025</v>
      </c>
      <c r="CIO645" t="s">
        <v>8150</v>
      </c>
      <c r="CIP645">
        <v>43025</v>
      </c>
      <c r="CIS645" t="s">
        <v>8150</v>
      </c>
      <c r="CIT645">
        <v>43025</v>
      </c>
      <c r="CIW645" t="s">
        <v>8150</v>
      </c>
      <c r="CIX645">
        <v>43025</v>
      </c>
      <c r="CJA645" t="s">
        <v>8150</v>
      </c>
      <c r="CJB645">
        <v>43025</v>
      </c>
      <c r="CJE645" t="s">
        <v>8150</v>
      </c>
      <c r="CJF645">
        <v>43025</v>
      </c>
      <c r="CJI645" t="s">
        <v>8150</v>
      </c>
      <c r="CJJ645">
        <v>43025</v>
      </c>
      <c r="CJM645" t="s">
        <v>8150</v>
      </c>
      <c r="CJN645">
        <v>43025</v>
      </c>
      <c r="CJQ645" t="s">
        <v>8150</v>
      </c>
      <c r="CJR645">
        <v>43025</v>
      </c>
      <c r="CJU645" t="s">
        <v>8150</v>
      </c>
      <c r="CJV645">
        <v>43025</v>
      </c>
      <c r="CJY645" t="s">
        <v>8150</v>
      </c>
      <c r="CJZ645">
        <v>43025</v>
      </c>
      <c r="CKC645" t="s">
        <v>8150</v>
      </c>
      <c r="CKD645">
        <v>43025</v>
      </c>
      <c r="CKG645" t="s">
        <v>8150</v>
      </c>
      <c r="CKH645">
        <v>43025</v>
      </c>
      <c r="CKK645" t="s">
        <v>8150</v>
      </c>
      <c r="CKL645">
        <v>43025</v>
      </c>
      <c r="CKO645" t="s">
        <v>8150</v>
      </c>
      <c r="CKP645">
        <v>43025</v>
      </c>
      <c r="CKS645" t="s">
        <v>8150</v>
      </c>
      <c r="CKT645">
        <v>43025</v>
      </c>
      <c r="CKW645" t="s">
        <v>8150</v>
      </c>
      <c r="CKX645">
        <v>43025</v>
      </c>
      <c r="CLA645" t="s">
        <v>8150</v>
      </c>
      <c r="CLB645">
        <v>43025</v>
      </c>
      <c r="CLE645" t="s">
        <v>8150</v>
      </c>
      <c r="CLF645">
        <v>43025</v>
      </c>
      <c r="CLI645" t="s">
        <v>8150</v>
      </c>
      <c r="CLJ645">
        <v>43025</v>
      </c>
      <c r="CLM645" t="s">
        <v>8150</v>
      </c>
      <c r="CLN645">
        <v>43025</v>
      </c>
      <c r="CLQ645" t="s">
        <v>8150</v>
      </c>
      <c r="CLR645">
        <v>43025</v>
      </c>
      <c r="CLU645" t="s">
        <v>8150</v>
      </c>
      <c r="CLV645">
        <v>43025</v>
      </c>
      <c r="CLY645" t="s">
        <v>8150</v>
      </c>
      <c r="CLZ645">
        <v>43025</v>
      </c>
      <c r="CMC645" t="s">
        <v>8150</v>
      </c>
      <c r="CMD645">
        <v>43025</v>
      </c>
      <c r="CMG645" t="s">
        <v>8150</v>
      </c>
      <c r="CMH645">
        <v>43025</v>
      </c>
      <c r="CMK645" t="s">
        <v>8150</v>
      </c>
      <c r="CML645">
        <v>43025</v>
      </c>
      <c r="CMO645" t="s">
        <v>8150</v>
      </c>
      <c r="CMP645">
        <v>43025</v>
      </c>
      <c r="CMS645" t="s">
        <v>8150</v>
      </c>
      <c r="CMT645">
        <v>43025</v>
      </c>
      <c r="CMW645" t="s">
        <v>8150</v>
      </c>
      <c r="CMX645">
        <v>43025</v>
      </c>
      <c r="CNA645" t="s">
        <v>8150</v>
      </c>
      <c r="CNB645">
        <v>43025</v>
      </c>
      <c r="CNE645" t="s">
        <v>8150</v>
      </c>
      <c r="CNF645">
        <v>43025</v>
      </c>
      <c r="CNI645" t="s">
        <v>8150</v>
      </c>
      <c r="CNJ645">
        <v>43025</v>
      </c>
      <c r="CNM645" t="s">
        <v>8150</v>
      </c>
      <c r="CNN645">
        <v>43025</v>
      </c>
      <c r="CNQ645" t="s">
        <v>8150</v>
      </c>
      <c r="CNR645">
        <v>43025</v>
      </c>
      <c r="CNU645" t="s">
        <v>8150</v>
      </c>
      <c r="CNV645">
        <v>43025</v>
      </c>
      <c r="CNY645" t="s">
        <v>8150</v>
      </c>
      <c r="CNZ645">
        <v>43025</v>
      </c>
      <c r="COC645" t="s">
        <v>8150</v>
      </c>
      <c r="COD645">
        <v>43025</v>
      </c>
      <c r="COG645" t="s">
        <v>8150</v>
      </c>
      <c r="COH645">
        <v>43025</v>
      </c>
      <c r="COK645" t="s">
        <v>8150</v>
      </c>
      <c r="COL645">
        <v>43025</v>
      </c>
      <c r="COO645" t="s">
        <v>8150</v>
      </c>
      <c r="COP645">
        <v>43025</v>
      </c>
      <c r="COS645" t="s">
        <v>8150</v>
      </c>
      <c r="COT645">
        <v>43025</v>
      </c>
      <c r="COW645" t="s">
        <v>8150</v>
      </c>
      <c r="COX645">
        <v>43025</v>
      </c>
      <c r="CPA645" t="s">
        <v>8150</v>
      </c>
      <c r="CPB645">
        <v>43025</v>
      </c>
      <c r="CPE645" t="s">
        <v>8150</v>
      </c>
      <c r="CPF645">
        <v>43025</v>
      </c>
      <c r="CPI645" t="s">
        <v>8150</v>
      </c>
      <c r="CPJ645">
        <v>43025</v>
      </c>
      <c r="CPM645" t="s">
        <v>8150</v>
      </c>
      <c r="CPN645">
        <v>43025</v>
      </c>
      <c r="CPQ645" t="s">
        <v>8150</v>
      </c>
      <c r="CPR645">
        <v>43025</v>
      </c>
      <c r="CPU645" t="s">
        <v>8150</v>
      </c>
      <c r="CPV645">
        <v>43025</v>
      </c>
      <c r="CPY645" t="s">
        <v>8150</v>
      </c>
      <c r="CPZ645">
        <v>43025</v>
      </c>
      <c r="CQC645" t="s">
        <v>8150</v>
      </c>
      <c r="CQD645">
        <v>43025</v>
      </c>
      <c r="CQG645" t="s">
        <v>8150</v>
      </c>
      <c r="CQH645">
        <v>43025</v>
      </c>
      <c r="CQK645" t="s">
        <v>8150</v>
      </c>
      <c r="CQL645">
        <v>43025</v>
      </c>
      <c r="CQO645" t="s">
        <v>8150</v>
      </c>
      <c r="CQP645">
        <v>43025</v>
      </c>
      <c r="CQS645" t="s">
        <v>8150</v>
      </c>
      <c r="CQT645">
        <v>43025</v>
      </c>
      <c r="CQW645" t="s">
        <v>8150</v>
      </c>
      <c r="CQX645">
        <v>43025</v>
      </c>
      <c r="CRA645" t="s">
        <v>8150</v>
      </c>
      <c r="CRB645">
        <v>43025</v>
      </c>
      <c r="CRE645" t="s">
        <v>8150</v>
      </c>
      <c r="CRF645">
        <v>43025</v>
      </c>
      <c r="CRI645" t="s">
        <v>8150</v>
      </c>
      <c r="CRJ645">
        <v>43025</v>
      </c>
      <c r="CRM645" t="s">
        <v>8150</v>
      </c>
      <c r="CRN645">
        <v>43025</v>
      </c>
      <c r="CRQ645" t="s">
        <v>8150</v>
      </c>
      <c r="CRR645">
        <v>43025</v>
      </c>
      <c r="CRU645" t="s">
        <v>8150</v>
      </c>
      <c r="CRV645">
        <v>43025</v>
      </c>
      <c r="CRY645" t="s">
        <v>8150</v>
      </c>
      <c r="CRZ645">
        <v>43025</v>
      </c>
      <c r="CSC645" t="s">
        <v>8150</v>
      </c>
      <c r="CSD645">
        <v>43025</v>
      </c>
      <c r="CSG645" t="s">
        <v>8150</v>
      </c>
      <c r="CSH645">
        <v>43025</v>
      </c>
      <c r="CSK645" t="s">
        <v>8150</v>
      </c>
      <c r="CSL645">
        <v>43025</v>
      </c>
      <c r="CSO645" t="s">
        <v>8150</v>
      </c>
      <c r="CSP645">
        <v>43025</v>
      </c>
      <c r="CSS645" t="s">
        <v>8150</v>
      </c>
      <c r="CST645">
        <v>43025</v>
      </c>
      <c r="CSW645" t="s">
        <v>8150</v>
      </c>
      <c r="CSX645">
        <v>43025</v>
      </c>
      <c r="CTA645" t="s">
        <v>8150</v>
      </c>
      <c r="CTB645">
        <v>43025</v>
      </c>
      <c r="CTE645" t="s">
        <v>8150</v>
      </c>
      <c r="CTF645">
        <v>43025</v>
      </c>
      <c r="CTI645" t="s">
        <v>8150</v>
      </c>
      <c r="CTJ645">
        <v>43025</v>
      </c>
      <c r="CTM645" t="s">
        <v>8150</v>
      </c>
      <c r="CTN645">
        <v>43025</v>
      </c>
      <c r="CTQ645" t="s">
        <v>8150</v>
      </c>
      <c r="CTR645">
        <v>43025</v>
      </c>
      <c r="CTU645" t="s">
        <v>8150</v>
      </c>
      <c r="CTV645">
        <v>43025</v>
      </c>
      <c r="CTY645" t="s">
        <v>8150</v>
      </c>
      <c r="CTZ645">
        <v>43025</v>
      </c>
      <c r="CUC645" t="s">
        <v>8150</v>
      </c>
      <c r="CUD645">
        <v>43025</v>
      </c>
      <c r="CUG645" t="s">
        <v>8150</v>
      </c>
      <c r="CUH645">
        <v>43025</v>
      </c>
      <c r="CUK645" t="s">
        <v>8150</v>
      </c>
      <c r="CUL645">
        <v>43025</v>
      </c>
      <c r="CUO645" t="s">
        <v>8150</v>
      </c>
      <c r="CUP645">
        <v>43025</v>
      </c>
      <c r="CUS645" t="s">
        <v>8150</v>
      </c>
      <c r="CUT645">
        <v>43025</v>
      </c>
      <c r="CUW645" t="s">
        <v>8150</v>
      </c>
      <c r="CUX645">
        <v>43025</v>
      </c>
      <c r="CVA645" t="s">
        <v>8150</v>
      </c>
      <c r="CVB645">
        <v>43025</v>
      </c>
      <c r="CVE645" t="s">
        <v>8150</v>
      </c>
      <c r="CVF645">
        <v>43025</v>
      </c>
      <c r="CVI645" t="s">
        <v>8150</v>
      </c>
      <c r="CVJ645">
        <v>43025</v>
      </c>
      <c r="CVM645" t="s">
        <v>8150</v>
      </c>
      <c r="CVN645">
        <v>43025</v>
      </c>
      <c r="CVQ645" t="s">
        <v>8150</v>
      </c>
      <c r="CVR645">
        <v>43025</v>
      </c>
      <c r="CVU645" t="s">
        <v>8150</v>
      </c>
      <c r="CVV645">
        <v>43025</v>
      </c>
      <c r="CVY645" t="s">
        <v>8150</v>
      </c>
      <c r="CVZ645">
        <v>43025</v>
      </c>
      <c r="CWC645" t="s">
        <v>8150</v>
      </c>
      <c r="CWD645">
        <v>43025</v>
      </c>
      <c r="CWG645" t="s">
        <v>8150</v>
      </c>
      <c r="CWH645">
        <v>43025</v>
      </c>
      <c r="CWK645" t="s">
        <v>8150</v>
      </c>
      <c r="CWL645">
        <v>43025</v>
      </c>
      <c r="CWO645" t="s">
        <v>8150</v>
      </c>
      <c r="CWP645">
        <v>43025</v>
      </c>
      <c r="CWS645" t="s">
        <v>8150</v>
      </c>
      <c r="CWT645">
        <v>43025</v>
      </c>
      <c r="CWW645" t="s">
        <v>8150</v>
      </c>
      <c r="CWX645">
        <v>43025</v>
      </c>
      <c r="CXA645" t="s">
        <v>8150</v>
      </c>
      <c r="CXB645">
        <v>43025</v>
      </c>
      <c r="CXE645" t="s">
        <v>8150</v>
      </c>
      <c r="CXF645">
        <v>43025</v>
      </c>
      <c r="CXI645" t="s">
        <v>8150</v>
      </c>
      <c r="CXJ645">
        <v>43025</v>
      </c>
      <c r="CXM645" t="s">
        <v>8150</v>
      </c>
      <c r="CXN645">
        <v>43025</v>
      </c>
      <c r="CXQ645" t="s">
        <v>8150</v>
      </c>
      <c r="CXR645">
        <v>43025</v>
      </c>
      <c r="CXU645" t="s">
        <v>8150</v>
      </c>
      <c r="CXV645">
        <v>43025</v>
      </c>
      <c r="CXY645" t="s">
        <v>8150</v>
      </c>
      <c r="CXZ645">
        <v>43025</v>
      </c>
      <c r="CYC645" t="s">
        <v>8150</v>
      </c>
      <c r="CYD645">
        <v>43025</v>
      </c>
      <c r="CYG645" t="s">
        <v>8150</v>
      </c>
      <c r="CYH645">
        <v>43025</v>
      </c>
      <c r="CYK645" t="s">
        <v>8150</v>
      </c>
      <c r="CYL645">
        <v>43025</v>
      </c>
      <c r="CYO645" t="s">
        <v>8150</v>
      </c>
      <c r="CYP645">
        <v>43025</v>
      </c>
      <c r="CYS645" t="s">
        <v>8150</v>
      </c>
      <c r="CYT645">
        <v>43025</v>
      </c>
      <c r="CYW645" t="s">
        <v>8150</v>
      </c>
      <c r="CYX645">
        <v>43025</v>
      </c>
      <c r="CZA645" t="s">
        <v>8150</v>
      </c>
      <c r="CZB645">
        <v>43025</v>
      </c>
      <c r="CZE645" t="s">
        <v>8150</v>
      </c>
      <c r="CZF645">
        <v>43025</v>
      </c>
      <c r="CZI645" t="s">
        <v>8150</v>
      </c>
      <c r="CZJ645">
        <v>43025</v>
      </c>
      <c r="CZM645" t="s">
        <v>8150</v>
      </c>
      <c r="CZN645">
        <v>43025</v>
      </c>
      <c r="CZQ645" t="s">
        <v>8150</v>
      </c>
      <c r="CZR645">
        <v>43025</v>
      </c>
      <c r="CZU645" t="s">
        <v>8150</v>
      </c>
      <c r="CZV645">
        <v>43025</v>
      </c>
      <c r="CZY645" t="s">
        <v>8150</v>
      </c>
      <c r="CZZ645">
        <v>43025</v>
      </c>
      <c r="DAC645" t="s">
        <v>8150</v>
      </c>
      <c r="DAD645">
        <v>43025</v>
      </c>
      <c r="DAG645" t="s">
        <v>8150</v>
      </c>
      <c r="DAH645">
        <v>43025</v>
      </c>
      <c r="DAK645" t="s">
        <v>8150</v>
      </c>
      <c r="DAL645">
        <v>43025</v>
      </c>
      <c r="DAO645" t="s">
        <v>8150</v>
      </c>
      <c r="DAP645">
        <v>43025</v>
      </c>
      <c r="DAS645" t="s">
        <v>8150</v>
      </c>
      <c r="DAT645">
        <v>43025</v>
      </c>
      <c r="DAW645" t="s">
        <v>8150</v>
      </c>
      <c r="DAX645">
        <v>43025</v>
      </c>
      <c r="DBA645" t="s">
        <v>8150</v>
      </c>
      <c r="DBB645">
        <v>43025</v>
      </c>
      <c r="DBE645" t="s">
        <v>8150</v>
      </c>
      <c r="DBF645">
        <v>43025</v>
      </c>
      <c r="DBI645" t="s">
        <v>8150</v>
      </c>
      <c r="DBJ645">
        <v>43025</v>
      </c>
      <c r="DBM645" t="s">
        <v>8150</v>
      </c>
      <c r="DBN645">
        <v>43025</v>
      </c>
      <c r="DBQ645" t="s">
        <v>8150</v>
      </c>
      <c r="DBR645">
        <v>43025</v>
      </c>
      <c r="DBU645" t="s">
        <v>8150</v>
      </c>
      <c r="DBV645">
        <v>43025</v>
      </c>
      <c r="DBY645" t="s">
        <v>8150</v>
      </c>
      <c r="DBZ645">
        <v>43025</v>
      </c>
      <c r="DCC645" t="s">
        <v>8150</v>
      </c>
      <c r="DCD645">
        <v>43025</v>
      </c>
      <c r="DCG645" t="s">
        <v>8150</v>
      </c>
      <c r="DCH645">
        <v>43025</v>
      </c>
      <c r="DCK645" t="s">
        <v>8150</v>
      </c>
      <c r="DCL645">
        <v>43025</v>
      </c>
      <c r="DCO645" t="s">
        <v>8150</v>
      </c>
      <c r="DCP645">
        <v>43025</v>
      </c>
      <c r="DCS645" t="s">
        <v>8150</v>
      </c>
      <c r="DCT645">
        <v>43025</v>
      </c>
      <c r="DCW645" t="s">
        <v>8150</v>
      </c>
      <c r="DCX645">
        <v>43025</v>
      </c>
      <c r="DDA645" t="s">
        <v>8150</v>
      </c>
      <c r="DDB645">
        <v>43025</v>
      </c>
      <c r="DDE645" t="s">
        <v>8150</v>
      </c>
      <c r="DDF645">
        <v>43025</v>
      </c>
      <c r="DDI645" t="s">
        <v>8150</v>
      </c>
      <c r="DDJ645">
        <v>43025</v>
      </c>
      <c r="DDM645" t="s">
        <v>8150</v>
      </c>
      <c r="DDN645">
        <v>43025</v>
      </c>
      <c r="DDQ645" t="s">
        <v>8150</v>
      </c>
      <c r="DDR645">
        <v>43025</v>
      </c>
      <c r="DDU645" t="s">
        <v>8150</v>
      </c>
      <c r="DDV645">
        <v>43025</v>
      </c>
      <c r="DDY645" t="s">
        <v>8150</v>
      </c>
      <c r="DDZ645">
        <v>43025</v>
      </c>
      <c r="DEC645" t="s">
        <v>8150</v>
      </c>
      <c r="DED645">
        <v>43025</v>
      </c>
      <c r="DEG645" t="s">
        <v>8150</v>
      </c>
      <c r="DEH645">
        <v>43025</v>
      </c>
      <c r="DEK645" t="s">
        <v>8150</v>
      </c>
      <c r="DEL645">
        <v>43025</v>
      </c>
      <c r="DEO645" t="s">
        <v>8150</v>
      </c>
      <c r="DEP645">
        <v>43025</v>
      </c>
      <c r="DES645" t="s">
        <v>8150</v>
      </c>
      <c r="DET645">
        <v>43025</v>
      </c>
      <c r="DEW645" t="s">
        <v>8150</v>
      </c>
      <c r="DEX645">
        <v>43025</v>
      </c>
      <c r="DFA645" t="s">
        <v>8150</v>
      </c>
      <c r="DFB645">
        <v>43025</v>
      </c>
      <c r="DFE645" t="s">
        <v>8150</v>
      </c>
      <c r="DFF645">
        <v>43025</v>
      </c>
      <c r="DFI645" t="s">
        <v>8150</v>
      </c>
      <c r="DFJ645">
        <v>43025</v>
      </c>
      <c r="DFM645" t="s">
        <v>8150</v>
      </c>
      <c r="DFN645">
        <v>43025</v>
      </c>
      <c r="DFQ645" t="s">
        <v>8150</v>
      </c>
      <c r="DFR645">
        <v>43025</v>
      </c>
      <c r="DFU645" t="s">
        <v>8150</v>
      </c>
      <c r="DFV645">
        <v>43025</v>
      </c>
      <c r="DFY645" t="s">
        <v>8150</v>
      </c>
      <c r="DFZ645">
        <v>43025</v>
      </c>
      <c r="DGC645" t="s">
        <v>8150</v>
      </c>
      <c r="DGD645">
        <v>43025</v>
      </c>
      <c r="DGG645" t="s">
        <v>8150</v>
      </c>
      <c r="DGH645">
        <v>43025</v>
      </c>
      <c r="DGK645" t="s">
        <v>8150</v>
      </c>
      <c r="DGL645">
        <v>43025</v>
      </c>
      <c r="DGO645" t="s">
        <v>8150</v>
      </c>
      <c r="DGP645">
        <v>43025</v>
      </c>
      <c r="DGS645" t="s">
        <v>8150</v>
      </c>
      <c r="DGT645">
        <v>43025</v>
      </c>
      <c r="DGW645" t="s">
        <v>8150</v>
      </c>
      <c r="DGX645">
        <v>43025</v>
      </c>
      <c r="DHA645" t="s">
        <v>8150</v>
      </c>
      <c r="DHB645">
        <v>43025</v>
      </c>
      <c r="DHE645" t="s">
        <v>8150</v>
      </c>
      <c r="DHF645">
        <v>43025</v>
      </c>
      <c r="DHI645" t="s">
        <v>8150</v>
      </c>
      <c r="DHJ645">
        <v>43025</v>
      </c>
      <c r="DHM645" t="s">
        <v>8150</v>
      </c>
      <c r="DHN645">
        <v>43025</v>
      </c>
      <c r="DHQ645" t="s">
        <v>8150</v>
      </c>
      <c r="DHR645">
        <v>43025</v>
      </c>
      <c r="DHU645" t="s">
        <v>8150</v>
      </c>
      <c r="DHV645">
        <v>43025</v>
      </c>
      <c r="DHY645" t="s">
        <v>8150</v>
      </c>
      <c r="DHZ645">
        <v>43025</v>
      </c>
      <c r="DIC645" t="s">
        <v>8150</v>
      </c>
      <c r="DID645">
        <v>43025</v>
      </c>
      <c r="DIG645" t="s">
        <v>8150</v>
      </c>
      <c r="DIH645">
        <v>43025</v>
      </c>
      <c r="DIK645" t="s">
        <v>8150</v>
      </c>
      <c r="DIL645">
        <v>43025</v>
      </c>
      <c r="DIO645" t="s">
        <v>8150</v>
      </c>
      <c r="DIP645">
        <v>43025</v>
      </c>
      <c r="DIS645" t="s">
        <v>8150</v>
      </c>
      <c r="DIT645">
        <v>43025</v>
      </c>
      <c r="DIW645" t="s">
        <v>8150</v>
      </c>
      <c r="DIX645">
        <v>43025</v>
      </c>
      <c r="DJA645" t="s">
        <v>8150</v>
      </c>
      <c r="DJB645">
        <v>43025</v>
      </c>
      <c r="DJE645" t="s">
        <v>8150</v>
      </c>
      <c r="DJF645">
        <v>43025</v>
      </c>
      <c r="DJI645" t="s">
        <v>8150</v>
      </c>
      <c r="DJJ645">
        <v>43025</v>
      </c>
      <c r="DJM645" t="s">
        <v>8150</v>
      </c>
      <c r="DJN645">
        <v>43025</v>
      </c>
      <c r="DJQ645" t="s">
        <v>8150</v>
      </c>
      <c r="DJR645">
        <v>43025</v>
      </c>
      <c r="DJU645" t="s">
        <v>8150</v>
      </c>
      <c r="DJV645">
        <v>43025</v>
      </c>
      <c r="DJY645" t="s">
        <v>8150</v>
      </c>
      <c r="DJZ645">
        <v>43025</v>
      </c>
      <c r="DKC645" t="s">
        <v>8150</v>
      </c>
      <c r="DKD645">
        <v>43025</v>
      </c>
      <c r="DKG645" t="s">
        <v>8150</v>
      </c>
      <c r="DKH645">
        <v>43025</v>
      </c>
      <c r="DKK645" t="s">
        <v>8150</v>
      </c>
      <c r="DKL645">
        <v>43025</v>
      </c>
      <c r="DKO645" t="s">
        <v>8150</v>
      </c>
      <c r="DKP645">
        <v>43025</v>
      </c>
      <c r="DKS645" t="s">
        <v>8150</v>
      </c>
      <c r="DKT645">
        <v>43025</v>
      </c>
      <c r="DKW645" t="s">
        <v>8150</v>
      </c>
      <c r="DKX645">
        <v>43025</v>
      </c>
      <c r="DLA645" t="s">
        <v>8150</v>
      </c>
      <c r="DLB645">
        <v>43025</v>
      </c>
      <c r="DLE645" t="s">
        <v>8150</v>
      </c>
      <c r="DLF645">
        <v>43025</v>
      </c>
      <c r="DLI645" t="s">
        <v>8150</v>
      </c>
      <c r="DLJ645">
        <v>43025</v>
      </c>
      <c r="DLM645" t="s">
        <v>8150</v>
      </c>
      <c r="DLN645">
        <v>43025</v>
      </c>
      <c r="DLQ645" t="s">
        <v>8150</v>
      </c>
      <c r="DLR645">
        <v>43025</v>
      </c>
      <c r="DLU645" t="s">
        <v>8150</v>
      </c>
      <c r="DLV645">
        <v>43025</v>
      </c>
      <c r="DLY645" t="s">
        <v>8150</v>
      </c>
      <c r="DLZ645">
        <v>43025</v>
      </c>
      <c r="DMC645" t="s">
        <v>8150</v>
      </c>
      <c r="DMD645">
        <v>43025</v>
      </c>
      <c r="DMG645" t="s">
        <v>8150</v>
      </c>
      <c r="DMH645">
        <v>43025</v>
      </c>
      <c r="DMK645" t="s">
        <v>8150</v>
      </c>
      <c r="DML645">
        <v>43025</v>
      </c>
      <c r="DMO645" t="s">
        <v>8150</v>
      </c>
      <c r="DMP645">
        <v>43025</v>
      </c>
      <c r="DMS645" t="s">
        <v>8150</v>
      </c>
      <c r="DMT645">
        <v>43025</v>
      </c>
      <c r="DMW645" t="s">
        <v>8150</v>
      </c>
      <c r="DMX645">
        <v>43025</v>
      </c>
      <c r="DNA645" t="s">
        <v>8150</v>
      </c>
      <c r="DNB645">
        <v>43025</v>
      </c>
      <c r="DNE645" t="s">
        <v>8150</v>
      </c>
      <c r="DNF645">
        <v>43025</v>
      </c>
      <c r="DNI645" t="s">
        <v>8150</v>
      </c>
      <c r="DNJ645">
        <v>43025</v>
      </c>
      <c r="DNM645" t="s">
        <v>8150</v>
      </c>
      <c r="DNN645">
        <v>43025</v>
      </c>
      <c r="DNQ645" t="s">
        <v>8150</v>
      </c>
      <c r="DNR645">
        <v>43025</v>
      </c>
      <c r="DNU645" t="s">
        <v>8150</v>
      </c>
      <c r="DNV645">
        <v>43025</v>
      </c>
      <c r="DNY645" t="s">
        <v>8150</v>
      </c>
      <c r="DNZ645">
        <v>43025</v>
      </c>
      <c r="DOC645" t="s">
        <v>8150</v>
      </c>
      <c r="DOD645">
        <v>43025</v>
      </c>
      <c r="DOG645" t="s">
        <v>8150</v>
      </c>
      <c r="DOH645">
        <v>43025</v>
      </c>
      <c r="DOK645" t="s">
        <v>8150</v>
      </c>
      <c r="DOL645">
        <v>43025</v>
      </c>
      <c r="DOO645" t="s">
        <v>8150</v>
      </c>
      <c r="DOP645">
        <v>43025</v>
      </c>
      <c r="DOS645" t="s">
        <v>8150</v>
      </c>
      <c r="DOT645">
        <v>43025</v>
      </c>
      <c r="DOW645" t="s">
        <v>8150</v>
      </c>
      <c r="DOX645">
        <v>43025</v>
      </c>
      <c r="DPA645" t="s">
        <v>8150</v>
      </c>
      <c r="DPB645">
        <v>43025</v>
      </c>
      <c r="DPE645" t="s">
        <v>8150</v>
      </c>
      <c r="DPF645">
        <v>43025</v>
      </c>
      <c r="DPI645" t="s">
        <v>8150</v>
      </c>
      <c r="DPJ645">
        <v>43025</v>
      </c>
      <c r="DPM645" t="s">
        <v>8150</v>
      </c>
      <c r="DPN645">
        <v>43025</v>
      </c>
      <c r="DPQ645" t="s">
        <v>8150</v>
      </c>
      <c r="DPR645">
        <v>43025</v>
      </c>
      <c r="DPU645" t="s">
        <v>8150</v>
      </c>
      <c r="DPV645">
        <v>43025</v>
      </c>
      <c r="DPY645" t="s">
        <v>8150</v>
      </c>
      <c r="DPZ645">
        <v>43025</v>
      </c>
      <c r="DQC645" t="s">
        <v>8150</v>
      </c>
      <c r="DQD645">
        <v>43025</v>
      </c>
      <c r="DQG645" t="s">
        <v>8150</v>
      </c>
      <c r="DQH645">
        <v>43025</v>
      </c>
      <c r="DQK645" t="s">
        <v>8150</v>
      </c>
      <c r="DQL645">
        <v>43025</v>
      </c>
      <c r="DQO645" t="s">
        <v>8150</v>
      </c>
      <c r="DQP645">
        <v>43025</v>
      </c>
      <c r="DQS645" t="s">
        <v>8150</v>
      </c>
      <c r="DQT645">
        <v>43025</v>
      </c>
      <c r="DQW645" t="s">
        <v>8150</v>
      </c>
      <c r="DQX645">
        <v>43025</v>
      </c>
      <c r="DRA645" t="s">
        <v>8150</v>
      </c>
      <c r="DRB645">
        <v>43025</v>
      </c>
      <c r="DRE645" t="s">
        <v>8150</v>
      </c>
      <c r="DRF645">
        <v>43025</v>
      </c>
      <c r="DRI645" t="s">
        <v>8150</v>
      </c>
      <c r="DRJ645">
        <v>43025</v>
      </c>
      <c r="DRM645" t="s">
        <v>8150</v>
      </c>
      <c r="DRN645">
        <v>43025</v>
      </c>
      <c r="DRQ645" t="s">
        <v>8150</v>
      </c>
      <c r="DRR645">
        <v>43025</v>
      </c>
      <c r="DRU645" t="s">
        <v>8150</v>
      </c>
      <c r="DRV645">
        <v>43025</v>
      </c>
      <c r="DRY645" t="s">
        <v>8150</v>
      </c>
      <c r="DRZ645">
        <v>43025</v>
      </c>
      <c r="DSC645" t="s">
        <v>8150</v>
      </c>
      <c r="DSD645">
        <v>43025</v>
      </c>
      <c r="DSG645" t="s">
        <v>8150</v>
      </c>
      <c r="DSH645">
        <v>43025</v>
      </c>
      <c r="DSK645" t="s">
        <v>8150</v>
      </c>
      <c r="DSL645">
        <v>43025</v>
      </c>
      <c r="DSO645" t="s">
        <v>8150</v>
      </c>
      <c r="DSP645">
        <v>43025</v>
      </c>
      <c r="DSS645" t="s">
        <v>8150</v>
      </c>
      <c r="DST645">
        <v>43025</v>
      </c>
      <c r="DSW645" t="s">
        <v>8150</v>
      </c>
      <c r="DSX645">
        <v>43025</v>
      </c>
      <c r="DTA645" t="s">
        <v>8150</v>
      </c>
      <c r="DTB645">
        <v>43025</v>
      </c>
      <c r="DTE645" t="s">
        <v>8150</v>
      </c>
      <c r="DTF645">
        <v>43025</v>
      </c>
      <c r="DTI645" t="s">
        <v>8150</v>
      </c>
      <c r="DTJ645">
        <v>43025</v>
      </c>
      <c r="DTM645" t="s">
        <v>8150</v>
      </c>
      <c r="DTN645">
        <v>43025</v>
      </c>
      <c r="DTQ645" t="s">
        <v>8150</v>
      </c>
      <c r="DTR645">
        <v>43025</v>
      </c>
      <c r="DTU645" t="s">
        <v>8150</v>
      </c>
      <c r="DTV645">
        <v>43025</v>
      </c>
      <c r="DTY645" t="s">
        <v>8150</v>
      </c>
      <c r="DTZ645">
        <v>43025</v>
      </c>
      <c r="DUC645" t="s">
        <v>8150</v>
      </c>
      <c r="DUD645">
        <v>43025</v>
      </c>
      <c r="DUG645" t="s">
        <v>8150</v>
      </c>
      <c r="DUH645">
        <v>43025</v>
      </c>
      <c r="DUK645" t="s">
        <v>8150</v>
      </c>
      <c r="DUL645">
        <v>43025</v>
      </c>
      <c r="DUO645" t="s">
        <v>8150</v>
      </c>
      <c r="DUP645">
        <v>43025</v>
      </c>
      <c r="DUS645" t="s">
        <v>8150</v>
      </c>
      <c r="DUT645">
        <v>43025</v>
      </c>
      <c r="DUW645" t="s">
        <v>8150</v>
      </c>
      <c r="DUX645">
        <v>43025</v>
      </c>
      <c r="DVA645" t="s">
        <v>8150</v>
      </c>
      <c r="DVB645">
        <v>43025</v>
      </c>
      <c r="DVE645" t="s">
        <v>8150</v>
      </c>
      <c r="DVF645">
        <v>43025</v>
      </c>
      <c r="DVI645" t="s">
        <v>8150</v>
      </c>
      <c r="DVJ645">
        <v>43025</v>
      </c>
      <c r="DVM645" t="s">
        <v>8150</v>
      </c>
      <c r="DVN645">
        <v>43025</v>
      </c>
      <c r="DVQ645" t="s">
        <v>8150</v>
      </c>
      <c r="DVR645">
        <v>43025</v>
      </c>
      <c r="DVU645" t="s">
        <v>8150</v>
      </c>
      <c r="DVV645">
        <v>43025</v>
      </c>
      <c r="DVY645" t="s">
        <v>8150</v>
      </c>
      <c r="DVZ645">
        <v>43025</v>
      </c>
      <c r="DWC645" t="s">
        <v>8150</v>
      </c>
      <c r="DWD645">
        <v>43025</v>
      </c>
      <c r="DWG645" t="s">
        <v>8150</v>
      </c>
      <c r="DWH645">
        <v>43025</v>
      </c>
      <c r="DWK645" t="s">
        <v>8150</v>
      </c>
      <c r="DWL645">
        <v>43025</v>
      </c>
      <c r="DWO645" t="s">
        <v>8150</v>
      </c>
      <c r="DWP645">
        <v>43025</v>
      </c>
      <c r="DWS645" t="s">
        <v>8150</v>
      </c>
      <c r="DWT645">
        <v>43025</v>
      </c>
      <c r="DWW645" t="s">
        <v>8150</v>
      </c>
      <c r="DWX645">
        <v>43025</v>
      </c>
      <c r="DXA645" t="s">
        <v>8150</v>
      </c>
      <c r="DXB645">
        <v>43025</v>
      </c>
      <c r="DXE645" t="s">
        <v>8150</v>
      </c>
      <c r="DXF645">
        <v>43025</v>
      </c>
      <c r="DXI645" t="s">
        <v>8150</v>
      </c>
      <c r="DXJ645">
        <v>43025</v>
      </c>
      <c r="DXM645" t="s">
        <v>8150</v>
      </c>
      <c r="DXN645">
        <v>43025</v>
      </c>
      <c r="DXQ645" t="s">
        <v>8150</v>
      </c>
      <c r="DXR645">
        <v>43025</v>
      </c>
      <c r="DXU645" t="s">
        <v>8150</v>
      </c>
      <c r="DXV645">
        <v>43025</v>
      </c>
      <c r="DXY645" t="s">
        <v>8150</v>
      </c>
      <c r="DXZ645">
        <v>43025</v>
      </c>
      <c r="DYC645" t="s">
        <v>8150</v>
      </c>
      <c r="DYD645">
        <v>43025</v>
      </c>
      <c r="DYG645" t="s">
        <v>8150</v>
      </c>
      <c r="DYH645">
        <v>43025</v>
      </c>
      <c r="DYK645" t="s">
        <v>8150</v>
      </c>
      <c r="DYL645">
        <v>43025</v>
      </c>
      <c r="DYO645" t="s">
        <v>8150</v>
      </c>
      <c r="DYP645">
        <v>43025</v>
      </c>
      <c r="DYS645" t="s">
        <v>8150</v>
      </c>
      <c r="DYT645">
        <v>43025</v>
      </c>
      <c r="DYW645" t="s">
        <v>8150</v>
      </c>
      <c r="DYX645">
        <v>43025</v>
      </c>
      <c r="DZA645" t="s">
        <v>8150</v>
      </c>
      <c r="DZB645">
        <v>43025</v>
      </c>
      <c r="DZE645" t="s">
        <v>8150</v>
      </c>
      <c r="DZF645">
        <v>43025</v>
      </c>
      <c r="DZI645" t="s">
        <v>8150</v>
      </c>
      <c r="DZJ645">
        <v>43025</v>
      </c>
      <c r="DZM645" t="s">
        <v>8150</v>
      </c>
      <c r="DZN645">
        <v>43025</v>
      </c>
      <c r="DZQ645" t="s">
        <v>8150</v>
      </c>
      <c r="DZR645">
        <v>43025</v>
      </c>
      <c r="DZU645" t="s">
        <v>8150</v>
      </c>
      <c r="DZV645">
        <v>43025</v>
      </c>
      <c r="DZY645" t="s">
        <v>8150</v>
      </c>
      <c r="DZZ645">
        <v>43025</v>
      </c>
      <c r="EAC645" t="s">
        <v>8150</v>
      </c>
      <c r="EAD645">
        <v>43025</v>
      </c>
      <c r="EAG645" t="s">
        <v>8150</v>
      </c>
      <c r="EAH645">
        <v>43025</v>
      </c>
      <c r="EAK645" t="s">
        <v>8150</v>
      </c>
      <c r="EAL645">
        <v>43025</v>
      </c>
      <c r="EAO645" t="s">
        <v>8150</v>
      </c>
      <c r="EAP645">
        <v>43025</v>
      </c>
      <c r="EAS645" t="s">
        <v>8150</v>
      </c>
      <c r="EAT645">
        <v>43025</v>
      </c>
      <c r="EAW645" t="s">
        <v>8150</v>
      </c>
      <c r="EAX645">
        <v>43025</v>
      </c>
      <c r="EBA645" t="s">
        <v>8150</v>
      </c>
      <c r="EBB645">
        <v>43025</v>
      </c>
      <c r="EBE645" t="s">
        <v>8150</v>
      </c>
      <c r="EBF645">
        <v>43025</v>
      </c>
      <c r="EBI645" t="s">
        <v>8150</v>
      </c>
      <c r="EBJ645">
        <v>43025</v>
      </c>
      <c r="EBM645" t="s">
        <v>8150</v>
      </c>
      <c r="EBN645">
        <v>43025</v>
      </c>
      <c r="EBQ645" t="s">
        <v>8150</v>
      </c>
      <c r="EBR645">
        <v>43025</v>
      </c>
      <c r="EBU645" t="s">
        <v>8150</v>
      </c>
      <c r="EBV645">
        <v>43025</v>
      </c>
      <c r="EBY645" t="s">
        <v>8150</v>
      </c>
      <c r="EBZ645">
        <v>43025</v>
      </c>
      <c r="ECC645" t="s">
        <v>8150</v>
      </c>
      <c r="ECD645">
        <v>43025</v>
      </c>
      <c r="ECG645" t="s">
        <v>8150</v>
      </c>
      <c r="ECH645">
        <v>43025</v>
      </c>
      <c r="ECK645" t="s">
        <v>8150</v>
      </c>
      <c r="ECL645">
        <v>43025</v>
      </c>
      <c r="ECO645" t="s">
        <v>8150</v>
      </c>
      <c r="ECP645">
        <v>43025</v>
      </c>
      <c r="ECS645" t="s">
        <v>8150</v>
      </c>
      <c r="ECT645">
        <v>43025</v>
      </c>
      <c r="ECW645" t="s">
        <v>8150</v>
      </c>
      <c r="ECX645">
        <v>43025</v>
      </c>
      <c r="EDA645" t="s">
        <v>8150</v>
      </c>
      <c r="EDB645">
        <v>43025</v>
      </c>
      <c r="EDE645" t="s">
        <v>8150</v>
      </c>
      <c r="EDF645">
        <v>43025</v>
      </c>
      <c r="EDI645" t="s">
        <v>8150</v>
      </c>
      <c r="EDJ645">
        <v>43025</v>
      </c>
      <c r="EDM645" t="s">
        <v>8150</v>
      </c>
      <c r="EDN645">
        <v>43025</v>
      </c>
      <c r="EDQ645" t="s">
        <v>8150</v>
      </c>
      <c r="EDR645">
        <v>43025</v>
      </c>
      <c r="EDU645" t="s">
        <v>8150</v>
      </c>
      <c r="EDV645">
        <v>43025</v>
      </c>
      <c r="EDY645" t="s">
        <v>8150</v>
      </c>
      <c r="EDZ645">
        <v>43025</v>
      </c>
      <c r="EEC645" t="s">
        <v>8150</v>
      </c>
      <c r="EED645">
        <v>43025</v>
      </c>
      <c r="EEG645" t="s">
        <v>8150</v>
      </c>
      <c r="EEH645">
        <v>43025</v>
      </c>
      <c r="EEK645" t="s">
        <v>8150</v>
      </c>
      <c r="EEL645">
        <v>43025</v>
      </c>
      <c r="EEO645" t="s">
        <v>8150</v>
      </c>
      <c r="EEP645">
        <v>43025</v>
      </c>
      <c r="EES645" t="s">
        <v>8150</v>
      </c>
      <c r="EET645">
        <v>43025</v>
      </c>
      <c r="EEW645" t="s">
        <v>8150</v>
      </c>
      <c r="EEX645">
        <v>43025</v>
      </c>
      <c r="EFA645" t="s">
        <v>8150</v>
      </c>
      <c r="EFB645">
        <v>43025</v>
      </c>
      <c r="EFE645" t="s">
        <v>8150</v>
      </c>
      <c r="EFF645">
        <v>43025</v>
      </c>
      <c r="EFI645" t="s">
        <v>8150</v>
      </c>
      <c r="EFJ645">
        <v>43025</v>
      </c>
      <c r="EFM645" t="s">
        <v>8150</v>
      </c>
      <c r="EFN645">
        <v>43025</v>
      </c>
      <c r="EFQ645" t="s">
        <v>8150</v>
      </c>
      <c r="EFR645">
        <v>43025</v>
      </c>
      <c r="EFU645" t="s">
        <v>8150</v>
      </c>
      <c r="EFV645">
        <v>43025</v>
      </c>
      <c r="EFY645" t="s">
        <v>8150</v>
      </c>
      <c r="EFZ645">
        <v>43025</v>
      </c>
      <c r="EGC645" t="s">
        <v>8150</v>
      </c>
      <c r="EGD645">
        <v>43025</v>
      </c>
      <c r="EGG645" t="s">
        <v>8150</v>
      </c>
      <c r="EGH645">
        <v>43025</v>
      </c>
      <c r="EGK645" t="s">
        <v>8150</v>
      </c>
      <c r="EGL645">
        <v>43025</v>
      </c>
      <c r="EGO645" t="s">
        <v>8150</v>
      </c>
      <c r="EGP645">
        <v>43025</v>
      </c>
      <c r="EGS645" t="s">
        <v>8150</v>
      </c>
      <c r="EGT645">
        <v>43025</v>
      </c>
      <c r="EGW645" t="s">
        <v>8150</v>
      </c>
      <c r="EGX645">
        <v>43025</v>
      </c>
      <c r="EHA645" t="s">
        <v>8150</v>
      </c>
      <c r="EHB645">
        <v>43025</v>
      </c>
      <c r="EHE645" t="s">
        <v>8150</v>
      </c>
      <c r="EHF645">
        <v>43025</v>
      </c>
      <c r="EHI645" t="s">
        <v>8150</v>
      </c>
      <c r="EHJ645">
        <v>43025</v>
      </c>
      <c r="EHM645" t="s">
        <v>8150</v>
      </c>
      <c r="EHN645">
        <v>43025</v>
      </c>
      <c r="EHQ645" t="s">
        <v>8150</v>
      </c>
      <c r="EHR645">
        <v>43025</v>
      </c>
      <c r="EHU645" t="s">
        <v>8150</v>
      </c>
      <c r="EHV645">
        <v>43025</v>
      </c>
      <c r="EHY645" t="s">
        <v>8150</v>
      </c>
      <c r="EHZ645">
        <v>43025</v>
      </c>
      <c r="EIC645" t="s">
        <v>8150</v>
      </c>
      <c r="EID645">
        <v>43025</v>
      </c>
      <c r="EIG645" t="s">
        <v>8150</v>
      </c>
      <c r="EIH645">
        <v>43025</v>
      </c>
      <c r="EIK645" t="s">
        <v>8150</v>
      </c>
      <c r="EIL645">
        <v>43025</v>
      </c>
      <c r="EIO645" t="s">
        <v>8150</v>
      </c>
      <c r="EIP645">
        <v>43025</v>
      </c>
      <c r="EIS645" t="s">
        <v>8150</v>
      </c>
      <c r="EIT645">
        <v>43025</v>
      </c>
      <c r="EIW645" t="s">
        <v>8150</v>
      </c>
      <c r="EIX645">
        <v>43025</v>
      </c>
      <c r="EJA645" t="s">
        <v>8150</v>
      </c>
      <c r="EJB645">
        <v>43025</v>
      </c>
      <c r="EJE645" t="s">
        <v>8150</v>
      </c>
      <c r="EJF645">
        <v>43025</v>
      </c>
      <c r="EJI645" t="s">
        <v>8150</v>
      </c>
      <c r="EJJ645">
        <v>43025</v>
      </c>
      <c r="EJM645" t="s">
        <v>8150</v>
      </c>
      <c r="EJN645">
        <v>43025</v>
      </c>
      <c r="EJQ645" t="s">
        <v>8150</v>
      </c>
      <c r="EJR645">
        <v>43025</v>
      </c>
      <c r="EJU645" t="s">
        <v>8150</v>
      </c>
      <c r="EJV645">
        <v>43025</v>
      </c>
      <c r="EJY645" t="s">
        <v>8150</v>
      </c>
      <c r="EJZ645">
        <v>43025</v>
      </c>
      <c r="EKC645" t="s">
        <v>8150</v>
      </c>
      <c r="EKD645">
        <v>43025</v>
      </c>
      <c r="EKG645" t="s">
        <v>8150</v>
      </c>
      <c r="EKH645">
        <v>43025</v>
      </c>
      <c r="EKK645" t="s">
        <v>8150</v>
      </c>
      <c r="EKL645">
        <v>43025</v>
      </c>
      <c r="EKO645" t="s">
        <v>8150</v>
      </c>
      <c r="EKP645">
        <v>43025</v>
      </c>
      <c r="EKS645" t="s">
        <v>8150</v>
      </c>
      <c r="EKT645">
        <v>43025</v>
      </c>
      <c r="EKW645" t="s">
        <v>8150</v>
      </c>
      <c r="EKX645">
        <v>43025</v>
      </c>
      <c r="ELA645" t="s">
        <v>8150</v>
      </c>
      <c r="ELB645">
        <v>43025</v>
      </c>
      <c r="ELE645" t="s">
        <v>8150</v>
      </c>
      <c r="ELF645">
        <v>43025</v>
      </c>
      <c r="ELI645" t="s">
        <v>8150</v>
      </c>
      <c r="ELJ645">
        <v>43025</v>
      </c>
      <c r="ELM645" t="s">
        <v>8150</v>
      </c>
      <c r="ELN645">
        <v>43025</v>
      </c>
      <c r="ELQ645" t="s">
        <v>8150</v>
      </c>
      <c r="ELR645">
        <v>43025</v>
      </c>
      <c r="ELU645" t="s">
        <v>8150</v>
      </c>
      <c r="ELV645">
        <v>43025</v>
      </c>
      <c r="ELY645" t="s">
        <v>8150</v>
      </c>
      <c r="ELZ645">
        <v>43025</v>
      </c>
      <c r="EMC645" t="s">
        <v>8150</v>
      </c>
      <c r="EMD645">
        <v>43025</v>
      </c>
      <c r="EMG645" t="s">
        <v>8150</v>
      </c>
      <c r="EMH645">
        <v>43025</v>
      </c>
      <c r="EMK645" t="s">
        <v>8150</v>
      </c>
      <c r="EML645">
        <v>43025</v>
      </c>
      <c r="EMO645" t="s">
        <v>8150</v>
      </c>
      <c r="EMP645">
        <v>43025</v>
      </c>
      <c r="EMS645" t="s">
        <v>8150</v>
      </c>
      <c r="EMT645">
        <v>43025</v>
      </c>
      <c r="EMW645" t="s">
        <v>8150</v>
      </c>
      <c r="EMX645">
        <v>43025</v>
      </c>
      <c r="ENA645" t="s">
        <v>8150</v>
      </c>
      <c r="ENB645">
        <v>43025</v>
      </c>
      <c r="ENE645" t="s">
        <v>8150</v>
      </c>
      <c r="ENF645">
        <v>43025</v>
      </c>
      <c r="ENI645" t="s">
        <v>8150</v>
      </c>
      <c r="ENJ645">
        <v>43025</v>
      </c>
      <c r="ENM645" t="s">
        <v>8150</v>
      </c>
      <c r="ENN645">
        <v>43025</v>
      </c>
      <c r="ENQ645" t="s">
        <v>8150</v>
      </c>
      <c r="ENR645">
        <v>43025</v>
      </c>
      <c r="ENU645" t="s">
        <v>8150</v>
      </c>
      <c r="ENV645">
        <v>43025</v>
      </c>
      <c r="ENY645" t="s">
        <v>8150</v>
      </c>
      <c r="ENZ645">
        <v>43025</v>
      </c>
      <c r="EOC645" t="s">
        <v>8150</v>
      </c>
      <c r="EOD645">
        <v>43025</v>
      </c>
      <c r="EOG645" t="s">
        <v>8150</v>
      </c>
      <c r="EOH645">
        <v>43025</v>
      </c>
      <c r="EOK645" t="s">
        <v>8150</v>
      </c>
      <c r="EOL645">
        <v>43025</v>
      </c>
      <c r="EOO645" t="s">
        <v>8150</v>
      </c>
      <c r="EOP645">
        <v>43025</v>
      </c>
      <c r="EOS645" t="s">
        <v>8150</v>
      </c>
      <c r="EOT645">
        <v>43025</v>
      </c>
      <c r="EOW645" t="s">
        <v>8150</v>
      </c>
      <c r="EOX645">
        <v>43025</v>
      </c>
      <c r="EPA645" t="s">
        <v>8150</v>
      </c>
      <c r="EPB645">
        <v>43025</v>
      </c>
      <c r="EPE645" t="s">
        <v>8150</v>
      </c>
      <c r="EPF645">
        <v>43025</v>
      </c>
      <c r="EPI645" t="s">
        <v>8150</v>
      </c>
      <c r="EPJ645">
        <v>43025</v>
      </c>
      <c r="EPM645" t="s">
        <v>8150</v>
      </c>
      <c r="EPN645">
        <v>43025</v>
      </c>
      <c r="EPQ645" t="s">
        <v>8150</v>
      </c>
      <c r="EPR645">
        <v>43025</v>
      </c>
      <c r="EPU645" t="s">
        <v>8150</v>
      </c>
      <c r="EPV645">
        <v>43025</v>
      </c>
      <c r="EPY645" t="s">
        <v>8150</v>
      </c>
      <c r="EPZ645">
        <v>43025</v>
      </c>
      <c r="EQC645" t="s">
        <v>8150</v>
      </c>
      <c r="EQD645">
        <v>43025</v>
      </c>
      <c r="EQG645" t="s">
        <v>8150</v>
      </c>
      <c r="EQH645">
        <v>43025</v>
      </c>
      <c r="EQK645" t="s">
        <v>8150</v>
      </c>
      <c r="EQL645">
        <v>43025</v>
      </c>
      <c r="EQO645" t="s">
        <v>8150</v>
      </c>
      <c r="EQP645">
        <v>43025</v>
      </c>
      <c r="EQS645" t="s">
        <v>8150</v>
      </c>
      <c r="EQT645">
        <v>43025</v>
      </c>
      <c r="EQW645" t="s">
        <v>8150</v>
      </c>
      <c r="EQX645">
        <v>43025</v>
      </c>
      <c r="ERA645" t="s">
        <v>8150</v>
      </c>
      <c r="ERB645">
        <v>43025</v>
      </c>
      <c r="ERE645" t="s">
        <v>8150</v>
      </c>
      <c r="ERF645">
        <v>43025</v>
      </c>
      <c r="ERI645" t="s">
        <v>8150</v>
      </c>
      <c r="ERJ645">
        <v>43025</v>
      </c>
      <c r="ERM645" t="s">
        <v>8150</v>
      </c>
      <c r="ERN645">
        <v>43025</v>
      </c>
      <c r="ERQ645" t="s">
        <v>8150</v>
      </c>
      <c r="ERR645">
        <v>43025</v>
      </c>
      <c r="ERU645" t="s">
        <v>8150</v>
      </c>
      <c r="ERV645">
        <v>43025</v>
      </c>
      <c r="ERY645" t="s">
        <v>8150</v>
      </c>
      <c r="ERZ645">
        <v>43025</v>
      </c>
      <c r="ESC645" t="s">
        <v>8150</v>
      </c>
      <c r="ESD645">
        <v>43025</v>
      </c>
      <c r="ESG645" t="s">
        <v>8150</v>
      </c>
      <c r="ESH645">
        <v>43025</v>
      </c>
      <c r="ESK645" t="s">
        <v>8150</v>
      </c>
      <c r="ESL645">
        <v>43025</v>
      </c>
      <c r="ESO645" t="s">
        <v>8150</v>
      </c>
      <c r="ESP645">
        <v>43025</v>
      </c>
      <c r="ESS645" t="s">
        <v>8150</v>
      </c>
      <c r="EST645">
        <v>43025</v>
      </c>
      <c r="ESW645" t="s">
        <v>8150</v>
      </c>
      <c r="ESX645">
        <v>43025</v>
      </c>
      <c r="ETA645" t="s">
        <v>8150</v>
      </c>
      <c r="ETB645">
        <v>43025</v>
      </c>
      <c r="ETE645" t="s">
        <v>8150</v>
      </c>
      <c r="ETF645">
        <v>43025</v>
      </c>
      <c r="ETI645" t="s">
        <v>8150</v>
      </c>
      <c r="ETJ645">
        <v>43025</v>
      </c>
      <c r="ETM645" t="s">
        <v>8150</v>
      </c>
      <c r="ETN645">
        <v>43025</v>
      </c>
      <c r="ETQ645" t="s">
        <v>8150</v>
      </c>
      <c r="ETR645">
        <v>43025</v>
      </c>
      <c r="ETU645" t="s">
        <v>8150</v>
      </c>
      <c r="ETV645">
        <v>43025</v>
      </c>
      <c r="ETY645" t="s">
        <v>8150</v>
      </c>
      <c r="ETZ645">
        <v>43025</v>
      </c>
      <c r="EUC645" t="s">
        <v>8150</v>
      </c>
      <c r="EUD645">
        <v>43025</v>
      </c>
      <c r="EUG645" t="s">
        <v>8150</v>
      </c>
      <c r="EUH645">
        <v>43025</v>
      </c>
      <c r="EUK645" t="s">
        <v>8150</v>
      </c>
      <c r="EUL645">
        <v>43025</v>
      </c>
      <c r="EUO645" t="s">
        <v>8150</v>
      </c>
      <c r="EUP645">
        <v>43025</v>
      </c>
      <c r="EUS645" t="s">
        <v>8150</v>
      </c>
      <c r="EUT645">
        <v>43025</v>
      </c>
      <c r="EUW645" t="s">
        <v>8150</v>
      </c>
      <c r="EUX645">
        <v>43025</v>
      </c>
      <c r="EVA645" t="s">
        <v>8150</v>
      </c>
      <c r="EVB645">
        <v>43025</v>
      </c>
      <c r="EVE645" t="s">
        <v>8150</v>
      </c>
      <c r="EVF645">
        <v>43025</v>
      </c>
      <c r="EVI645" t="s">
        <v>8150</v>
      </c>
      <c r="EVJ645">
        <v>43025</v>
      </c>
      <c r="EVM645" t="s">
        <v>8150</v>
      </c>
      <c r="EVN645">
        <v>43025</v>
      </c>
      <c r="EVQ645" t="s">
        <v>8150</v>
      </c>
      <c r="EVR645">
        <v>43025</v>
      </c>
      <c r="EVU645" t="s">
        <v>8150</v>
      </c>
      <c r="EVV645">
        <v>43025</v>
      </c>
      <c r="EVY645" t="s">
        <v>8150</v>
      </c>
      <c r="EVZ645">
        <v>43025</v>
      </c>
      <c r="EWC645" t="s">
        <v>8150</v>
      </c>
      <c r="EWD645">
        <v>43025</v>
      </c>
      <c r="EWG645" t="s">
        <v>8150</v>
      </c>
      <c r="EWH645">
        <v>43025</v>
      </c>
      <c r="EWK645" t="s">
        <v>8150</v>
      </c>
      <c r="EWL645">
        <v>43025</v>
      </c>
      <c r="EWO645" t="s">
        <v>8150</v>
      </c>
      <c r="EWP645">
        <v>43025</v>
      </c>
      <c r="EWS645" t="s">
        <v>8150</v>
      </c>
      <c r="EWT645">
        <v>43025</v>
      </c>
      <c r="EWW645" t="s">
        <v>8150</v>
      </c>
      <c r="EWX645">
        <v>43025</v>
      </c>
      <c r="EXA645" t="s">
        <v>8150</v>
      </c>
      <c r="EXB645">
        <v>43025</v>
      </c>
      <c r="EXE645" t="s">
        <v>8150</v>
      </c>
      <c r="EXF645">
        <v>43025</v>
      </c>
      <c r="EXI645" t="s">
        <v>8150</v>
      </c>
      <c r="EXJ645">
        <v>43025</v>
      </c>
      <c r="EXM645" t="s">
        <v>8150</v>
      </c>
      <c r="EXN645">
        <v>43025</v>
      </c>
      <c r="EXQ645" t="s">
        <v>8150</v>
      </c>
      <c r="EXR645">
        <v>43025</v>
      </c>
      <c r="EXU645" t="s">
        <v>8150</v>
      </c>
      <c r="EXV645">
        <v>43025</v>
      </c>
      <c r="EXY645" t="s">
        <v>8150</v>
      </c>
      <c r="EXZ645">
        <v>43025</v>
      </c>
      <c r="EYC645" t="s">
        <v>8150</v>
      </c>
      <c r="EYD645">
        <v>43025</v>
      </c>
      <c r="EYG645" t="s">
        <v>8150</v>
      </c>
      <c r="EYH645">
        <v>43025</v>
      </c>
      <c r="EYK645" t="s">
        <v>8150</v>
      </c>
      <c r="EYL645">
        <v>43025</v>
      </c>
      <c r="EYO645" t="s">
        <v>8150</v>
      </c>
      <c r="EYP645">
        <v>43025</v>
      </c>
      <c r="EYS645" t="s">
        <v>8150</v>
      </c>
      <c r="EYT645">
        <v>43025</v>
      </c>
      <c r="EYW645" t="s">
        <v>8150</v>
      </c>
      <c r="EYX645">
        <v>43025</v>
      </c>
      <c r="EZA645" t="s">
        <v>8150</v>
      </c>
      <c r="EZB645">
        <v>43025</v>
      </c>
      <c r="EZE645" t="s">
        <v>8150</v>
      </c>
      <c r="EZF645">
        <v>43025</v>
      </c>
      <c r="EZI645" t="s">
        <v>8150</v>
      </c>
      <c r="EZJ645">
        <v>43025</v>
      </c>
      <c r="EZM645" t="s">
        <v>8150</v>
      </c>
      <c r="EZN645">
        <v>43025</v>
      </c>
      <c r="EZQ645" t="s">
        <v>8150</v>
      </c>
      <c r="EZR645">
        <v>43025</v>
      </c>
      <c r="EZU645" t="s">
        <v>8150</v>
      </c>
      <c r="EZV645">
        <v>43025</v>
      </c>
      <c r="EZY645" t="s">
        <v>8150</v>
      </c>
      <c r="EZZ645">
        <v>43025</v>
      </c>
      <c r="FAC645" t="s">
        <v>8150</v>
      </c>
      <c r="FAD645">
        <v>43025</v>
      </c>
      <c r="FAG645" t="s">
        <v>8150</v>
      </c>
      <c r="FAH645">
        <v>43025</v>
      </c>
      <c r="FAK645" t="s">
        <v>8150</v>
      </c>
      <c r="FAL645">
        <v>43025</v>
      </c>
      <c r="FAO645" t="s">
        <v>8150</v>
      </c>
      <c r="FAP645">
        <v>43025</v>
      </c>
      <c r="FAS645" t="s">
        <v>8150</v>
      </c>
      <c r="FAT645">
        <v>43025</v>
      </c>
      <c r="FAW645" t="s">
        <v>8150</v>
      </c>
      <c r="FAX645">
        <v>43025</v>
      </c>
      <c r="FBA645" t="s">
        <v>8150</v>
      </c>
      <c r="FBB645">
        <v>43025</v>
      </c>
      <c r="FBE645" t="s">
        <v>8150</v>
      </c>
      <c r="FBF645">
        <v>43025</v>
      </c>
      <c r="FBI645" t="s">
        <v>8150</v>
      </c>
      <c r="FBJ645">
        <v>43025</v>
      </c>
      <c r="FBM645" t="s">
        <v>8150</v>
      </c>
      <c r="FBN645">
        <v>43025</v>
      </c>
      <c r="FBQ645" t="s">
        <v>8150</v>
      </c>
      <c r="FBR645">
        <v>43025</v>
      </c>
      <c r="FBU645" t="s">
        <v>8150</v>
      </c>
      <c r="FBV645">
        <v>43025</v>
      </c>
      <c r="FBY645" t="s">
        <v>8150</v>
      </c>
      <c r="FBZ645">
        <v>43025</v>
      </c>
      <c r="FCC645" t="s">
        <v>8150</v>
      </c>
      <c r="FCD645">
        <v>43025</v>
      </c>
      <c r="FCG645" t="s">
        <v>8150</v>
      </c>
      <c r="FCH645">
        <v>43025</v>
      </c>
      <c r="FCK645" t="s">
        <v>8150</v>
      </c>
      <c r="FCL645">
        <v>43025</v>
      </c>
      <c r="FCO645" t="s">
        <v>8150</v>
      </c>
      <c r="FCP645">
        <v>43025</v>
      </c>
      <c r="FCS645" t="s">
        <v>8150</v>
      </c>
      <c r="FCT645">
        <v>43025</v>
      </c>
      <c r="FCW645" t="s">
        <v>8150</v>
      </c>
      <c r="FCX645">
        <v>43025</v>
      </c>
      <c r="FDA645" t="s">
        <v>8150</v>
      </c>
      <c r="FDB645">
        <v>43025</v>
      </c>
      <c r="FDE645" t="s">
        <v>8150</v>
      </c>
      <c r="FDF645">
        <v>43025</v>
      </c>
      <c r="FDI645" t="s">
        <v>8150</v>
      </c>
      <c r="FDJ645">
        <v>43025</v>
      </c>
      <c r="FDM645" t="s">
        <v>8150</v>
      </c>
      <c r="FDN645">
        <v>43025</v>
      </c>
      <c r="FDQ645" t="s">
        <v>8150</v>
      </c>
      <c r="FDR645">
        <v>43025</v>
      </c>
      <c r="FDU645" t="s">
        <v>8150</v>
      </c>
      <c r="FDV645">
        <v>43025</v>
      </c>
      <c r="FDY645" t="s">
        <v>8150</v>
      </c>
      <c r="FDZ645">
        <v>43025</v>
      </c>
      <c r="FEC645" t="s">
        <v>8150</v>
      </c>
      <c r="FED645">
        <v>43025</v>
      </c>
      <c r="FEG645" t="s">
        <v>8150</v>
      </c>
      <c r="FEH645">
        <v>43025</v>
      </c>
      <c r="FEK645" t="s">
        <v>8150</v>
      </c>
      <c r="FEL645">
        <v>43025</v>
      </c>
      <c r="FEO645" t="s">
        <v>8150</v>
      </c>
      <c r="FEP645">
        <v>43025</v>
      </c>
      <c r="FES645" t="s">
        <v>8150</v>
      </c>
      <c r="FET645">
        <v>43025</v>
      </c>
      <c r="FEW645" t="s">
        <v>8150</v>
      </c>
      <c r="FEX645">
        <v>43025</v>
      </c>
      <c r="FFA645" t="s">
        <v>8150</v>
      </c>
      <c r="FFB645">
        <v>43025</v>
      </c>
      <c r="FFE645" t="s">
        <v>8150</v>
      </c>
      <c r="FFF645">
        <v>43025</v>
      </c>
      <c r="FFI645" t="s">
        <v>8150</v>
      </c>
      <c r="FFJ645">
        <v>43025</v>
      </c>
      <c r="FFM645" t="s">
        <v>8150</v>
      </c>
      <c r="FFN645">
        <v>43025</v>
      </c>
      <c r="FFQ645" t="s">
        <v>8150</v>
      </c>
      <c r="FFR645">
        <v>43025</v>
      </c>
      <c r="FFU645" t="s">
        <v>8150</v>
      </c>
      <c r="FFV645">
        <v>43025</v>
      </c>
      <c r="FFY645" t="s">
        <v>8150</v>
      </c>
      <c r="FFZ645">
        <v>43025</v>
      </c>
      <c r="FGC645" t="s">
        <v>8150</v>
      </c>
      <c r="FGD645">
        <v>43025</v>
      </c>
      <c r="FGG645" t="s">
        <v>8150</v>
      </c>
      <c r="FGH645">
        <v>43025</v>
      </c>
      <c r="FGK645" t="s">
        <v>8150</v>
      </c>
      <c r="FGL645">
        <v>43025</v>
      </c>
      <c r="FGO645" t="s">
        <v>8150</v>
      </c>
      <c r="FGP645">
        <v>43025</v>
      </c>
      <c r="FGS645" t="s">
        <v>8150</v>
      </c>
      <c r="FGT645">
        <v>43025</v>
      </c>
      <c r="FGW645" t="s">
        <v>8150</v>
      </c>
      <c r="FGX645">
        <v>43025</v>
      </c>
      <c r="FHA645" t="s">
        <v>8150</v>
      </c>
      <c r="FHB645">
        <v>43025</v>
      </c>
      <c r="FHE645" t="s">
        <v>8150</v>
      </c>
      <c r="FHF645">
        <v>43025</v>
      </c>
      <c r="FHI645" t="s">
        <v>8150</v>
      </c>
      <c r="FHJ645">
        <v>43025</v>
      </c>
      <c r="FHM645" t="s">
        <v>8150</v>
      </c>
      <c r="FHN645">
        <v>43025</v>
      </c>
      <c r="FHQ645" t="s">
        <v>8150</v>
      </c>
      <c r="FHR645">
        <v>43025</v>
      </c>
      <c r="FHU645" t="s">
        <v>8150</v>
      </c>
      <c r="FHV645">
        <v>43025</v>
      </c>
      <c r="FHY645" t="s">
        <v>8150</v>
      </c>
      <c r="FHZ645">
        <v>43025</v>
      </c>
      <c r="FIC645" t="s">
        <v>8150</v>
      </c>
      <c r="FID645">
        <v>43025</v>
      </c>
      <c r="FIG645" t="s">
        <v>8150</v>
      </c>
      <c r="FIH645">
        <v>43025</v>
      </c>
      <c r="FIK645" t="s">
        <v>8150</v>
      </c>
      <c r="FIL645">
        <v>43025</v>
      </c>
      <c r="FIO645" t="s">
        <v>8150</v>
      </c>
      <c r="FIP645">
        <v>43025</v>
      </c>
      <c r="FIS645" t="s">
        <v>8150</v>
      </c>
      <c r="FIT645">
        <v>43025</v>
      </c>
      <c r="FIW645" t="s">
        <v>8150</v>
      </c>
      <c r="FIX645">
        <v>43025</v>
      </c>
      <c r="FJA645" t="s">
        <v>8150</v>
      </c>
      <c r="FJB645">
        <v>43025</v>
      </c>
      <c r="FJE645" t="s">
        <v>8150</v>
      </c>
      <c r="FJF645">
        <v>43025</v>
      </c>
      <c r="FJI645" t="s">
        <v>8150</v>
      </c>
      <c r="FJJ645">
        <v>43025</v>
      </c>
      <c r="FJM645" t="s">
        <v>8150</v>
      </c>
      <c r="FJN645">
        <v>43025</v>
      </c>
      <c r="FJQ645" t="s">
        <v>8150</v>
      </c>
      <c r="FJR645">
        <v>43025</v>
      </c>
      <c r="FJU645" t="s">
        <v>8150</v>
      </c>
      <c r="FJV645">
        <v>43025</v>
      </c>
      <c r="FJY645" t="s">
        <v>8150</v>
      </c>
      <c r="FJZ645">
        <v>43025</v>
      </c>
      <c r="FKC645" t="s">
        <v>8150</v>
      </c>
      <c r="FKD645">
        <v>43025</v>
      </c>
      <c r="FKG645" t="s">
        <v>8150</v>
      </c>
      <c r="FKH645">
        <v>43025</v>
      </c>
      <c r="FKK645" t="s">
        <v>8150</v>
      </c>
      <c r="FKL645">
        <v>43025</v>
      </c>
      <c r="FKO645" t="s">
        <v>8150</v>
      </c>
      <c r="FKP645">
        <v>43025</v>
      </c>
      <c r="FKS645" t="s">
        <v>8150</v>
      </c>
      <c r="FKT645">
        <v>43025</v>
      </c>
      <c r="FKW645" t="s">
        <v>8150</v>
      </c>
      <c r="FKX645">
        <v>43025</v>
      </c>
      <c r="FLA645" t="s">
        <v>8150</v>
      </c>
      <c r="FLB645">
        <v>43025</v>
      </c>
      <c r="FLE645" t="s">
        <v>8150</v>
      </c>
      <c r="FLF645">
        <v>43025</v>
      </c>
      <c r="FLI645" t="s">
        <v>8150</v>
      </c>
      <c r="FLJ645">
        <v>43025</v>
      </c>
      <c r="FLM645" t="s">
        <v>8150</v>
      </c>
      <c r="FLN645">
        <v>43025</v>
      </c>
      <c r="FLQ645" t="s">
        <v>8150</v>
      </c>
      <c r="FLR645">
        <v>43025</v>
      </c>
      <c r="FLU645" t="s">
        <v>8150</v>
      </c>
      <c r="FLV645">
        <v>43025</v>
      </c>
      <c r="FLY645" t="s">
        <v>8150</v>
      </c>
      <c r="FLZ645">
        <v>43025</v>
      </c>
      <c r="FMC645" t="s">
        <v>8150</v>
      </c>
      <c r="FMD645">
        <v>43025</v>
      </c>
      <c r="FMG645" t="s">
        <v>8150</v>
      </c>
      <c r="FMH645">
        <v>43025</v>
      </c>
      <c r="FMK645" t="s">
        <v>8150</v>
      </c>
      <c r="FML645">
        <v>43025</v>
      </c>
      <c r="FMO645" t="s">
        <v>8150</v>
      </c>
      <c r="FMP645">
        <v>43025</v>
      </c>
      <c r="FMS645" t="s">
        <v>8150</v>
      </c>
      <c r="FMT645">
        <v>43025</v>
      </c>
      <c r="FMW645" t="s">
        <v>8150</v>
      </c>
      <c r="FMX645">
        <v>43025</v>
      </c>
      <c r="FNA645" t="s">
        <v>8150</v>
      </c>
      <c r="FNB645">
        <v>43025</v>
      </c>
      <c r="FNE645" t="s">
        <v>8150</v>
      </c>
      <c r="FNF645">
        <v>43025</v>
      </c>
      <c r="FNI645" t="s">
        <v>8150</v>
      </c>
      <c r="FNJ645">
        <v>43025</v>
      </c>
      <c r="FNM645" t="s">
        <v>8150</v>
      </c>
      <c r="FNN645">
        <v>43025</v>
      </c>
      <c r="FNQ645" t="s">
        <v>8150</v>
      </c>
      <c r="FNR645">
        <v>43025</v>
      </c>
      <c r="FNU645" t="s">
        <v>8150</v>
      </c>
      <c r="FNV645">
        <v>43025</v>
      </c>
      <c r="FNY645" t="s">
        <v>8150</v>
      </c>
      <c r="FNZ645">
        <v>43025</v>
      </c>
      <c r="FOC645" t="s">
        <v>8150</v>
      </c>
      <c r="FOD645">
        <v>43025</v>
      </c>
      <c r="FOG645" t="s">
        <v>8150</v>
      </c>
      <c r="FOH645">
        <v>43025</v>
      </c>
      <c r="FOK645" t="s">
        <v>8150</v>
      </c>
      <c r="FOL645">
        <v>43025</v>
      </c>
      <c r="FOO645" t="s">
        <v>8150</v>
      </c>
      <c r="FOP645">
        <v>43025</v>
      </c>
      <c r="FOS645" t="s">
        <v>8150</v>
      </c>
      <c r="FOT645">
        <v>43025</v>
      </c>
      <c r="FOW645" t="s">
        <v>8150</v>
      </c>
      <c r="FOX645">
        <v>43025</v>
      </c>
      <c r="FPA645" t="s">
        <v>8150</v>
      </c>
      <c r="FPB645">
        <v>43025</v>
      </c>
      <c r="FPE645" t="s">
        <v>8150</v>
      </c>
      <c r="FPF645">
        <v>43025</v>
      </c>
      <c r="FPI645" t="s">
        <v>8150</v>
      </c>
      <c r="FPJ645">
        <v>43025</v>
      </c>
      <c r="FPM645" t="s">
        <v>8150</v>
      </c>
      <c r="FPN645">
        <v>43025</v>
      </c>
      <c r="FPQ645" t="s">
        <v>8150</v>
      </c>
      <c r="FPR645">
        <v>43025</v>
      </c>
      <c r="FPU645" t="s">
        <v>8150</v>
      </c>
      <c r="FPV645">
        <v>43025</v>
      </c>
      <c r="FPY645" t="s">
        <v>8150</v>
      </c>
      <c r="FPZ645">
        <v>43025</v>
      </c>
      <c r="FQC645" t="s">
        <v>8150</v>
      </c>
      <c r="FQD645">
        <v>43025</v>
      </c>
      <c r="FQG645" t="s">
        <v>8150</v>
      </c>
      <c r="FQH645">
        <v>43025</v>
      </c>
      <c r="FQK645" t="s">
        <v>8150</v>
      </c>
      <c r="FQL645">
        <v>43025</v>
      </c>
      <c r="FQO645" t="s">
        <v>8150</v>
      </c>
      <c r="FQP645">
        <v>43025</v>
      </c>
      <c r="FQS645" t="s">
        <v>8150</v>
      </c>
      <c r="FQT645">
        <v>43025</v>
      </c>
      <c r="FQW645" t="s">
        <v>8150</v>
      </c>
      <c r="FQX645">
        <v>43025</v>
      </c>
      <c r="FRA645" t="s">
        <v>8150</v>
      </c>
      <c r="FRB645">
        <v>43025</v>
      </c>
      <c r="FRE645" t="s">
        <v>8150</v>
      </c>
      <c r="FRF645">
        <v>43025</v>
      </c>
      <c r="FRI645" t="s">
        <v>8150</v>
      </c>
      <c r="FRJ645">
        <v>43025</v>
      </c>
      <c r="FRM645" t="s">
        <v>8150</v>
      </c>
      <c r="FRN645">
        <v>43025</v>
      </c>
      <c r="FRQ645" t="s">
        <v>8150</v>
      </c>
      <c r="FRR645">
        <v>43025</v>
      </c>
      <c r="FRU645" t="s">
        <v>8150</v>
      </c>
      <c r="FRV645">
        <v>43025</v>
      </c>
      <c r="FRY645" t="s">
        <v>8150</v>
      </c>
      <c r="FRZ645">
        <v>43025</v>
      </c>
      <c r="FSC645" t="s">
        <v>8150</v>
      </c>
      <c r="FSD645">
        <v>43025</v>
      </c>
      <c r="FSG645" t="s">
        <v>8150</v>
      </c>
      <c r="FSH645">
        <v>43025</v>
      </c>
      <c r="FSK645" t="s">
        <v>8150</v>
      </c>
      <c r="FSL645">
        <v>43025</v>
      </c>
      <c r="FSO645" t="s">
        <v>8150</v>
      </c>
      <c r="FSP645">
        <v>43025</v>
      </c>
      <c r="FSS645" t="s">
        <v>8150</v>
      </c>
      <c r="FST645">
        <v>43025</v>
      </c>
      <c r="FSW645" t="s">
        <v>8150</v>
      </c>
      <c r="FSX645">
        <v>43025</v>
      </c>
      <c r="FTA645" t="s">
        <v>8150</v>
      </c>
      <c r="FTB645">
        <v>43025</v>
      </c>
      <c r="FTE645" t="s">
        <v>8150</v>
      </c>
      <c r="FTF645">
        <v>43025</v>
      </c>
      <c r="FTI645" t="s">
        <v>8150</v>
      </c>
      <c r="FTJ645">
        <v>43025</v>
      </c>
      <c r="FTM645" t="s">
        <v>8150</v>
      </c>
      <c r="FTN645">
        <v>43025</v>
      </c>
      <c r="FTQ645" t="s">
        <v>8150</v>
      </c>
      <c r="FTR645">
        <v>43025</v>
      </c>
      <c r="FTU645" t="s">
        <v>8150</v>
      </c>
      <c r="FTV645">
        <v>43025</v>
      </c>
      <c r="FTY645" t="s">
        <v>8150</v>
      </c>
      <c r="FTZ645">
        <v>43025</v>
      </c>
      <c r="FUC645" t="s">
        <v>8150</v>
      </c>
      <c r="FUD645">
        <v>43025</v>
      </c>
      <c r="FUG645" t="s">
        <v>8150</v>
      </c>
      <c r="FUH645">
        <v>43025</v>
      </c>
      <c r="FUK645" t="s">
        <v>8150</v>
      </c>
      <c r="FUL645">
        <v>43025</v>
      </c>
      <c r="FUO645" t="s">
        <v>8150</v>
      </c>
      <c r="FUP645">
        <v>43025</v>
      </c>
      <c r="FUS645" t="s">
        <v>8150</v>
      </c>
      <c r="FUT645">
        <v>43025</v>
      </c>
      <c r="FUW645" t="s">
        <v>8150</v>
      </c>
      <c r="FUX645">
        <v>43025</v>
      </c>
      <c r="FVA645" t="s">
        <v>8150</v>
      </c>
      <c r="FVB645">
        <v>43025</v>
      </c>
      <c r="FVE645" t="s">
        <v>8150</v>
      </c>
      <c r="FVF645">
        <v>43025</v>
      </c>
      <c r="FVI645" t="s">
        <v>8150</v>
      </c>
      <c r="FVJ645">
        <v>43025</v>
      </c>
      <c r="FVM645" t="s">
        <v>8150</v>
      </c>
      <c r="FVN645">
        <v>43025</v>
      </c>
      <c r="FVQ645" t="s">
        <v>8150</v>
      </c>
      <c r="FVR645">
        <v>43025</v>
      </c>
      <c r="FVU645" t="s">
        <v>8150</v>
      </c>
      <c r="FVV645">
        <v>43025</v>
      </c>
      <c r="FVY645" t="s">
        <v>8150</v>
      </c>
      <c r="FVZ645">
        <v>43025</v>
      </c>
      <c r="FWC645" t="s">
        <v>8150</v>
      </c>
      <c r="FWD645">
        <v>43025</v>
      </c>
      <c r="FWG645" t="s">
        <v>8150</v>
      </c>
      <c r="FWH645">
        <v>43025</v>
      </c>
      <c r="FWK645" t="s">
        <v>8150</v>
      </c>
      <c r="FWL645">
        <v>43025</v>
      </c>
      <c r="FWO645" t="s">
        <v>8150</v>
      </c>
      <c r="FWP645">
        <v>43025</v>
      </c>
      <c r="FWS645" t="s">
        <v>8150</v>
      </c>
      <c r="FWT645">
        <v>43025</v>
      </c>
      <c r="FWW645" t="s">
        <v>8150</v>
      </c>
      <c r="FWX645">
        <v>43025</v>
      </c>
      <c r="FXA645" t="s">
        <v>8150</v>
      </c>
      <c r="FXB645">
        <v>43025</v>
      </c>
      <c r="FXE645" t="s">
        <v>8150</v>
      </c>
      <c r="FXF645">
        <v>43025</v>
      </c>
      <c r="FXI645" t="s">
        <v>8150</v>
      </c>
      <c r="FXJ645">
        <v>43025</v>
      </c>
      <c r="FXM645" t="s">
        <v>8150</v>
      </c>
      <c r="FXN645">
        <v>43025</v>
      </c>
      <c r="FXQ645" t="s">
        <v>8150</v>
      </c>
      <c r="FXR645">
        <v>43025</v>
      </c>
      <c r="FXU645" t="s">
        <v>8150</v>
      </c>
      <c r="FXV645">
        <v>43025</v>
      </c>
      <c r="FXY645" t="s">
        <v>8150</v>
      </c>
      <c r="FXZ645">
        <v>43025</v>
      </c>
      <c r="FYC645" t="s">
        <v>8150</v>
      </c>
      <c r="FYD645">
        <v>43025</v>
      </c>
      <c r="FYG645" t="s">
        <v>8150</v>
      </c>
      <c r="FYH645">
        <v>43025</v>
      </c>
      <c r="FYK645" t="s">
        <v>8150</v>
      </c>
      <c r="FYL645">
        <v>43025</v>
      </c>
      <c r="FYO645" t="s">
        <v>8150</v>
      </c>
      <c r="FYP645">
        <v>43025</v>
      </c>
      <c r="FYS645" t="s">
        <v>8150</v>
      </c>
      <c r="FYT645">
        <v>43025</v>
      </c>
      <c r="FYW645" t="s">
        <v>8150</v>
      </c>
      <c r="FYX645">
        <v>43025</v>
      </c>
      <c r="FZA645" t="s">
        <v>8150</v>
      </c>
      <c r="FZB645">
        <v>43025</v>
      </c>
      <c r="FZE645" t="s">
        <v>8150</v>
      </c>
      <c r="FZF645">
        <v>43025</v>
      </c>
      <c r="FZI645" t="s">
        <v>8150</v>
      </c>
      <c r="FZJ645">
        <v>43025</v>
      </c>
      <c r="FZM645" t="s">
        <v>8150</v>
      </c>
      <c r="FZN645">
        <v>43025</v>
      </c>
      <c r="FZQ645" t="s">
        <v>8150</v>
      </c>
      <c r="FZR645">
        <v>43025</v>
      </c>
      <c r="FZU645" t="s">
        <v>8150</v>
      </c>
      <c r="FZV645">
        <v>43025</v>
      </c>
      <c r="FZY645" t="s">
        <v>8150</v>
      </c>
      <c r="FZZ645">
        <v>43025</v>
      </c>
      <c r="GAC645" t="s">
        <v>8150</v>
      </c>
      <c r="GAD645">
        <v>43025</v>
      </c>
      <c r="GAG645" t="s">
        <v>8150</v>
      </c>
      <c r="GAH645">
        <v>43025</v>
      </c>
      <c r="GAK645" t="s">
        <v>8150</v>
      </c>
      <c r="GAL645">
        <v>43025</v>
      </c>
      <c r="GAO645" t="s">
        <v>8150</v>
      </c>
      <c r="GAP645">
        <v>43025</v>
      </c>
      <c r="GAS645" t="s">
        <v>8150</v>
      </c>
      <c r="GAT645">
        <v>43025</v>
      </c>
      <c r="GAW645" t="s">
        <v>8150</v>
      </c>
      <c r="GAX645">
        <v>43025</v>
      </c>
      <c r="GBA645" t="s">
        <v>8150</v>
      </c>
      <c r="GBB645">
        <v>43025</v>
      </c>
      <c r="GBE645" t="s">
        <v>8150</v>
      </c>
      <c r="GBF645">
        <v>43025</v>
      </c>
      <c r="GBI645" t="s">
        <v>8150</v>
      </c>
      <c r="GBJ645">
        <v>43025</v>
      </c>
      <c r="GBM645" t="s">
        <v>8150</v>
      </c>
      <c r="GBN645">
        <v>43025</v>
      </c>
      <c r="GBQ645" t="s">
        <v>8150</v>
      </c>
      <c r="GBR645">
        <v>43025</v>
      </c>
      <c r="GBU645" t="s">
        <v>8150</v>
      </c>
      <c r="GBV645">
        <v>43025</v>
      </c>
      <c r="GBY645" t="s">
        <v>8150</v>
      </c>
      <c r="GBZ645">
        <v>43025</v>
      </c>
      <c r="GCC645" t="s">
        <v>8150</v>
      </c>
      <c r="GCD645">
        <v>43025</v>
      </c>
      <c r="GCG645" t="s">
        <v>8150</v>
      </c>
      <c r="GCH645">
        <v>43025</v>
      </c>
      <c r="GCK645" t="s">
        <v>8150</v>
      </c>
      <c r="GCL645">
        <v>43025</v>
      </c>
      <c r="GCO645" t="s">
        <v>8150</v>
      </c>
      <c r="GCP645">
        <v>43025</v>
      </c>
      <c r="GCS645" t="s">
        <v>8150</v>
      </c>
      <c r="GCT645">
        <v>43025</v>
      </c>
      <c r="GCW645" t="s">
        <v>8150</v>
      </c>
      <c r="GCX645">
        <v>43025</v>
      </c>
      <c r="GDA645" t="s">
        <v>8150</v>
      </c>
      <c r="GDB645">
        <v>43025</v>
      </c>
      <c r="GDE645" t="s">
        <v>8150</v>
      </c>
      <c r="GDF645">
        <v>43025</v>
      </c>
      <c r="GDI645" t="s">
        <v>8150</v>
      </c>
      <c r="GDJ645">
        <v>43025</v>
      </c>
      <c r="GDM645" t="s">
        <v>8150</v>
      </c>
      <c r="GDN645">
        <v>43025</v>
      </c>
      <c r="GDQ645" t="s">
        <v>8150</v>
      </c>
      <c r="GDR645">
        <v>43025</v>
      </c>
      <c r="GDU645" t="s">
        <v>8150</v>
      </c>
      <c r="GDV645">
        <v>43025</v>
      </c>
      <c r="GDY645" t="s">
        <v>8150</v>
      </c>
      <c r="GDZ645">
        <v>43025</v>
      </c>
      <c r="GEC645" t="s">
        <v>8150</v>
      </c>
      <c r="GED645">
        <v>43025</v>
      </c>
      <c r="GEG645" t="s">
        <v>8150</v>
      </c>
      <c r="GEH645">
        <v>43025</v>
      </c>
      <c r="GEK645" t="s">
        <v>8150</v>
      </c>
      <c r="GEL645">
        <v>43025</v>
      </c>
      <c r="GEO645" t="s">
        <v>8150</v>
      </c>
      <c r="GEP645">
        <v>43025</v>
      </c>
      <c r="GES645" t="s">
        <v>8150</v>
      </c>
      <c r="GET645">
        <v>43025</v>
      </c>
      <c r="GEW645" t="s">
        <v>8150</v>
      </c>
      <c r="GEX645">
        <v>43025</v>
      </c>
      <c r="GFA645" t="s">
        <v>8150</v>
      </c>
      <c r="GFB645">
        <v>43025</v>
      </c>
      <c r="GFE645" t="s">
        <v>8150</v>
      </c>
      <c r="GFF645">
        <v>43025</v>
      </c>
      <c r="GFI645" t="s">
        <v>8150</v>
      </c>
      <c r="GFJ645">
        <v>43025</v>
      </c>
      <c r="GFM645" t="s">
        <v>8150</v>
      </c>
      <c r="GFN645">
        <v>43025</v>
      </c>
      <c r="GFQ645" t="s">
        <v>8150</v>
      </c>
      <c r="GFR645">
        <v>43025</v>
      </c>
      <c r="GFU645" t="s">
        <v>8150</v>
      </c>
      <c r="GFV645">
        <v>43025</v>
      </c>
      <c r="GFY645" t="s">
        <v>8150</v>
      </c>
      <c r="GFZ645">
        <v>43025</v>
      </c>
      <c r="GGC645" t="s">
        <v>8150</v>
      </c>
      <c r="GGD645">
        <v>43025</v>
      </c>
      <c r="GGG645" t="s">
        <v>8150</v>
      </c>
      <c r="GGH645">
        <v>43025</v>
      </c>
      <c r="GGK645" t="s">
        <v>8150</v>
      </c>
      <c r="GGL645">
        <v>43025</v>
      </c>
      <c r="GGO645" t="s">
        <v>8150</v>
      </c>
      <c r="GGP645">
        <v>43025</v>
      </c>
      <c r="GGS645" t="s">
        <v>8150</v>
      </c>
      <c r="GGT645">
        <v>43025</v>
      </c>
      <c r="GGW645" t="s">
        <v>8150</v>
      </c>
      <c r="GGX645">
        <v>43025</v>
      </c>
      <c r="GHA645" t="s">
        <v>8150</v>
      </c>
      <c r="GHB645">
        <v>43025</v>
      </c>
      <c r="GHE645" t="s">
        <v>8150</v>
      </c>
      <c r="GHF645">
        <v>43025</v>
      </c>
      <c r="GHI645" t="s">
        <v>8150</v>
      </c>
      <c r="GHJ645">
        <v>43025</v>
      </c>
      <c r="GHM645" t="s">
        <v>8150</v>
      </c>
      <c r="GHN645">
        <v>43025</v>
      </c>
      <c r="GHQ645" t="s">
        <v>8150</v>
      </c>
      <c r="GHR645">
        <v>43025</v>
      </c>
      <c r="GHU645" t="s">
        <v>8150</v>
      </c>
      <c r="GHV645">
        <v>43025</v>
      </c>
      <c r="GHY645" t="s">
        <v>8150</v>
      </c>
      <c r="GHZ645">
        <v>43025</v>
      </c>
      <c r="GIC645" t="s">
        <v>8150</v>
      </c>
      <c r="GID645">
        <v>43025</v>
      </c>
      <c r="GIG645" t="s">
        <v>8150</v>
      </c>
      <c r="GIH645">
        <v>43025</v>
      </c>
      <c r="GIK645" t="s">
        <v>8150</v>
      </c>
      <c r="GIL645">
        <v>43025</v>
      </c>
      <c r="GIO645" t="s">
        <v>8150</v>
      </c>
      <c r="GIP645">
        <v>43025</v>
      </c>
      <c r="GIS645" t="s">
        <v>8150</v>
      </c>
      <c r="GIT645">
        <v>43025</v>
      </c>
      <c r="GIW645" t="s">
        <v>8150</v>
      </c>
      <c r="GIX645">
        <v>43025</v>
      </c>
      <c r="GJA645" t="s">
        <v>8150</v>
      </c>
      <c r="GJB645">
        <v>43025</v>
      </c>
      <c r="GJE645" t="s">
        <v>8150</v>
      </c>
      <c r="GJF645">
        <v>43025</v>
      </c>
      <c r="GJI645" t="s">
        <v>8150</v>
      </c>
      <c r="GJJ645">
        <v>43025</v>
      </c>
      <c r="GJM645" t="s">
        <v>8150</v>
      </c>
      <c r="GJN645">
        <v>43025</v>
      </c>
      <c r="GJQ645" t="s">
        <v>8150</v>
      </c>
      <c r="GJR645">
        <v>43025</v>
      </c>
      <c r="GJU645" t="s">
        <v>8150</v>
      </c>
      <c r="GJV645">
        <v>43025</v>
      </c>
      <c r="GJY645" t="s">
        <v>8150</v>
      </c>
      <c r="GJZ645">
        <v>43025</v>
      </c>
      <c r="GKC645" t="s">
        <v>8150</v>
      </c>
      <c r="GKD645">
        <v>43025</v>
      </c>
      <c r="GKG645" t="s">
        <v>8150</v>
      </c>
      <c r="GKH645">
        <v>43025</v>
      </c>
      <c r="GKK645" t="s">
        <v>8150</v>
      </c>
      <c r="GKL645">
        <v>43025</v>
      </c>
      <c r="GKO645" t="s">
        <v>8150</v>
      </c>
      <c r="GKP645">
        <v>43025</v>
      </c>
      <c r="GKS645" t="s">
        <v>8150</v>
      </c>
      <c r="GKT645">
        <v>43025</v>
      </c>
      <c r="GKW645" t="s">
        <v>8150</v>
      </c>
      <c r="GKX645">
        <v>43025</v>
      </c>
      <c r="GLA645" t="s">
        <v>8150</v>
      </c>
      <c r="GLB645">
        <v>43025</v>
      </c>
      <c r="GLE645" t="s">
        <v>8150</v>
      </c>
      <c r="GLF645">
        <v>43025</v>
      </c>
      <c r="GLI645" t="s">
        <v>8150</v>
      </c>
      <c r="GLJ645">
        <v>43025</v>
      </c>
      <c r="GLM645" t="s">
        <v>8150</v>
      </c>
      <c r="GLN645">
        <v>43025</v>
      </c>
      <c r="GLQ645" t="s">
        <v>8150</v>
      </c>
      <c r="GLR645">
        <v>43025</v>
      </c>
      <c r="GLU645" t="s">
        <v>8150</v>
      </c>
      <c r="GLV645">
        <v>43025</v>
      </c>
      <c r="GLY645" t="s">
        <v>8150</v>
      </c>
      <c r="GLZ645">
        <v>43025</v>
      </c>
      <c r="GMC645" t="s">
        <v>8150</v>
      </c>
      <c r="GMD645">
        <v>43025</v>
      </c>
      <c r="GMG645" t="s">
        <v>8150</v>
      </c>
      <c r="GMH645">
        <v>43025</v>
      </c>
      <c r="GMK645" t="s">
        <v>8150</v>
      </c>
      <c r="GML645">
        <v>43025</v>
      </c>
      <c r="GMO645" t="s">
        <v>8150</v>
      </c>
      <c r="GMP645">
        <v>43025</v>
      </c>
      <c r="GMS645" t="s">
        <v>8150</v>
      </c>
      <c r="GMT645">
        <v>43025</v>
      </c>
      <c r="GMW645" t="s">
        <v>8150</v>
      </c>
      <c r="GMX645">
        <v>43025</v>
      </c>
      <c r="GNA645" t="s">
        <v>8150</v>
      </c>
      <c r="GNB645">
        <v>43025</v>
      </c>
      <c r="GNE645" t="s">
        <v>8150</v>
      </c>
      <c r="GNF645">
        <v>43025</v>
      </c>
      <c r="GNI645" t="s">
        <v>8150</v>
      </c>
      <c r="GNJ645">
        <v>43025</v>
      </c>
      <c r="GNM645" t="s">
        <v>8150</v>
      </c>
      <c r="GNN645">
        <v>43025</v>
      </c>
      <c r="GNQ645" t="s">
        <v>8150</v>
      </c>
      <c r="GNR645">
        <v>43025</v>
      </c>
      <c r="GNU645" t="s">
        <v>8150</v>
      </c>
      <c r="GNV645">
        <v>43025</v>
      </c>
      <c r="GNY645" t="s">
        <v>8150</v>
      </c>
      <c r="GNZ645">
        <v>43025</v>
      </c>
      <c r="GOC645" t="s">
        <v>8150</v>
      </c>
      <c r="GOD645">
        <v>43025</v>
      </c>
      <c r="GOG645" t="s">
        <v>8150</v>
      </c>
      <c r="GOH645">
        <v>43025</v>
      </c>
      <c r="GOK645" t="s">
        <v>8150</v>
      </c>
      <c r="GOL645">
        <v>43025</v>
      </c>
      <c r="GOO645" t="s">
        <v>8150</v>
      </c>
      <c r="GOP645">
        <v>43025</v>
      </c>
      <c r="GOS645" t="s">
        <v>8150</v>
      </c>
      <c r="GOT645">
        <v>43025</v>
      </c>
      <c r="GOW645" t="s">
        <v>8150</v>
      </c>
      <c r="GOX645">
        <v>43025</v>
      </c>
      <c r="GPA645" t="s">
        <v>8150</v>
      </c>
      <c r="GPB645">
        <v>43025</v>
      </c>
      <c r="GPE645" t="s">
        <v>8150</v>
      </c>
      <c r="GPF645">
        <v>43025</v>
      </c>
      <c r="GPI645" t="s">
        <v>8150</v>
      </c>
      <c r="GPJ645">
        <v>43025</v>
      </c>
      <c r="GPM645" t="s">
        <v>8150</v>
      </c>
      <c r="GPN645">
        <v>43025</v>
      </c>
      <c r="GPQ645" t="s">
        <v>8150</v>
      </c>
      <c r="GPR645">
        <v>43025</v>
      </c>
      <c r="GPU645" t="s">
        <v>8150</v>
      </c>
      <c r="GPV645">
        <v>43025</v>
      </c>
      <c r="GPY645" t="s">
        <v>8150</v>
      </c>
      <c r="GPZ645">
        <v>43025</v>
      </c>
      <c r="GQC645" t="s">
        <v>8150</v>
      </c>
      <c r="GQD645">
        <v>43025</v>
      </c>
      <c r="GQG645" t="s">
        <v>8150</v>
      </c>
      <c r="GQH645">
        <v>43025</v>
      </c>
      <c r="GQK645" t="s">
        <v>8150</v>
      </c>
      <c r="GQL645">
        <v>43025</v>
      </c>
      <c r="GQO645" t="s">
        <v>8150</v>
      </c>
      <c r="GQP645">
        <v>43025</v>
      </c>
      <c r="GQS645" t="s">
        <v>8150</v>
      </c>
      <c r="GQT645">
        <v>43025</v>
      </c>
      <c r="GQW645" t="s">
        <v>8150</v>
      </c>
      <c r="GQX645">
        <v>43025</v>
      </c>
      <c r="GRA645" t="s">
        <v>8150</v>
      </c>
      <c r="GRB645">
        <v>43025</v>
      </c>
      <c r="GRE645" t="s">
        <v>8150</v>
      </c>
      <c r="GRF645">
        <v>43025</v>
      </c>
      <c r="GRI645" t="s">
        <v>8150</v>
      </c>
      <c r="GRJ645">
        <v>43025</v>
      </c>
      <c r="GRM645" t="s">
        <v>8150</v>
      </c>
      <c r="GRN645">
        <v>43025</v>
      </c>
      <c r="GRQ645" t="s">
        <v>8150</v>
      </c>
      <c r="GRR645">
        <v>43025</v>
      </c>
      <c r="GRU645" t="s">
        <v>8150</v>
      </c>
      <c r="GRV645">
        <v>43025</v>
      </c>
      <c r="GRY645" t="s">
        <v>8150</v>
      </c>
      <c r="GRZ645">
        <v>43025</v>
      </c>
      <c r="GSC645" t="s">
        <v>8150</v>
      </c>
      <c r="GSD645">
        <v>43025</v>
      </c>
      <c r="GSG645" t="s">
        <v>8150</v>
      </c>
      <c r="GSH645">
        <v>43025</v>
      </c>
      <c r="GSK645" t="s">
        <v>8150</v>
      </c>
      <c r="GSL645">
        <v>43025</v>
      </c>
      <c r="GSO645" t="s">
        <v>8150</v>
      </c>
      <c r="GSP645">
        <v>43025</v>
      </c>
      <c r="GSS645" t="s">
        <v>8150</v>
      </c>
      <c r="GST645">
        <v>43025</v>
      </c>
      <c r="GSW645" t="s">
        <v>8150</v>
      </c>
      <c r="GSX645">
        <v>43025</v>
      </c>
      <c r="GTA645" t="s">
        <v>8150</v>
      </c>
      <c r="GTB645">
        <v>43025</v>
      </c>
      <c r="GTE645" t="s">
        <v>8150</v>
      </c>
      <c r="GTF645">
        <v>43025</v>
      </c>
      <c r="GTI645" t="s">
        <v>8150</v>
      </c>
      <c r="GTJ645">
        <v>43025</v>
      </c>
      <c r="GTM645" t="s">
        <v>8150</v>
      </c>
      <c r="GTN645">
        <v>43025</v>
      </c>
      <c r="GTQ645" t="s">
        <v>8150</v>
      </c>
      <c r="GTR645">
        <v>43025</v>
      </c>
      <c r="GTU645" t="s">
        <v>8150</v>
      </c>
      <c r="GTV645">
        <v>43025</v>
      </c>
      <c r="GTY645" t="s">
        <v>8150</v>
      </c>
      <c r="GTZ645">
        <v>43025</v>
      </c>
      <c r="GUC645" t="s">
        <v>8150</v>
      </c>
      <c r="GUD645">
        <v>43025</v>
      </c>
      <c r="GUG645" t="s">
        <v>8150</v>
      </c>
      <c r="GUH645">
        <v>43025</v>
      </c>
      <c r="GUK645" t="s">
        <v>8150</v>
      </c>
      <c r="GUL645">
        <v>43025</v>
      </c>
      <c r="GUO645" t="s">
        <v>8150</v>
      </c>
      <c r="GUP645">
        <v>43025</v>
      </c>
      <c r="GUS645" t="s">
        <v>8150</v>
      </c>
      <c r="GUT645">
        <v>43025</v>
      </c>
      <c r="GUW645" t="s">
        <v>8150</v>
      </c>
      <c r="GUX645">
        <v>43025</v>
      </c>
      <c r="GVA645" t="s">
        <v>8150</v>
      </c>
      <c r="GVB645">
        <v>43025</v>
      </c>
      <c r="GVE645" t="s">
        <v>8150</v>
      </c>
      <c r="GVF645">
        <v>43025</v>
      </c>
      <c r="GVI645" t="s">
        <v>8150</v>
      </c>
      <c r="GVJ645">
        <v>43025</v>
      </c>
      <c r="GVM645" t="s">
        <v>8150</v>
      </c>
      <c r="GVN645">
        <v>43025</v>
      </c>
      <c r="GVQ645" t="s">
        <v>8150</v>
      </c>
      <c r="GVR645">
        <v>43025</v>
      </c>
      <c r="GVU645" t="s">
        <v>8150</v>
      </c>
      <c r="GVV645">
        <v>43025</v>
      </c>
      <c r="GVY645" t="s">
        <v>8150</v>
      </c>
      <c r="GVZ645">
        <v>43025</v>
      </c>
      <c r="GWC645" t="s">
        <v>8150</v>
      </c>
      <c r="GWD645">
        <v>43025</v>
      </c>
      <c r="GWG645" t="s">
        <v>8150</v>
      </c>
      <c r="GWH645">
        <v>43025</v>
      </c>
      <c r="GWK645" t="s">
        <v>8150</v>
      </c>
      <c r="GWL645">
        <v>43025</v>
      </c>
      <c r="GWO645" t="s">
        <v>8150</v>
      </c>
      <c r="GWP645">
        <v>43025</v>
      </c>
      <c r="GWS645" t="s">
        <v>8150</v>
      </c>
      <c r="GWT645">
        <v>43025</v>
      </c>
      <c r="GWW645" t="s">
        <v>8150</v>
      </c>
      <c r="GWX645">
        <v>43025</v>
      </c>
      <c r="GXA645" t="s">
        <v>8150</v>
      </c>
      <c r="GXB645">
        <v>43025</v>
      </c>
      <c r="GXE645" t="s">
        <v>8150</v>
      </c>
      <c r="GXF645">
        <v>43025</v>
      </c>
      <c r="GXI645" t="s">
        <v>8150</v>
      </c>
      <c r="GXJ645">
        <v>43025</v>
      </c>
      <c r="GXM645" t="s">
        <v>8150</v>
      </c>
      <c r="GXN645">
        <v>43025</v>
      </c>
      <c r="GXQ645" t="s">
        <v>8150</v>
      </c>
      <c r="GXR645">
        <v>43025</v>
      </c>
      <c r="GXU645" t="s">
        <v>8150</v>
      </c>
      <c r="GXV645">
        <v>43025</v>
      </c>
      <c r="GXY645" t="s">
        <v>8150</v>
      </c>
      <c r="GXZ645">
        <v>43025</v>
      </c>
      <c r="GYC645" t="s">
        <v>8150</v>
      </c>
      <c r="GYD645">
        <v>43025</v>
      </c>
      <c r="GYG645" t="s">
        <v>8150</v>
      </c>
      <c r="GYH645">
        <v>43025</v>
      </c>
      <c r="GYK645" t="s">
        <v>8150</v>
      </c>
      <c r="GYL645">
        <v>43025</v>
      </c>
      <c r="GYO645" t="s">
        <v>8150</v>
      </c>
      <c r="GYP645">
        <v>43025</v>
      </c>
      <c r="GYS645" t="s">
        <v>8150</v>
      </c>
      <c r="GYT645">
        <v>43025</v>
      </c>
      <c r="GYW645" t="s">
        <v>8150</v>
      </c>
      <c r="GYX645">
        <v>43025</v>
      </c>
      <c r="GZA645" t="s">
        <v>8150</v>
      </c>
      <c r="GZB645">
        <v>43025</v>
      </c>
      <c r="GZE645" t="s">
        <v>8150</v>
      </c>
      <c r="GZF645">
        <v>43025</v>
      </c>
      <c r="GZI645" t="s">
        <v>8150</v>
      </c>
      <c r="GZJ645">
        <v>43025</v>
      </c>
      <c r="GZM645" t="s">
        <v>8150</v>
      </c>
      <c r="GZN645">
        <v>43025</v>
      </c>
      <c r="GZQ645" t="s">
        <v>8150</v>
      </c>
      <c r="GZR645">
        <v>43025</v>
      </c>
      <c r="GZU645" t="s">
        <v>8150</v>
      </c>
      <c r="GZV645">
        <v>43025</v>
      </c>
      <c r="GZY645" t="s">
        <v>8150</v>
      </c>
      <c r="GZZ645">
        <v>43025</v>
      </c>
      <c r="HAC645" t="s">
        <v>8150</v>
      </c>
      <c r="HAD645">
        <v>43025</v>
      </c>
      <c r="HAG645" t="s">
        <v>8150</v>
      </c>
      <c r="HAH645">
        <v>43025</v>
      </c>
      <c r="HAK645" t="s">
        <v>8150</v>
      </c>
      <c r="HAL645">
        <v>43025</v>
      </c>
      <c r="HAO645" t="s">
        <v>8150</v>
      </c>
      <c r="HAP645">
        <v>43025</v>
      </c>
      <c r="HAS645" t="s">
        <v>8150</v>
      </c>
      <c r="HAT645">
        <v>43025</v>
      </c>
      <c r="HAW645" t="s">
        <v>8150</v>
      </c>
      <c r="HAX645">
        <v>43025</v>
      </c>
      <c r="HBA645" t="s">
        <v>8150</v>
      </c>
      <c r="HBB645">
        <v>43025</v>
      </c>
      <c r="HBE645" t="s">
        <v>8150</v>
      </c>
      <c r="HBF645">
        <v>43025</v>
      </c>
      <c r="HBI645" t="s">
        <v>8150</v>
      </c>
      <c r="HBJ645">
        <v>43025</v>
      </c>
      <c r="HBM645" t="s">
        <v>8150</v>
      </c>
      <c r="HBN645">
        <v>43025</v>
      </c>
      <c r="HBQ645" t="s">
        <v>8150</v>
      </c>
      <c r="HBR645">
        <v>43025</v>
      </c>
      <c r="HBU645" t="s">
        <v>8150</v>
      </c>
      <c r="HBV645">
        <v>43025</v>
      </c>
      <c r="HBY645" t="s">
        <v>8150</v>
      </c>
      <c r="HBZ645">
        <v>43025</v>
      </c>
      <c r="HCC645" t="s">
        <v>8150</v>
      </c>
      <c r="HCD645">
        <v>43025</v>
      </c>
      <c r="HCG645" t="s">
        <v>8150</v>
      </c>
      <c r="HCH645">
        <v>43025</v>
      </c>
      <c r="HCK645" t="s">
        <v>8150</v>
      </c>
      <c r="HCL645">
        <v>43025</v>
      </c>
      <c r="HCO645" t="s">
        <v>8150</v>
      </c>
      <c r="HCP645">
        <v>43025</v>
      </c>
      <c r="HCS645" t="s">
        <v>8150</v>
      </c>
      <c r="HCT645">
        <v>43025</v>
      </c>
      <c r="HCW645" t="s">
        <v>8150</v>
      </c>
      <c r="HCX645">
        <v>43025</v>
      </c>
      <c r="HDA645" t="s">
        <v>8150</v>
      </c>
      <c r="HDB645">
        <v>43025</v>
      </c>
      <c r="HDE645" t="s">
        <v>8150</v>
      </c>
      <c r="HDF645">
        <v>43025</v>
      </c>
      <c r="HDI645" t="s">
        <v>8150</v>
      </c>
      <c r="HDJ645">
        <v>43025</v>
      </c>
      <c r="HDM645" t="s">
        <v>8150</v>
      </c>
      <c r="HDN645">
        <v>43025</v>
      </c>
      <c r="HDQ645" t="s">
        <v>8150</v>
      </c>
      <c r="HDR645">
        <v>43025</v>
      </c>
      <c r="HDU645" t="s">
        <v>8150</v>
      </c>
      <c r="HDV645">
        <v>43025</v>
      </c>
      <c r="HDY645" t="s">
        <v>8150</v>
      </c>
      <c r="HDZ645">
        <v>43025</v>
      </c>
      <c r="HEC645" t="s">
        <v>8150</v>
      </c>
      <c r="HED645">
        <v>43025</v>
      </c>
      <c r="HEG645" t="s">
        <v>8150</v>
      </c>
      <c r="HEH645">
        <v>43025</v>
      </c>
      <c r="HEK645" t="s">
        <v>8150</v>
      </c>
      <c r="HEL645">
        <v>43025</v>
      </c>
      <c r="HEO645" t="s">
        <v>8150</v>
      </c>
      <c r="HEP645">
        <v>43025</v>
      </c>
      <c r="HES645" t="s">
        <v>8150</v>
      </c>
      <c r="HET645">
        <v>43025</v>
      </c>
      <c r="HEW645" t="s">
        <v>8150</v>
      </c>
      <c r="HEX645">
        <v>43025</v>
      </c>
      <c r="HFA645" t="s">
        <v>8150</v>
      </c>
      <c r="HFB645">
        <v>43025</v>
      </c>
      <c r="HFE645" t="s">
        <v>8150</v>
      </c>
      <c r="HFF645">
        <v>43025</v>
      </c>
      <c r="HFI645" t="s">
        <v>8150</v>
      </c>
      <c r="HFJ645">
        <v>43025</v>
      </c>
      <c r="HFM645" t="s">
        <v>8150</v>
      </c>
      <c r="HFN645">
        <v>43025</v>
      </c>
      <c r="HFQ645" t="s">
        <v>8150</v>
      </c>
      <c r="HFR645">
        <v>43025</v>
      </c>
      <c r="HFU645" t="s">
        <v>8150</v>
      </c>
      <c r="HFV645">
        <v>43025</v>
      </c>
      <c r="HFY645" t="s">
        <v>8150</v>
      </c>
      <c r="HFZ645">
        <v>43025</v>
      </c>
      <c r="HGC645" t="s">
        <v>8150</v>
      </c>
      <c r="HGD645">
        <v>43025</v>
      </c>
      <c r="HGG645" t="s">
        <v>8150</v>
      </c>
      <c r="HGH645">
        <v>43025</v>
      </c>
      <c r="HGK645" t="s">
        <v>8150</v>
      </c>
      <c r="HGL645">
        <v>43025</v>
      </c>
      <c r="HGO645" t="s">
        <v>8150</v>
      </c>
      <c r="HGP645">
        <v>43025</v>
      </c>
      <c r="HGS645" t="s">
        <v>8150</v>
      </c>
      <c r="HGT645">
        <v>43025</v>
      </c>
      <c r="HGW645" t="s">
        <v>8150</v>
      </c>
      <c r="HGX645">
        <v>43025</v>
      </c>
      <c r="HHA645" t="s">
        <v>8150</v>
      </c>
      <c r="HHB645">
        <v>43025</v>
      </c>
      <c r="HHE645" t="s">
        <v>8150</v>
      </c>
      <c r="HHF645">
        <v>43025</v>
      </c>
      <c r="HHI645" t="s">
        <v>8150</v>
      </c>
      <c r="HHJ645">
        <v>43025</v>
      </c>
      <c r="HHM645" t="s">
        <v>8150</v>
      </c>
      <c r="HHN645">
        <v>43025</v>
      </c>
      <c r="HHQ645" t="s">
        <v>8150</v>
      </c>
      <c r="HHR645">
        <v>43025</v>
      </c>
      <c r="HHU645" t="s">
        <v>8150</v>
      </c>
      <c r="HHV645">
        <v>43025</v>
      </c>
      <c r="HHY645" t="s">
        <v>8150</v>
      </c>
      <c r="HHZ645">
        <v>43025</v>
      </c>
      <c r="HIC645" t="s">
        <v>8150</v>
      </c>
      <c r="HID645">
        <v>43025</v>
      </c>
      <c r="HIG645" t="s">
        <v>8150</v>
      </c>
      <c r="HIH645">
        <v>43025</v>
      </c>
      <c r="HIK645" t="s">
        <v>8150</v>
      </c>
      <c r="HIL645">
        <v>43025</v>
      </c>
      <c r="HIO645" t="s">
        <v>8150</v>
      </c>
      <c r="HIP645">
        <v>43025</v>
      </c>
      <c r="HIS645" t="s">
        <v>8150</v>
      </c>
      <c r="HIT645">
        <v>43025</v>
      </c>
      <c r="HIW645" t="s">
        <v>8150</v>
      </c>
      <c r="HIX645">
        <v>43025</v>
      </c>
      <c r="HJA645" t="s">
        <v>8150</v>
      </c>
      <c r="HJB645">
        <v>43025</v>
      </c>
      <c r="HJE645" t="s">
        <v>8150</v>
      </c>
      <c r="HJF645">
        <v>43025</v>
      </c>
      <c r="HJI645" t="s">
        <v>8150</v>
      </c>
      <c r="HJJ645">
        <v>43025</v>
      </c>
      <c r="HJM645" t="s">
        <v>8150</v>
      </c>
      <c r="HJN645">
        <v>43025</v>
      </c>
      <c r="HJQ645" t="s">
        <v>8150</v>
      </c>
      <c r="HJR645">
        <v>43025</v>
      </c>
      <c r="HJU645" t="s">
        <v>8150</v>
      </c>
      <c r="HJV645">
        <v>43025</v>
      </c>
      <c r="HJY645" t="s">
        <v>8150</v>
      </c>
      <c r="HJZ645">
        <v>43025</v>
      </c>
      <c r="HKC645" t="s">
        <v>8150</v>
      </c>
      <c r="HKD645">
        <v>43025</v>
      </c>
      <c r="HKG645" t="s">
        <v>8150</v>
      </c>
      <c r="HKH645">
        <v>43025</v>
      </c>
      <c r="HKK645" t="s">
        <v>8150</v>
      </c>
      <c r="HKL645">
        <v>43025</v>
      </c>
      <c r="HKO645" t="s">
        <v>8150</v>
      </c>
      <c r="HKP645">
        <v>43025</v>
      </c>
      <c r="HKS645" t="s">
        <v>8150</v>
      </c>
      <c r="HKT645">
        <v>43025</v>
      </c>
      <c r="HKW645" t="s">
        <v>8150</v>
      </c>
      <c r="HKX645">
        <v>43025</v>
      </c>
      <c r="HLA645" t="s">
        <v>8150</v>
      </c>
      <c r="HLB645">
        <v>43025</v>
      </c>
      <c r="HLE645" t="s">
        <v>8150</v>
      </c>
      <c r="HLF645">
        <v>43025</v>
      </c>
      <c r="HLI645" t="s">
        <v>8150</v>
      </c>
      <c r="HLJ645">
        <v>43025</v>
      </c>
      <c r="HLM645" t="s">
        <v>8150</v>
      </c>
      <c r="HLN645">
        <v>43025</v>
      </c>
      <c r="HLQ645" t="s">
        <v>8150</v>
      </c>
      <c r="HLR645">
        <v>43025</v>
      </c>
      <c r="HLU645" t="s">
        <v>8150</v>
      </c>
      <c r="HLV645">
        <v>43025</v>
      </c>
      <c r="HLY645" t="s">
        <v>8150</v>
      </c>
      <c r="HLZ645">
        <v>43025</v>
      </c>
      <c r="HMC645" t="s">
        <v>8150</v>
      </c>
      <c r="HMD645">
        <v>43025</v>
      </c>
      <c r="HMG645" t="s">
        <v>8150</v>
      </c>
      <c r="HMH645">
        <v>43025</v>
      </c>
      <c r="HMK645" t="s">
        <v>8150</v>
      </c>
      <c r="HML645">
        <v>43025</v>
      </c>
      <c r="HMO645" t="s">
        <v>8150</v>
      </c>
      <c r="HMP645">
        <v>43025</v>
      </c>
      <c r="HMS645" t="s">
        <v>8150</v>
      </c>
      <c r="HMT645">
        <v>43025</v>
      </c>
      <c r="HMW645" t="s">
        <v>8150</v>
      </c>
      <c r="HMX645">
        <v>43025</v>
      </c>
      <c r="HNA645" t="s">
        <v>8150</v>
      </c>
      <c r="HNB645">
        <v>43025</v>
      </c>
      <c r="HNE645" t="s">
        <v>8150</v>
      </c>
      <c r="HNF645">
        <v>43025</v>
      </c>
      <c r="HNI645" t="s">
        <v>8150</v>
      </c>
      <c r="HNJ645">
        <v>43025</v>
      </c>
      <c r="HNM645" t="s">
        <v>8150</v>
      </c>
      <c r="HNN645">
        <v>43025</v>
      </c>
      <c r="HNQ645" t="s">
        <v>8150</v>
      </c>
      <c r="HNR645">
        <v>43025</v>
      </c>
      <c r="HNU645" t="s">
        <v>8150</v>
      </c>
      <c r="HNV645">
        <v>43025</v>
      </c>
      <c r="HNY645" t="s">
        <v>8150</v>
      </c>
      <c r="HNZ645">
        <v>43025</v>
      </c>
      <c r="HOC645" t="s">
        <v>8150</v>
      </c>
      <c r="HOD645">
        <v>43025</v>
      </c>
      <c r="HOG645" t="s">
        <v>8150</v>
      </c>
      <c r="HOH645">
        <v>43025</v>
      </c>
      <c r="HOK645" t="s">
        <v>8150</v>
      </c>
      <c r="HOL645">
        <v>43025</v>
      </c>
      <c r="HOO645" t="s">
        <v>8150</v>
      </c>
      <c r="HOP645">
        <v>43025</v>
      </c>
      <c r="HOS645" t="s">
        <v>8150</v>
      </c>
      <c r="HOT645">
        <v>43025</v>
      </c>
      <c r="HOW645" t="s">
        <v>8150</v>
      </c>
      <c r="HOX645">
        <v>43025</v>
      </c>
      <c r="HPA645" t="s">
        <v>8150</v>
      </c>
      <c r="HPB645">
        <v>43025</v>
      </c>
      <c r="HPE645" t="s">
        <v>8150</v>
      </c>
      <c r="HPF645">
        <v>43025</v>
      </c>
      <c r="HPI645" t="s">
        <v>8150</v>
      </c>
      <c r="HPJ645">
        <v>43025</v>
      </c>
      <c r="HPM645" t="s">
        <v>8150</v>
      </c>
      <c r="HPN645">
        <v>43025</v>
      </c>
      <c r="HPQ645" t="s">
        <v>8150</v>
      </c>
      <c r="HPR645">
        <v>43025</v>
      </c>
      <c r="HPU645" t="s">
        <v>8150</v>
      </c>
      <c r="HPV645">
        <v>43025</v>
      </c>
      <c r="HPY645" t="s">
        <v>8150</v>
      </c>
      <c r="HPZ645">
        <v>43025</v>
      </c>
      <c r="HQC645" t="s">
        <v>8150</v>
      </c>
      <c r="HQD645">
        <v>43025</v>
      </c>
      <c r="HQG645" t="s">
        <v>8150</v>
      </c>
      <c r="HQH645">
        <v>43025</v>
      </c>
      <c r="HQK645" t="s">
        <v>8150</v>
      </c>
      <c r="HQL645">
        <v>43025</v>
      </c>
      <c r="HQO645" t="s">
        <v>8150</v>
      </c>
      <c r="HQP645">
        <v>43025</v>
      </c>
      <c r="HQS645" t="s">
        <v>8150</v>
      </c>
      <c r="HQT645">
        <v>43025</v>
      </c>
      <c r="HQW645" t="s">
        <v>8150</v>
      </c>
      <c r="HQX645">
        <v>43025</v>
      </c>
      <c r="HRA645" t="s">
        <v>8150</v>
      </c>
      <c r="HRB645">
        <v>43025</v>
      </c>
      <c r="HRE645" t="s">
        <v>8150</v>
      </c>
      <c r="HRF645">
        <v>43025</v>
      </c>
      <c r="HRI645" t="s">
        <v>8150</v>
      </c>
      <c r="HRJ645">
        <v>43025</v>
      </c>
      <c r="HRM645" t="s">
        <v>8150</v>
      </c>
      <c r="HRN645">
        <v>43025</v>
      </c>
      <c r="HRQ645" t="s">
        <v>8150</v>
      </c>
      <c r="HRR645">
        <v>43025</v>
      </c>
      <c r="HRU645" t="s">
        <v>8150</v>
      </c>
      <c r="HRV645">
        <v>43025</v>
      </c>
      <c r="HRY645" t="s">
        <v>8150</v>
      </c>
      <c r="HRZ645">
        <v>43025</v>
      </c>
      <c r="HSC645" t="s">
        <v>8150</v>
      </c>
      <c r="HSD645">
        <v>43025</v>
      </c>
      <c r="HSG645" t="s">
        <v>8150</v>
      </c>
      <c r="HSH645">
        <v>43025</v>
      </c>
      <c r="HSK645" t="s">
        <v>8150</v>
      </c>
      <c r="HSL645">
        <v>43025</v>
      </c>
      <c r="HSO645" t="s">
        <v>8150</v>
      </c>
      <c r="HSP645">
        <v>43025</v>
      </c>
      <c r="HSS645" t="s">
        <v>8150</v>
      </c>
      <c r="HST645">
        <v>43025</v>
      </c>
      <c r="HSW645" t="s">
        <v>8150</v>
      </c>
      <c r="HSX645">
        <v>43025</v>
      </c>
      <c r="HTA645" t="s">
        <v>8150</v>
      </c>
      <c r="HTB645">
        <v>43025</v>
      </c>
      <c r="HTE645" t="s">
        <v>8150</v>
      </c>
      <c r="HTF645">
        <v>43025</v>
      </c>
      <c r="HTI645" t="s">
        <v>8150</v>
      </c>
      <c r="HTJ645">
        <v>43025</v>
      </c>
      <c r="HTM645" t="s">
        <v>8150</v>
      </c>
      <c r="HTN645">
        <v>43025</v>
      </c>
      <c r="HTQ645" t="s">
        <v>8150</v>
      </c>
      <c r="HTR645">
        <v>43025</v>
      </c>
      <c r="HTU645" t="s">
        <v>8150</v>
      </c>
      <c r="HTV645">
        <v>43025</v>
      </c>
      <c r="HTY645" t="s">
        <v>8150</v>
      </c>
      <c r="HTZ645">
        <v>43025</v>
      </c>
      <c r="HUC645" t="s">
        <v>8150</v>
      </c>
      <c r="HUD645">
        <v>43025</v>
      </c>
      <c r="HUG645" t="s">
        <v>8150</v>
      </c>
      <c r="HUH645">
        <v>43025</v>
      </c>
      <c r="HUK645" t="s">
        <v>8150</v>
      </c>
      <c r="HUL645">
        <v>43025</v>
      </c>
      <c r="HUO645" t="s">
        <v>8150</v>
      </c>
      <c r="HUP645">
        <v>43025</v>
      </c>
      <c r="HUS645" t="s">
        <v>8150</v>
      </c>
      <c r="HUT645">
        <v>43025</v>
      </c>
      <c r="HUW645" t="s">
        <v>8150</v>
      </c>
      <c r="HUX645">
        <v>43025</v>
      </c>
      <c r="HVA645" t="s">
        <v>8150</v>
      </c>
      <c r="HVB645">
        <v>43025</v>
      </c>
      <c r="HVE645" t="s">
        <v>8150</v>
      </c>
      <c r="HVF645">
        <v>43025</v>
      </c>
      <c r="HVI645" t="s">
        <v>8150</v>
      </c>
      <c r="HVJ645">
        <v>43025</v>
      </c>
      <c r="HVM645" t="s">
        <v>8150</v>
      </c>
      <c r="HVN645">
        <v>43025</v>
      </c>
      <c r="HVQ645" t="s">
        <v>8150</v>
      </c>
      <c r="HVR645">
        <v>43025</v>
      </c>
      <c r="HVU645" t="s">
        <v>8150</v>
      </c>
      <c r="HVV645">
        <v>43025</v>
      </c>
      <c r="HVY645" t="s">
        <v>8150</v>
      </c>
      <c r="HVZ645">
        <v>43025</v>
      </c>
      <c r="HWC645" t="s">
        <v>8150</v>
      </c>
      <c r="HWD645">
        <v>43025</v>
      </c>
      <c r="HWG645" t="s">
        <v>8150</v>
      </c>
      <c r="HWH645">
        <v>43025</v>
      </c>
      <c r="HWK645" t="s">
        <v>8150</v>
      </c>
      <c r="HWL645">
        <v>43025</v>
      </c>
      <c r="HWO645" t="s">
        <v>8150</v>
      </c>
      <c r="HWP645">
        <v>43025</v>
      </c>
      <c r="HWS645" t="s">
        <v>8150</v>
      </c>
      <c r="HWT645">
        <v>43025</v>
      </c>
      <c r="HWW645" t="s">
        <v>8150</v>
      </c>
      <c r="HWX645">
        <v>43025</v>
      </c>
      <c r="HXA645" t="s">
        <v>8150</v>
      </c>
      <c r="HXB645">
        <v>43025</v>
      </c>
      <c r="HXE645" t="s">
        <v>8150</v>
      </c>
      <c r="HXF645">
        <v>43025</v>
      </c>
      <c r="HXI645" t="s">
        <v>8150</v>
      </c>
      <c r="HXJ645">
        <v>43025</v>
      </c>
      <c r="HXM645" t="s">
        <v>8150</v>
      </c>
      <c r="HXN645">
        <v>43025</v>
      </c>
      <c r="HXQ645" t="s">
        <v>8150</v>
      </c>
      <c r="HXR645">
        <v>43025</v>
      </c>
      <c r="HXU645" t="s">
        <v>8150</v>
      </c>
      <c r="HXV645">
        <v>43025</v>
      </c>
      <c r="HXY645" t="s">
        <v>8150</v>
      </c>
      <c r="HXZ645">
        <v>43025</v>
      </c>
      <c r="HYC645" t="s">
        <v>8150</v>
      </c>
      <c r="HYD645">
        <v>43025</v>
      </c>
      <c r="HYG645" t="s">
        <v>8150</v>
      </c>
      <c r="HYH645">
        <v>43025</v>
      </c>
      <c r="HYK645" t="s">
        <v>8150</v>
      </c>
      <c r="HYL645">
        <v>43025</v>
      </c>
      <c r="HYO645" t="s">
        <v>8150</v>
      </c>
      <c r="HYP645">
        <v>43025</v>
      </c>
      <c r="HYS645" t="s">
        <v>8150</v>
      </c>
      <c r="HYT645">
        <v>43025</v>
      </c>
      <c r="HYW645" t="s">
        <v>8150</v>
      </c>
      <c r="HYX645">
        <v>43025</v>
      </c>
      <c r="HZA645" t="s">
        <v>8150</v>
      </c>
      <c r="HZB645">
        <v>43025</v>
      </c>
      <c r="HZE645" t="s">
        <v>8150</v>
      </c>
      <c r="HZF645">
        <v>43025</v>
      </c>
      <c r="HZI645" t="s">
        <v>8150</v>
      </c>
      <c r="HZJ645">
        <v>43025</v>
      </c>
      <c r="HZM645" t="s">
        <v>8150</v>
      </c>
      <c r="HZN645">
        <v>43025</v>
      </c>
      <c r="HZQ645" t="s">
        <v>8150</v>
      </c>
      <c r="HZR645">
        <v>43025</v>
      </c>
      <c r="HZU645" t="s">
        <v>8150</v>
      </c>
      <c r="HZV645">
        <v>43025</v>
      </c>
      <c r="HZY645" t="s">
        <v>8150</v>
      </c>
      <c r="HZZ645">
        <v>43025</v>
      </c>
      <c r="IAC645" t="s">
        <v>8150</v>
      </c>
      <c r="IAD645">
        <v>43025</v>
      </c>
      <c r="IAG645" t="s">
        <v>8150</v>
      </c>
      <c r="IAH645">
        <v>43025</v>
      </c>
      <c r="IAK645" t="s">
        <v>8150</v>
      </c>
      <c r="IAL645">
        <v>43025</v>
      </c>
      <c r="IAO645" t="s">
        <v>8150</v>
      </c>
      <c r="IAP645">
        <v>43025</v>
      </c>
      <c r="IAS645" t="s">
        <v>8150</v>
      </c>
      <c r="IAT645">
        <v>43025</v>
      </c>
      <c r="IAW645" t="s">
        <v>8150</v>
      </c>
      <c r="IAX645">
        <v>43025</v>
      </c>
      <c r="IBA645" t="s">
        <v>8150</v>
      </c>
      <c r="IBB645">
        <v>43025</v>
      </c>
      <c r="IBE645" t="s">
        <v>8150</v>
      </c>
      <c r="IBF645">
        <v>43025</v>
      </c>
      <c r="IBI645" t="s">
        <v>8150</v>
      </c>
      <c r="IBJ645">
        <v>43025</v>
      </c>
      <c r="IBM645" t="s">
        <v>8150</v>
      </c>
      <c r="IBN645">
        <v>43025</v>
      </c>
      <c r="IBQ645" t="s">
        <v>8150</v>
      </c>
      <c r="IBR645">
        <v>43025</v>
      </c>
      <c r="IBU645" t="s">
        <v>8150</v>
      </c>
      <c r="IBV645">
        <v>43025</v>
      </c>
      <c r="IBY645" t="s">
        <v>8150</v>
      </c>
      <c r="IBZ645">
        <v>43025</v>
      </c>
      <c r="ICC645" t="s">
        <v>8150</v>
      </c>
      <c r="ICD645">
        <v>43025</v>
      </c>
      <c r="ICG645" t="s">
        <v>8150</v>
      </c>
      <c r="ICH645">
        <v>43025</v>
      </c>
      <c r="ICK645" t="s">
        <v>8150</v>
      </c>
      <c r="ICL645">
        <v>43025</v>
      </c>
      <c r="ICO645" t="s">
        <v>8150</v>
      </c>
      <c r="ICP645">
        <v>43025</v>
      </c>
      <c r="ICS645" t="s">
        <v>8150</v>
      </c>
      <c r="ICT645">
        <v>43025</v>
      </c>
      <c r="ICW645" t="s">
        <v>8150</v>
      </c>
      <c r="ICX645">
        <v>43025</v>
      </c>
      <c r="IDA645" t="s">
        <v>8150</v>
      </c>
      <c r="IDB645">
        <v>43025</v>
      </c>
      <c r="IDE645" t="s">
        <v>8150</v>
      </c>
      <c r="IDF645">
        <v>43025</v>
      </c>
      <c r="IDI645" t="s">
        <v>8150</v>
      </c>
      <c r="IDJ645">
        <v>43025</v>
      </c>
      <c r="IDM645" t="s">
        <v>8150</v>
      </c>
      <c r="IDN645">
        <v>43025</v>
      </c>
      <c r="IDQ645" t="s">
        <v>8150</v>
      </c>
      <c r="IDR645">
        <v>43025</v>
      </c>
      <c r="IDU645" t="s">
        <v>8150</v>
      </c>
      <c r="IDV645">
        <v>43025</v>
      </c>
      <c r="IDY645" t="s">
        <v>8150</v>
      </c>
      <c r="IDZ645">
        <v>43025</v>
      </c>
      <c r="IEC645" t="s">
        <v>8150</v>
      </c>
      <c r="IED645">
        <v>43025</v>
      </c>
      <c r="IEG645" t="s">
        <v>8150</v>
      </c>
      <c r="IEH645">
        <v>43025</v>
      </c>
      <c r="IEK645" t="s">
        <v>8150</v>
      </c>
      <c r="IEL645">
        <v>43025</v>
      </c>
      <c r="IEO645" t="s">
        <v>8150</v>
      </c>
      <c r="IEP645">
        <v>43025</v>
      </c>
      <c r="IES645" t="s">
        <v>8150</v>
      </c>
      <c r="IET645">
        <v>43025</v>
      </c>
      <c r="IEW645" t="s">
        <v>8150</v>
      </c>
      <c r="IEX645">
        <v>43025</v>
      </c>
      <c r="IFA645" t="s">
        <v>8150</v>
      </c>
      <c r="IFB645">
        <v>43025</v>
      </c>
      <c r="IFE645" t="s">
        <v>8150</v>
      </c>
      <c r="IFF645">
        <v>43025</v>
      </c>
      <c r="IFI645" t="s">
        <v>8150</v>
      </c>
      <c r="IFJ645">
        <v>43025</v>
      </c>
      <c r="IFM645" t="s">
        <v>8150</v>
      </c>
      <c r="IFN645">
        <v>43025</v>
      </c>
      <c r="IFQ645" t="s">
        <v>8150</v>
      </c>
      <c r="IFR645">
        <v>43025</v>
      </c>
      <c r="IFU645" t="s">
        <v>8150</v>
      </c>
      <c r="IFV645">
        <v>43025</v>
      </c>
      <c r="IFY645" t="s">
        <v>8150</v>
      </c>
      <c r="IFZ645">
        <v>43025</v>
      </c>
      <c r="IGC645" t="s">
        <v>8150</v>
      </c>
      <c r="IGD645">
        <v>43025</v>
      </c>
      <c r="IGG645" t="s">
        <v>8150</v>
      </c>
      <c r="IGH645">
        <v>43025</v>
      </c>
      <c r="IGK645" t="s">
        <v>8150</v>
      </c>
      <c r="IGL645">
        <v>43025</v>
      </c>
      <c r="IGO645" t="s">
        <v>8150</v>
      </c>
      <c r="IGP645">
        <v>43025</v>
      </c>
      <c r="IGS645" t="s">
        <v>8150</v>
      </c>
      <c r="IGT645">
        <v>43025</v>
      </c>
      <c r="IGW645" t="s">
        <v>8150</v>
      </c>
      <c r="IGX645">
        <v>43025</v>
      </c>
      <c r="IHA645" t="s">
        <v>8150</v>
      </c>
      <c r="IHB645">
        <v>43025</v>
      </c>
      <c r="IHE645" t="s">
        <v>8150</v>
      </c>
      <c r="IHF645">
        <v>43025</v>
      </c>
      <c r="IHI645" t="s">
        <v>8150</v>
      </c>
      <c r="IHJ645">
        <v>43025</v>
      </c>
      <c r="IHM645" t="s">
        <v>8150</v>
      </c>
      <c r="IHN645">
        <v>43025</v>
      </c>
      <c r="IHQ645" t="s">
        <v>8150</v>
      </c>
      <c r="IHR645">
        <v>43025</v>
      </c>
      <c r="IHU645" t="s">
        <v>8150</v>
      </c>
      <c r="IHV645">
        <v>43025</v>
      </c>
      <c r="IHY645" t="s">
        <v>8150</v>
      </c>
      <c r="IHZ645">
        <v>43025</v>
      </c>
      <c r="IIC645" t="s">
        <v>8150</v>
      </c>
      <c r="IID645">
        <v>43025</v>
      </c>
      <c r="IIG645" t="s">
        <v>8150</v>
      </c>
      <c r="IIH645">
        <v>43025</v>
      </c>
      <c r="IIK645" t="s">
        <v>8150</v>
      </c>
      <c r="IIL645">
        <v>43025</v>
      </c>
      <c r="IIO645" t="s">
        <v>8150</v>
      </c>
      <c r="IIP645">
        <v>43025</v>
      </c>
      <c r="IIS645" t="s">
        <v>8150</v>
      </c>
      <c r="IIT645">
        <v>43025</v>
      </c>
      <c r="IIW645" t="s">
        <v>8150</v>
      </c>
      <c r="IIX645">
        <v>43025</v>
      </c>
      <c r="IJA645" t="s">
        <v>8150</v>
      </c>
      <c r="IJB645">
        <v>43025</v>
      </c>
      <c r="IJE645" t="s">
        <v>8150</v>
      </c>
      <c r="IJF645">
        <v>43025</v>
      </c>
      <c r="IJI645" t="s">
        <v>8150</v>
      </c>
      <c r="IJJ645">
        <v>43025</v>
      </c>
      <c r="IJM645" t="s">
        <v>8150</v>
      </c>
      <c r="IJN645">
        <v>43025</v>
      </c>
      <c r="IJQ645" t="s">
        <v>8150</v>
      </c>
      <c r="IJR645">
        <v>43025</v>
      </c>
      <c r="IJU645" t="s">
        <v>8150</v>
      </c>
      <c r="IJV645">
        <v>43025</v>
      </c>
      <c r="IJY645" t="s">
        <v>8150</v>
      </c>
      <c r="IJZ645">
        <v>43025</v>
      </c>
      <c r="IKC645" t="s">
        <v>8150</v>
      </c>
      <c r="IKD645">
        <v>43025</v>
      </c>
      <c r="IKG645" t="s">
        <v>8150</v>
      </c>
      <c r="IKH645">
        <v>43025</v>
      </c>
      <c r="IKK645" t="s">
        <v>8150</v>
      </c>
      <c r="IKL645">
        <v>43025</v>
      </c>
      <c r="IKO645" t="s">
        <v>8150</v>
      </c>
      <c r="IKP645">
        <v>43025</v>
      </c>
      <c r="IKS645" t="s">
        <v>8150</v>
      </c>
      <c r="IKT645">
        <v>43025</v>
      </c>
      <c r="IKW645" t="s">
        <v>8150</v>
      </c>
      <c r="IKX645">
        <v>43025</v>
      </c>
      <c r="ILA645" t="s">
        <v>8150</v>
      </c>
      <c r="ILB645">
        <v>43025</v>
      </c>
      <c r="ILE645" t="s">
        <v>8150</v>
      </c>
      <c r="ILF645">
        <v>43025</v>
      </c>
      <c r="ILI645" t="s">
        <v>8150</v>
      </c>
      <c r="ILJ645">
        <v>43025</v>
      </c>
      <c r="ILM645" t="s">
        <v>8150</v>
      </c>
      <c r="ILN645">
        <v>43025</v>
      </c>
      <c r="ILQ645" t="s">
        <v>8150</v>
      </c>
      <c r="ILR645">
        <v>43025</v>
      </c>
      <c r="ILU645" t="s">
        <v>8150</v>
      </c>
      <c r="ILV645">
        <v>43025</v>
      </c>
      <c r="ILY645" t="s">
        <v>8150</v>
      </c>
      <c r="ILZ645">
        <v>43025</v>
      </c>
      <c r="IMC645" t="s">
        <v>8150</v>
      </c>
      <c r="IMD645">
        <v>43025</v>
      </c>
      <c r="IMG645" t="s">
        <v>8150</v>
      </c>
      <c r="IMH645">
        <v>43025</v>
      </c>
      <c r="IMK645" t="s">
        <v>8150</v>
      </c>
      <c r="IML645">
        <v>43025</v>
      </c>
      <c r="IMO645" t="s">
        <v>8150</v>
      </c>
      <c r="IMP645">
        <v>43025</v>
      </c>
      <c r="IMS645" t="s">
        <v>8150</v>
      </c>
      <c r="IMT645">
        <v>43025</v>
      </c>
      <c r="IMW645" t="s">
        <v>8150</v>
      </c>
      <c r="IMX645">
        <v>43025</v>
      </c>
      <c r="INA645" t="s">
        <v>8150</v>
      </c>
      <c r="INB645">
        <v>43025</v>
      </c>
      <c r="INE645" t="s">
        <v>8150</v>
      </c>
      <c r="INF645">
        <v>43025</v>
      </c>
      <c r="INI645" t="s">
        <v>8150</v>
      </c>
      <c r="INJ645">
        <v>43025</v>
      </c>
      <c r="INM645" t="s">
        <v>8150</v>
      </c>
      <c r="INN645">
        <v>43025</v>
      </c>
      <c r="INQ645" t="s">
        <v>8150</v>
      </c>
      <c r="INR645">
        <v>43025</v>
      </c>
      <c r="INU645" t="s">
        <v>8150</v>
      </c>
      <c r="INV645">
        <v>43025</v>
      </c>
      <c r="INY645" t="s">
        <v>8150</v>
      </c>
      <c r="INZ645">
        <v>43025</v>
      </c>
      <c r="IOC645" t="s">
        <v>8150</v>
      </c>
      <c r="IOD645">
        <v>43025</v>
      </c>
      <c r="IOG645" t="s">
        <v>8150</v>
      </c>
      <c r="IOH645">
        <v>43025</v>
      </c>
      <c r="IOK645" t="s">
        <v>8150</v>
      </c>
      <c r="IOL645">
        <v>43025</v>
      </c>
      <c r="IOO645" t="s">
        <v>8150</v>
      </c>
      <c r="IOP645">
        <v>43025</v>
      </c>
      <c r="IOS645" t="s">
        <v>8150</v>
      </c>
      <c r="IOT645">
        <v>43025</v>
      </c>
      <c r="IOW645" t="s">
        <v>8150</v>
      </c>
      <c r="IOX645">
        <v>43025</v>
      </c>
      <c r="IPA645" t="s">
        <v>8150</v>
      </c>
      <c r="IPB645">
        <v>43025</v>
      </c>
      <c r="IPE645" t="s">
        <v>8150</v>
      </c>
      <c r="IPF645">
        <v>43025</v>
      </c>
      <c r="IPI645" t="s">
        <v>8150</v>
      </c>
      <c r="IPJ645">
        <v>43025</v>
      </c>
      <c r="IPM645" t="s">
        <v>8150</v>
      </c>
      <c r="IPN645">
        <v>43025</v>
      </c>
      <c r="IPQ645" t="s">
        <v>8150</v>
      </c>
      <c r="IPR645">
        <v>43025</v>
      </c>
      <c r="IPU645" t="s">
        <v>8150</v>
      </c>
      <c r="IPV645">
        <v>43025</v>
      </c>
      <c r="IPY645" t="s">
        <v>8150</v>
      </c>
      <c r="IPZ645">
        <v>43025</v>
      </c>
      <c r="IQC645" t="s">
        <v>8150</v>
      </c>
      <c r="IQD645">
        <v>43025</v>
      </c>
      <c r="IQG645" t="s">
        <v>8150</v>
      </c>
      <c r="IQH645">
        <v>43025</v>
      </c>
      <c r="IQK645" t="s">
        <v>8150</v>
      </c>
      <c r="IQL645">
        <v>43025</v>
      </c>
      <c r="IQO645" t="s">
        <v>8150</v>
      </c>
      <c r="IQP645">
        <v>43025</v>
      </c>
      <c r="IQS645" t="s">
        <v>8150</v>
      </c>
      <c r="IQT645">
        <v>43025</v>
      </c>
      <c r="IQW645" t="s">
        <v>8150</v>
      </c>
      <c r="IQX645">
        <v>43025</v>
      </c>
      <c r="IRA645" t="s">
        <v>8150</v>
      </c>
      <c r="IRB645">
        <v>43025</v>
      </c>
      <c r="IRE645" t="s">
        <v>8150</v>
      </c>
      <c r="IRF645">
        <v>43025</v>
      </c>
      <c r="IRI645" t="s">
        <v>8150</v>
      </c>
      <c r="IRJ645">
        <v>43025</v>
      </c>
      <c r="IRM645" t="s">
        <v>8150</v>
      </c>
      <c r="IRN645">
        <v>43025</v>
      </c>
      <c r="IRQ645" t="s">
        <v>8150</v>
      </c>
      <c r="IRR645">
        <v>43025</v>
      </c>
      <c r="IRU645" t="s">
        <v>8150</v>
      </c>
      <c r="IRV645">
        <v>43025</v>
      </c>
      <c r="IRY645" t="s">
        <v>8150</v>
      </c>
      <c r="IRZ645">
        <v>43025</v>
      </c>
      <c r="ISC645" t="s">
        <v>8150</v>
      </c>
      <c r="ISD645">
        <v>43025</v>
      </c>
      <c r="ISG645" t="s">
        <v>8150</v>
      </c>
      <c r="ISH645">
        <v>43025</v>
      </c>
      <c r="ISK645" t="s">
        <v>8150</v>
      </c>
      <c r="ISL645">
        <v>43025</v>
      </c>
      <c r="ISO645" t="s">
        <v>8150</v>
      </c>
      <c r="ISP645">
        <v>43025</v>
      </c>
      <c r="ISS645" t="s">
        <v>8150</v>
      </c>
      <c r="IST645">
        <v>43025</v>
      </c>
      <c r="ISW645" t="s">
        <v>8150</v>
      </c>
      <c r="ISX645">
        <v>43025</v>
      </c>
      <c r="ITA645" t="s">
        <v>8150</v>
      </c>
      <c r="ITB645">
        <v>43025</v>
      </c>
      <c r="ITE645" t="s">
        <v>8150</v>
      </c>
      <c r="ITF645">
        <v>43025</v>
      </c>
      <c r="ITI645" t="s">
        <v>8150</v>
      </c>
      <c r="ITJ645">
        <v>43025</v>
      </c>
      <c r="ITM645" t="s">
        <v>8150</v>
      </c>
      <c r="ITN645">
        <v>43025</v>
      </c>
      <c r="ITQ645" t="s">
        <v>8150</v>
      </c>
      <c r="ITR645">
        <v>43025</v>
      </c>
      <c r="ITU645" t="s">
        <v>8150</v>
      </c>
      <c r="ITV645">
        <v>43025</v>
      </c>
      <c r="ITY645" t="s">
        <v>8150</v>
      </c>
      <c r="ITZ645">
        <v>43025</v>
      </c>
      <c r="IUC645" t="s">
        <v>8150</v>
      </c>
      <c r="IUD645">
        <v>43025</v>
      </c>
      <c r="IUG645" t="s">
        <v>8150</v>
      </c>
      <c r="IUH645">
        <v>43025</v>
      </c>
      <c r="IUK645" t="s">
        <v>8150</v>
      </c>
      <c r="IUL645">
        <v>43025</v>
      </c>
      <c r="IUO645" t="s">
        <v>8150</v>
      </c>
      <c r="IUP645">
        <v>43025</v>
      </c>
      <c r="IUS645" t="s">
        <v>8150</v>
      </c>
      <c r="IUT645">
        <v>43025</v>
      </c>
      <c r="IUW645" t="s">
        <v>8150</v>
      </c>
      <c r="IUX645">
        <v>43025</v>
      </c>
      <c r="IVA645" t="s">
        <v>8150</v>
      </c>
      <c r="IVB645">
        <v>43025</v>
      </c>
      <c r="IVE645" t="s">
        <v>8150</v>
      </c>
      <c r="IVF645">
        <v>43025</v>
      </c>
      <c r="IVI645" t="s">
        <v>8150</v>
      </c>
      <c r="IVJ645">
        <v>43025</v>
      </c>
      <c r="IVM645" t="s">
        <v>8150</v>
      </c>
      <c r="IVN645">
        <v>43025</v>
      </c>
      <c r="IVQ645" t="s">
        <v>8150</v>
      </c>
      <c r="IVR645">
        <v>43025</v>
      </c>
      <c r="IVU645" t="s">
        <v>8150</v>
      </c>
      <c r="IVV645">
        <v>43025</v>
      </c>
      <c r="IVY645" t="s">
        <v>8150</v>
      </c>
      <c r="IVZ645">
        <v>43025</v>
      </c>
      <c r="IWC645" t="s">
        <v>8150</v>
      </c>
      <c r="IWD645">
        <v>43025</v>
      </c>
      <c r="IWG645" t="s">
        <v>8150</v>
      </c>
      <c r="IWH645">
        <v>43025</v>
      </c>
      <c r="IWK645" t="s">
        <v>8150</v>
      </c>
      <c r="IWL645">
        <v>43025</v>
      </c>
      <c r="IWO645" t="s">
        <v>8150</v>
      </c>
      <c r="IWP645">
        <v>43025</v>
      </c>
      <c r="IWS645" t="s">
        <v>8150</v>
      </c>
      <c r="IWT645">
        <v>43025</v>
      </c>
      <c r="IWW645" t="s">
        <v>8150</v>
      </c>
      <c r="IWX645">
        <v>43025</v>
      </c>
      <c r="IXA645" t="s">
        <v>8150</v>
      </c>
      <c r="IXB645">
        <v>43025</v>
      </c>
      <c r="IXE645" t="s">
        <v>8150</v>
      </c>
      <c r="IXF645">
        <v>43025</v>
      </c>
      <c r="IXI645" t="s">
        <v>8150</v>
      </c>
      <c r="IXJ645">
        <v>43025</v>
      </c>
      <c r="IXM645" t="s">
        <v>8150</v>
      </c>
      <c r="IXN645">
        <v>43025</v>
      </c>
      <c r="IXQ645" t="s">
        <v>8150</v>
      </c>
      <c r="IXR645">
        <v>43025</v>
      </c>
      <c r="IXU645" t="s">
        <v>8150</v>
      </c>
      <c r="IXV645">
        <v>43025</v>
      </c>
      <c r="IXY645" t="s">
        <v>8150</v>
      </c>
      <c r="IXZ645">
        <v>43025</v>
      </c>
      <c r="IYC645" t="s">
        <v>8150</v>
      </c>
      <c r="IYD645">
        <v>43025</v>
      </c>
      <c r="IYG645" t="s">
        <v>8150</v>
      </c>
      <c r="IYH645">
        <v>43025</v>
      </c>
      <c r="IYK645" t="s">
        <v>8150</v>
      </c>
      <c r="IYL645">
        <v>43025</v>
      </c>
      <c r="IYO645" t="s">
        <v>8150</v>
      </c>
      <c r="IYP645">
        <v>43025</v>
      </c>
      <c r="IYS645" t="s">
        <v>8150</v>
      </c>
      <c r="IYT645">
        <v>43025</v>
      </c>
      <c r="IYW645" t="s">
        <v>8150</v>
      </c>
      <c r="IYX645">
        <v>43025</v>
      </c>
      <c r="IZA645" t="s">
        <v>8150</v>
      </c>
      <c r="IZB645">
        <v>43025</v>
      </c>
      <c r="IZE645" t="s">
        <v>8150</v>
      </c>
      <c r="IZF645">
        <v>43025</v>
      </c>
      <c r="IZI645" t="s">
        <v>8150</v>
      </c>
      <c r="IZJ645">
        <v>43025</v>
      </c>
      <c r="IZM645" t="s">
        <v>8150</v>
      </c>
      <c r="IZN645">
        <v>43025</v>
      </c>
      <c r="IZQ645" t="s">
        <v>8150</v>
      </c>
      <c r="IZR645">
        <v>43025</v>
      </c>
      <c r="IZU645" t="s">
        <v>8150</v>
      </c>
      <c r="IZV645">
        <v>43025</v>
      </c>
      <c r="IZY645" t="s">
        <v>8150</v>
      </c>
      <c r="IZZ645">
        <v>43025</v>
      </c>
      <c r="JAC645" t="s">
        <v>8150</v>
      </c>
      <c r="JAD645">
        <v>43025</v>
      </c>
      <c r="JAG645" t="s">
        <v>8150</v>
      </c>
      <c r="JAH645">
        <v>43025</v>
      </c>
      <c r="JAK645" t="s">
        <v>8150</v>
      </c>
      <c r="JAL645">
        <v>43025</v>
      </c>
      <c r="JAO645" t="s">
        <v>8150</v>
      </c>
      <c r="JAP645">
        <v>43025</v>
      </c>
      <c r="JAS645" t="s">
        <v>8150</v>
      </c>
      <c r="JAT645">
        <v>43025</v>
      </c>
      <c r="JAW645" t="s">
        <v>8150</v>
      </c>
      <c r="JAX645">
        <v>43025</v>
      </c>
      <c r="JBA645" t="s">
        <v>8150</v>
      </c>
      <c r="JBB645">
        <v>43025</v>
      </c>
      <c r="JBE645" t="s">
        <v>8150</v>
      </c>
      <c r="JBF645">
        <v>43025</v>
      </c>
      <c r="JBI645" t="s">
        <v>8150</v>
      </c>
      <c r="JBJ645">
        <v>43025</v>
      </c>
      <c r="JBM645" t="s">
        <v>8150</v>
      </c>
      <c r="JBN645">
        <v>43025</v>
      </c>
      <c r="JBQ645" t="s">
        <v>8150</v>
      </c>
      <c r="JBR645">
        <v>43025</v>
      </c>
      <c r="JBU645" t="s">
        <v>8150</v>
      </c>
      <c r="JBV645">
        <v>43025</v>
      </c>
      <c r="JBY645" t="s">
        <v>8150</v>
      </c>
      <c r="JBZ645">
        <v>43025</v>
      </c>
      <c r="JCC645" t="s">
        <v>8150</v>
      </c>
      <c r="JCD645">
        <v>43025</v>
      </c>
      <c r="JCG645" t="s">
        <v>8150</v>
      </c>
      <c r="JCH645">
        <v>43025</v>
      </c>
      <c r="JCK645" t="s">
        <v>8150</v>
      </c>
      <c r="JCL645">
        <v>43025</v>
      </c>
      <c r="JCO645" t="s">
        <v>8150</v>
      </c>
      <c r="JCP645">
        <v>43025</v>
      </c>
      <c r="JCS645" t="s">
        <v>8150</v>
      </c>
      <c r="JCT645">
        <v>43025</v>
      </c>
      <c r="JCW645" t="s">
        <v>8150</v>
      </c>
      <c r="JCX645">
        <v>43025</v>
      </c>
      <c r="JDA645" t="s">
        <v>8150</v>
      </c>
      <c r="JDB645">
        <v>43025</v>
      </c>
      <c r="JDE645" t="s">
        <v>8150</v>
      </c>
      <c r="JDF645">
        <v>43025</v>
      </c>
      <c r="JDI645" t="s">
        <v>8150</v>
      </c>
      <c r="JDJ645">
        <v>43025</v>
      </c>
      <c r="JDM645" t="s">
        <v>8150</v>
      </c>
      <c r="JDN645">
        <v>43025</v>
      </c>
      <c r="JDQ645" t="s">
        <v>8150</v>
      </c>
      <c r="JDR645">
        <v>43025</v>
      </c>
      <c r="JDU645" t="s">
        <v>8150</v>
      </c>
      <c r="JDV645">
        <v>43025</v>
      </c>
      <c r="JDY645" t="s">
        <v>8150</v>
      </c>
      <c r="JDZ645">
        <v>43025</v>
      </c>
      <c r="JEC645" t="s">
        <v>8150</v>
      </c>
      <c r="JED645">
        <v>43025</v>
      </c>
      <c r="JEG645" t="s">
        <v>8150</v>
      </c>
      <c r="JEH645">
        <v>43025</v>
      </c>
      <c r="JEK645" t="s">
        <v>8150</v>
      </c>
      <c r="JEL645">
        <v>43025</v>
      </c>
      <c r="JEO645" t="s">
        <v>8150</v>
      </c>
      <c r="JEP645">
        <v>43025</v>
      </c>
      <c r="JES645" t="s">
        <v>8150</v>
      </c>
      <c r="JET645">
        <v>43025</v>
      </c>
      <c r="JEW645" t="s">
        <v>8150</v>
      </c>
      <c r="JEX645">
        <v>43025</v>
      </c>
      <c r="JFA645" t="s">
        <v>8150</v>
      </c>
      <c r="JFB645">
        <v>43025</v>
      </c>
      <c r="JFE645" t="s">
        <v>8150</v>
      </c>
      <c r="JFF645">
        <v>43025</v>
      </c>
      <c r="JFI645" t="s">
        <v>8150</v>
      </c>
      <c r="JFJ645">
        <v>43025</v>
      </c>
      <c r="JFM645" t="s">
        <v>8150</v>
      </c>
      <c r="JFN645">
        <v>43025</v>
      </c>
      <c r="JFQ645" t="s">
        <v>8150</v>
      </c>
      <c r="JFR645">
        <v>43025</v>
      </c>
      <c r="JFU645" t="s">
        <v>8150</v>
      </c>
      <c r="JFV645">
        <v>43025</v>
      </c>
      <c r="JFY645" t="s">
        <v>8150</v>
      </c>
      <c r="JFZ645">
        <v>43025</v>
      </c>
      <c r="JGC645" t="s">
        <v>8150</v>
      </c>
      <c r="JGD645">
        <v>43025</v>
      </c>
      <c r="JGG645" t="s">
        <v>8150</v>
      </c>
      <c r="JGH645">
        <v>43025</v>
      </c>
      <c r="JGK645" t="s">
        <v>8150</v>
      </c>
      <c r="JGL645">
        <v>43025</v>
      </c>
      <c r="JGO645" t="s">
        <v>8150</v>
      </c>
      <c r="JGP645">
        <v>43025</v>
      </c>
      <c r="JGS645" t="s">
        <v>8150</v>
      </c>
      <c r="JGT645">
        <v>43025</v>
      </c>
      <c r="JGW645" t="s">
        <v>8150</v>
      </c>
      <c r="JGX645">
        <v>43025</v>
      </c>
      <c r="JHA645" t="s">
        <v>8150</v>
      </c>
      <c r="JHB645">
        <v>43025</v>
      </c>
      <c r="JHE645" t="s">
        <v>8150</v>
      </c>
      <c r="JHF645">
        <v>43025</v>
      </c>
      <c r="JHI645" t="s">
        <v>8150</v>
      </c>
      <c r="JHJ645">
        <v>43025</v>
      </c>
      <c r="JHM645" t="s">
        <v>8150</v>
      </c>
      <c r="JHN645">
        <v>43025</v>
      </c>
      <c r="JHQ645" t="s">
        <v>8150</v>
      </c>
      <c r="JHR645">
        <v>43025</v>
      </c>
      <c r="JHU645" t="s">
        <v>8150</v>
      </c>
      <c r="JHV645">
        <v>43025</v>
      </c>
      <c r="JHY645" t="s">
        <v>8150</v>
      </c>
      <c r="JHZ645">
        <v>43025</v>
      </c>
      <c r="JIC645" t="s">
        <v>8150</v>
      </c>
      <c r="JID645">
        <v>43025</v>
      </c>
      <c r="JIG645" t="s">
        <v>8150</v>
      </c>
      <c r="JIH645">
        <v>43025</v>
      </c>
      <c r="JIK645" t="s">
        <v>8150</v>
      </c>
      <c r="JIL645">
        <v>43025</v>
      </c>
      <c r="JIO645" t="s">
        <v>8150</v>
      </c>
      <c r="JIP645">
        <v>43025</v>
      </c>
      <c r="JIS645" t="s">
        <v>8150</v>
      </c>
      <c r="JIT645">
        <v>43025</v>
      </c>
      <c r="JIW645" t="s">
        <v>8150</v>
      </c>
      <c r="JIX645">
        <v>43025</v>
      </c>
      <c r="JJA645" t="s">
        <v>8150</v>
      </c>
      <c r="JJB645">
        <v>43025</v>
      </c>
      <c r="JJE645" t="s">
        <v>8150</v>
      </c>
      <c r="JJF645">
        <v>43025</v>
      </c>
      <c r="JJI645" t="s">
        <v>8150</v>
      </c>
      <c r="JJJ645">
        <v>43025</v>
      </c>
      <c r="JJM645" t="s">
        <v>8150</v>
      </c>
      <c r="JJN645">
        <v>43025</v>
      </c>
      <c r="JJQ645" t="s">
        <v>8150</v>
      </c>
      <c r="JJR645">
        <v>43025</v>
      </c>
      <c r="JJU645" t="s">
        <v>8150</v>
      </c>
      <c r="JJV645">
        <v>43025</v>
      </c>
      <c r="JJY645" t="s">
        <v>8150</v>
      </c>
      <c r="JJZ645">
        <v>43025</v>
      </c>
      <c r="JKC645" t="s">
        <v>8150</v>
      </c>
      <c r="JKD645">
        <v>43025</v>
      </c>
      <c r="JKG645" t="s">
        <v>8150</v>
      </c>
      <c r="JKH645">
        <v>43025</v>
      </c>
      <c r="JKK645" t="s">
        <v>8150</v>
      </c>
      <c r="JKL645">
        <v>43025</v>
      </c>
      <c r="JKO645" t="s">
        <v>8150</v>
      </c>
      <c r="JKP645">
        <v>43025</v>
      </c>
      <c r="JKS645" t="s">
        <v>8150</v>
      </c>
      <c r="JKT645">
        <v>43025</v>
      </c>
      <c r="JKW645" t="s">
        <v>8150</v>
      </c>
      <c r="JKX645">
        <v>43025</v>
      </c>
      <c r="JLA645" t="s">
        <v>8150</v>
      </c>
      <c r="JLB645">
        <v>43025</v>
      </c>
      <c r="JLE645" t="s">
        <v>8150</v>
      </c>
      <c r="JLF645">
        <v>43025</v>
      </c>
      <c r="JLI645" t="s">
        <v>8150</v>
      </c>
      <c r="JLJ645">
        <v>43025</v>
      </c>
      <c r="JLM645" t="s">
        <v>8150</v>
      </c>
      <c r="JLN645">
        <v>43025</v>
      </c>
      <c r="JLQ645" t="s">
        <v>8150</v>
      </c>
      <c r="JLR645">
        <v>43025</v>
      </c>
      <c r="JLU645" t="s">
        <v>8150</v>
      </c>
      <c r="JLV645">
        <v>43025</v>
      </c>
      <c r="JLY645" t="s">
        <v>8150</v>
      </c>
      <c r="JLZ645">
        <v>43025</v>
      </c>
      <c r="JMC645" t="s">
        <v>8150</v>
      </c>
      <c r="JMD645">
        <v>43025</v>
      </c>
      <c r="JMG645" t="s">
        <v>8150</v>
      </c>
      <c r="JMH645">
        <v>43025</v>
      </c>
      <c r="JMK645" t="s">
        <v>8150</v>
      </c>
      <c r="JML645">
        <v>43025</v>
      </c>
      <c r="JMO645" t="s">
        <v>8150</v>
      </c>
      <c r="JMP645">
        <v>43025</v>
      </c>
      <c r="JMS645" t="s">
        <v>8150</v>
      </c>
      <c r="JMT645">
        <v>43025</v>
      </c>
      <c r="JMW645" t="s">
        <v>8150</v>
      </c>
      <c r="JMX645">
        <v>43025</v>
      </c>
      <c r="JNA645" t="s">
        <v>8150</v>
      </c>
      <c r="JNB645">
        <v>43025</v>
      </c>
      <c r="JNE645" t="s">
        <v>8150</v>
      </c>
      <c r="JNF645">
        <v>43025</v>
      </c>
      <c r="JNI645" t="s">
        <v>8150</v>
      </c>
      <c r="JNJ645">
        <v>43025</v>
      </c>
      <c r="JNM645" t="s">
        <v>8150</v>
      </c>
      <c r="JNN645">
        <v>43025</v>
      </c>
      <c r="JNQ645" t="s">
        <v>8150</v>
      </c>
      <c r="JNR645">
        <v>43025</v>
      </c>
      <c r="JNU645" t="s">
        <v>8150</v>
      </c>
      <c r="JNV645">
        <v>43025</v>
      </c>
      <c r="JNY645" t="s">
        <v>8150</v>
      </c>
      <c r="JNZ645">
        <v>43025</v>
      </c>
      <c r="JOC645" t="s">
        <v>8150</v>
      </c>
      <c r="JOD645">
        <v>43025</v>
      </c>
      <c r="JOG645" t="s">
        <v>8150</v>
      </c>
      <c r="JOH645">
        <v>43025</v>
      </c>
      <c r="JOK645" t="s">
        <v>8150</v>
      </c>
      <c r="JOL645">
        <v>43025</v>
      </c>
      <c r="JOO645" t="s">
        <v>8150</v>
      </c>
      <c r="JOP645">
        <v>43025</v>
      </c>
      <c r="JOS645" t="s">
        <v>8150</v>
      </c>
      <c r="JOT645">
        <v>43025</v>
      </c>
      <c r="JOW645" t="s">
        <v>8150</v>
      </c>
      <c r="JOX645">
        <v>43025</v>
      </c>
      <c r="JPA645" t="s">
        <v>8150</v>
      </c>
      <c r="JPB645">
        <v>43025</v>
      </c>
      <c r="JPE645" t="s">
        <v>8150</v>
      </c>
      <c r="JPF645">
        <v>43025</v>
      </c>
      <c r="JPI645" t="s">
        <v>8150</v>
      </c>
      <c r="JPJ645">
        <v>43025</v>
      </c>
      <c r="JPM645" t="s">
        <v>8150</v>
      </c>
      <c r="JPN645">
        <v>43025</v>
      </c>
      <c r="JPQ645" t="s">
        <v>8150</v>
      </c>
      <c r="JPR645">
        <v>43025</v>
      </c>
      <c r="JPU645" t="s">
        <v>8150</v>
      </c>
      <c r="JPV645">
        <v>43025</v>
      </c>
      <c r="JPY645" t="s">
        <v>8150</v>
      </c>
      <c r="JPZ645">
        <v>43025</v>
      </c>
      <c r="JQC645" t="s">
        <v>8150</v>
      </c>
      <c r="JQD645">
        <v>43025</v>
      </c>
      <c r="JQG645" t="s">
        <v>8150</v>
      </c>
      <c r="JQH645">
        <v>43025</v>
      </c>
      <c r="JQK645" t="s">
        <v>8150</v>
      </c>
      <c r="JQL645">
        <v>43025</v>
      </c>
      <c r="JQO645" t="s">
        <v>8150</v>
      </c>
      <c r="JQP645">
        <v>43025</v>
      </c>
      <c r="JQS645" t="s">
        <v>8150</v>
      </c>
      <c r="JQT645">
        <v>43025</v>
      </c>
      <c r="JQW645" t="s">
        <v>8150</v>
      </c>
      <c r="JQX645">
        <v>43025</v>
      </c>
      <c r="JRA645" t="s">
        <v>8150</v>
      </c>
      <c r="JRB645">
        <v>43025</v>
      </c>
      <c r="JRE645" t="s">
        <v>8150</v>
      </c>
      <c r="JRF645">
        <v>43025</v>
      </c>
      <c r="JRI645" t="s">
        <v>8150</v>
      </c>
      <c r="JRJ645">
        <v>43025</v>
      </c>
      <c r="JRM645" t="s">
        <v>8150</v>
      </c>
      <c r="JRN645">
        <v>43025</v>
      </c>
      <c r="JRQ645" t="s">
        <v>8150</v>
      </c>
      <c r="JRR645">
        <v>43025</v>
      </c>
      <c r="JRU645" t="s">
        <v>8150</v>
      </c>
      <c r="JRV645">
        <v>43025</v>
      </c>
      <c r="JRY645" t="s">
        <v>8150</v>
      </c>
      <c r="JRZ645">
        <v>43025</v>
      </c>
      <c r="JSC645" t="s">
        <v>8150</v>
      </c>
      <c r="JSD645">
        <v>43025</v>
      </c>
      <c r="JSG645" t="s">
        <v>8150</v>
      </c>
      <c r="JSH645">
        <v>43025</v>
      </c>
      <c r="JSK645" t="s">
        <v>8150</v>
      </c>
      <c r="JSL645">
        <v>43025</v>
      </c>
      <c r="JSO645" t="s">
        <v>8150</v>
      </c>
      <c r="JSP645">
        <v>43025</v>
      </c>
      <c r="JSS645" t="s">
        <v>8150</v>
      </c>
      <c r="JST645">
        <v>43025</v>
      </c>
      <c r="JSW645" t="s">
        <v>8150</v>
      </c>
      <c r="JSX645">
        <v>43025</v>
      </c>
      <c r="JTA645" t="s">
        <v>8150</v>
      </c>
      <c r="JTB645">
        <v>43025</v>
      </c>
      <c r="JTE645" t="s">
        <v>8150</v>
      </c>
      <c r="JTF645">
        <v>43025</v>
      </c>
      <c r="JTI645" t="s">
        <v>8150</v>
      </c>
      <c r="JTJ645">
        <v>43025</v>
      </c>
      <c r="JTM645" t="s">
        <v>8150</v>
      </c>
      <c r="JTN645">
        <v>43025</v>
      </c>
      <c r="JTQ645" t="s">
        <v>8150</v>
      </c>
      <c r="JTR645">
        <v>43025</v>
      </c>
      <c r="JTU645" t="s">
        <v>8150</v>
      </c>
      <c r="JTV645">
        <v>43025</v>
      </c>
      <c r="JTY645" t="s">
        <v>8150</v>
      </c>
      <c r="JTZ645">
        <v>43025</v>
      </c>
      <c r="JUC645" t="s">
        <v>8150</v>
      </c>
      <c r="JUD645">
        <v>43025</v>
      </c>
      <c r="JUG645" t="s">
        <v>8150</v>
      </c>
      <c r="JUH645">
        <v>43025</v>
      </c>
      <c r="JUK645" t="s">
        <v>8150</v>
      </c>
      <c r="JUL645">
        <v>43025</v>
      </c>
      <c r="JUO645" t="s">
        <v>8150</v>
      </c>
      <c r="JUP645">
        <v>43025</v>
      </c>
      <c r="JUS645" t="s">
        <v>8150</v>
      </c>
      <c r="JUT645">
        <v>43025</v>
      </c>
      <c r="JUW645" t="s">
        <v>8150</v>
      </c>
      <c r="JUX645">
        <v>43025</v>
      </c>
      <c r="JVA645" t="s">
        <v>8150</v>
      </c>
      <c r="JVB645">
        <v>43025</v>
      </c>
      <c r="JVE645" t="s">
        <v>8150</v>
      </c>
      <c r="JVF645">
        <v>43025</v>
      </c>
      <c r="JVI645" t="s">
        <v>8150</v>
      </c>
      <c r="JVJ645">
        <v>43025</v>
      </c>
      <c r="JVM645" t="s">
        <v>8150</v>
      </c>
      <c r="JVN645">
        <v>43025</v>
      </c>
      <c r="JVQ645" t="s">
        <v>8150</v>
      </c>
      <c r="JVR645">
        <v>43025</v>
      </c>
      <c r="JVU645" t="s">
        <v>8150</v>
      </c>
      <c r="JVV645">
        <v>43025</v>
      </c>
      <c r="JVY645" t="s">
        <v>8150</v>
      </c>
      <c r="JVZ645">
        <v>43025</v>
      </c>
      <c r="JWC645" t="s">
        <v>8150</v>
      </c>
      <c r="JWD645">
        <v>43025</v>
      </c>
      <c r="JWG645" t="s">
        <v>8150</v>
      </c>
      <c r="JWH645">
        <v>43025</v>
      </c>
      <c r="JWK645" t="s">
        <v>8150</v>
      </c>
      <c r="JWL645">
        <v>43025</v>
      </c>
      <c r="JWO645" t="s">
        <v>8150</v>
      </c>
      <c r="JWP645">
        <v>43025</v>
      </c>
      <c r="JWS645" t="s">
        <v>8150</v>
      </c>
      <c r="JWT645">
        <v>43025</v>
      </c>
      <c r="JWW645" t="s">
        <v>8150</v>
      </c>
      <c r="JWX645">
        <v>43025</v>
      </c>
      <c r="JXA645" t="s">
        <v>8150</v>
      </c>
      <c r="JXB645">
        <v>43025</v>
      </c>
      <c r="JXE645" t="s">
        <v>8150</v>
      </c>
      <c r="JXF645">
        <v>43025</v>
      </c>
      <c r="JXI645" t="s">
        <v>8150</v>
      </c>
      <c r="JXJ645">
        <v>43025</v>
      </c>
      <c r="JXM645" t="s">
        <v>8150</v>
      </c>
      <c r="JXN645">
        <v>43025</v>
      </c>
      <c r="JXQ645" t="s">
        <v>8150</v>
      </c>
      <c r="JXR645">
        <v>43025</v>
      </c>
      <c r="JXU645" t="s">
        <v>8150</v>
      </c>
      <c r="JXV645">
        <v>43025</v>
      </c>
      <c r="JXY645" t="s">
        <v>8150</v>
      </c>
      <c r="JXZ645">
        <v>43025</v>
      </c>
      <c r="JYC645" t="s">
        <v>8150</v>
      </c>
      <c r="JYD645">
        <v>43025</v>
      </c>
      <c r="JYG645" t="s">
        <v>8150</v>
      </c>
      <c r="JYH645">
        <v>43025</v>
      </c>
      <c r="JYK645" t="s">
        <v>8150</v>
      </c>
      <c r="JYL645">
        <v>43025</v>
      </c>
      <c r="JYO645" t="s">
        <v>8150</v>
      </c>
      <c r="JYP645">
        <v>43025</v>
      </c>
      <c r="JYS645" t="s">
        <v>8150</v>
      </c>
      <c r="JYT645">
        <v>43025</v>
      </c>
      <c r="JYW645" t="s">
        <v>8150</v>
      </c>
      <c r="JYX645">
        <v>43025</v>
      </c>
      <c r="JZA645" t="s">
        <v>8150</v>
      </c>
      <c r="JZB645">
        <v>43025</v>
      </c>
      <c r="JZE645" t="s">
        <v>8150</v>
      </c>
      <c r="JZF645">
        <v>43025</v>
      </c>
      <c r="JZI645" t="s">
        <v>8150</v>
      </c>
      <c r="JZJ645">
        <v>43025</v>
      </c>
      <c r="JZM645" t="s">
        <v>8150</v>
      </c>
      <c r="JZN645">
        <v>43025</v>
      </c>
      <c r="JZQ645" t="s">
        <v>8150</v>
      </c>
      <c r="JZR645">
        <v>43025</v>
      </c>
      <c r="JZU645" t="s">
        <v>8150</v>
      </c>
      <c r="JZV645">
        <v>43025</v>
      </c>
      <c r="JZY645" t="s">
        <v>8150</v>
      </c>
      <c r="JZZ645">
        <v>43025</v>
      </c>
      <c r="KAC645" t="s">
        <v>8150</v>
      </c>
      <c r="KAD645">
        <v>43025</v>
      </c>
      <c r="KAG645" t="s">
        <v>8150</v>
      </c>
      <c r="KAH645">
        <v>43025</v>
      </c>
      <c r="KAK645" t="s">
        <v>8150</v>
      </c>
      <c r="KAL645">
        <v>43025</v>
      </c>
      <c r="KAO645" t="s">
        <v>8150</v>
      </c>
      <c r="KAP645">
        <v>43025</v>
      </c>
      <c r="KAS645" t="s">
        <v>8150</v>
      </c>
      <c r="KAT645">
        <v>43025</v>
      </c>
      <c r="KAW645" t="s">
        <v>8150</v>
      </c>
      <c r="KAX645">
        <v>43025</v>
      </c>
      <c r="KBA645" t="s">
        <v>8150</v>
      </c>
      <c r="KBB645">
        <v>43025</v>
      </c>
      <c r="KBE645" t="s">
        <v>8150</v>
      </c>
      <c r="KBF645">
        <v>43025</v>
      </c>
      <c r="KBI645" t="s">
        <v>8150</v>
      </c>
      <c r="KBJ645">
        <v>43025</v>
      </c>
      <c r="KBM645" t="s">
        <v>8150</v>
      </c>
      <c r="KBN645">
        <v>43025</v>
      </c>
      <c r="KBQ645" t="s">
        <v>8150</v>
      </c>
      <c r="KBR645">
        <v>43025</v>
      </c>
      <c r="KBU645" t="s">
        <v>8150</v>
      </c>
      <c r="KBV645">
        <v>43025</v>
      </c>
      <c r="KBY645" t="s">
        <v>8150</v>
      </c>
      <c r="KBZ645">
        <v>43025</v>
      </c>
      <c r="KCC645" t="s">
        <v>8150</v>
      </c>
      <c r="KCD645">
        <v>43025</v>
      </c>
      <c r="KCG645" t="s">
        <v>8150</v>
      </c>
      <c r="KCH645">
        <v>43025</v>
      </c>
      <c r="KCK645" t="s">
        <v>8150</v>
      </c>
      <c r="KCL645">
        <v>43025</v>
      </c>
      <c r="KCO645" t="s">
        <v>8150</v>
      </c>
      <c r="KCP645">
        <v>43025</v>
      </c>
      <c r="KCS645" t="s">
        <v>8150</v>
      </c>
      <c r="KCT645">
        <v>43025</v>
      </c>
      <c r="KCW645" t="s">
        <v>8150</v>
      </c>
      <c r="KCX645">
        <v>43025</v>
      </c>
      <c r="KDA645" t="s">
        <v>8150</v>
      </c>
      <c r="KDB645">
        <v>43025</v>
      </c>
      <c r="KDE645" t="s">
        <v>8150</v>
      </c>
      <c r="KDF645">
        <v>43025</v>
      </c>
      <c r="KDI645" t="s">
        <v>8150</v>
      </c>
      <c r="KDJ645">
        <v>43025</v>
      </c>
      <c r="KDM645" t="s">
        <v>8150</v>
      </c>
      <c r="KDN645">
        <v>43025</v>
      </c>
      <c r="KDQ645" t="s">
        <v>8150</v>
      </c>
      <c r="KDR645">
        <v>43025</v>
      </c>
      <c r="KDU645" t="s">
        <v>8150</v>
      </c>
      <c r="KDV645">
        <v>43025</v>
      </c>
      <c r="KDY645" t="s">
        <v>8150</v>
      </c>
      <c r="KDZ645">
        <v>43025</v>
      </c>
      <c r="KEC645" t="s">
        <v>8150</v>
      </c>
      <c r="KED645">
        <v>43025</v>
      </c>
      <c r="KEG645" t="s">
        <v>8150</v>
      </c>
      <c r="KEH645">
        <v>43025</v>
      </c>
      <c r="KEK645" t="s">
        <v>8150</v>
      </c>
      <c r="KEL645">
        <v>43025</v>
      </c>
      <c r="KEO645" t="s">
        <v>8150</v>
      </c>
      <c r="KEP645">
        <v>43025</v>
      </c>
      <c r="KES645" t="s">
        <v>8150</v>
      </c>
      <c r="KET645">
        <v>43025</v>
      </c>
      <c r="KEW645" t="s">
        <v>8150</v>
      </c>
      <c r="KEX645">
        <v>43025</v>
      </c>
      <c r="KFA645" t="s">
        <v>8150</v>
      </c>
      <c r="KFB645">
        <v>43025</v>
      </c>
      <c r="KFE645" t="s">
        <v>8150</v>
      </c>
      <c r="KFF645">
        <v>43025</v>
      </c>
      <c r="KFI645" t="s">
        <v>8150</v>
      </c>
      <c r="KFJ645">
        <v>43025</v>
      </c>
      <c r="KFM645" t="s">
        <v>8150</v>
      </c>
      <c r="KFN645">
        <v>43025</v>
      </c>
      <c r="KFQ645" t="s">
        <v>8150</v>
      </c>
      <c r="KFR645">
        <v>43025</v>
      </c>
      <c r="KFU645" t="s">
        <v>8150</v>
      </c>
      <c r="KFV645">
        <v>43025</v>
      </c>
      <c r="KFY645" t="s">
        <v>8150</v>
      </c>
      <c r="KFZ645">
        <v>43025</v>
      </c>
      <c r="KGC645" t="s">
        <v>8150</v>
      </c>
      <c r="KGD645">
        <v>43025</v>
      </c>
      <c r="KGG645" t="s">
        <v>8150</v>
      </c>
      <c r="KGH645">
        <v>43025</v>
      </c>
      <c r="KGK645" t="s">
        <v>8150</v>
      </c>
      <c r="KGL645">
        <v>43025</v>
      </c>
      <c r="KGO645" t="s">
        <v>8150</v>
      </c>
      <c r="KGP645">
        <v>43025</v>
      </c>
      <c r="KGS645" t="s">
        <v>8150</v>
      </c>
      <c r="KGT645">
        <v>43025</v>
      </c>
      <c r="KGW645" t="s">
        <v>8150</v>
      </c>
      <c r="KGX645">
        <v>43025</v>
      </c>
      <c r="KHA645" t="s">
        <v>8150</v>
      </c>
      <c r="KHB645">
        <v>43025</v>
      </c>
      <c r="KHE645" t="s">
        <v>8150</v>
      </c>
      <c r="KHF645">
        <v>43025</v>
      </c>
      <c r="KHI645" t="s">
        <v>8150</v>
      </c>
      <c r="KHJ645">
        <v>43025</v>
      </c>
      <c r="KHM645" t="s">
        <v>8150</v>
      </c>
      <c r="KHN645">
        <v>43025</v>
      </c>
      <c r="KHQ645" t="s">
        <v>8150</v>
      </c>
      <c r="KHR645">
        <v>43025</v>
      </c>
      <c r="KHU645" t="s">
        <v>8150</v>
      </c>
      <c r="KHV645">
        <v>43025</v>
      </c>
      <c r="KHY645" t="s">
        <v>8150</v>
      </c>
      <c r="KHZ645">
        <v>43025</v>
      </c>
      <c r="KIC645" t="s">
        <v>8150</v>
      </c>
      <c r="KID645">
        <v>43025</v>
      </c>
      <c r="KIG645" t="s">
        <v>8150</v>
      </c>
      <c r="KIH645">
        <v>43025</v>
      </c>
      <c r="KIK645" t="s">
        <v>8150</v>
      </c>
      <c r="KIL645">
        <v>43025</v>
      </c>
      <c r="KIO645" t="s">
        <v>8150</v>
      </c>
      <c r="KIP645">
        <v>43025</v>
      </c>
      <c r="KIS645" t="s">
        <v>8150</v>
      </c>
      <c r="KIT645">
        <v>43025</v>
      </c>
      <c r="KIW645" t="s">
        <v>8150</v>
      </c>
      <c r="KIX645">
        <v>43025</v>
      </c>
      <c r="KJA645" t="s">
        <v>8150</v>
      </c>
      <c r="KJB645">
        <v>43025</v>
      </c>
      <c r="KJE645" t="s">
        <v>8150</v>
      </c>
      <c r="KJF645">
        <v>43025</v>
      </c>
      <c r="KJI645" t="s">
        <v>8150</v>
      </c>
      <c r="KJJ645">
        <v>43025</v>
      </c>
      <c r="KJM645" t="s">
        <v>8150</v>
      </c>
      <c r="KJN645">
        <v>43025</v>
      </c>
      <c r="KJQ645" t="s">
        <v>8150</v>
      </c>
      <c r="KJR645">
        <v>43025</v>
      </c>
      <c r="KJU645" t="s">
        <v>8150</v>
      </c>
      <c r="KJV645">
        <v>43025</v>
      </c>
      <c r="KJY645" t="s">
        <v>8150</v>
      </c>
      <c r="KJZ645">
        <v>43025</v>
      </c>
      <c r="KKC645" t="s">
        <v>8150</v>
      </c>
      <c r="KKD645">
        <v>43025</v>
      </c>
      <c r="KKG645" t="s">
        <v>8150</v>
      </c>
      <c r="KKH645">
        <v>43025</v>
      </c>
      <c r="KKK645" t="s">
        <v>8150</v>
      </c>
      <c r="KKL645">
        <v>43025</v>
      </c>
      <c r="KKO645" t="s">
        <v>8150</v>
      </c>
      <c r="KKP645">
        <v>43025</v>
      </c>
      <c r="KKS645" t="s">
        <v>8150</v>
      </c>
      <c r="KKT645">
        <v>43025</v>
      </c>
      <c r="KKW645" t="s">
        <v>8150</v>
      </c>
      <c r="KKX645">
        <v>43025</v>
      </c>
      <c r="KLA645" t="s">
        <v>8150</v>
      </c>
      <c r="KLB645">
        <v>43025</v>
      </c>
      <c r="KLE645" t="s">
        <v>8150</v>
      </c>
      <c r="KLF645">
        <v>43025</v>
      </c>
      <c r="KLI645" t="s">
        <v>8150</v>
      </c>
      <c r="KLJ645">
        <v>43025</v>
      </c>
      <c r="KLM645" t="s">
        <v>8150</v>
      </c>
      <c r="KLN645">
        <v>43025</v>
      </c>
      <c r="KLQ645" t="s">
        <v>8150</v>
      </c>
      <c r="KLR645">
        <v>43025</v>
      </c>
      <c r="KLU645" t="s">
        <v>8150</v>
      </c>
      <c r="KLV645">
        <v>43025</v>
      </c>
      <c r="KLY645" t="s">
        <v>8150</v>
      </c>
      <c r="KLZ645">
        <v>43025</v>
      </c>
      <c r="KMC645" t="s">
        <v>8150</v>
      </c>
      <c r="KMD645">
        <v>43025</v>
      </c>
      <c r="KMG645" t="s">
        <v>8150</v>
      </c>
      <c r="KMH645">
        <v>43025</v>
      </c>
      <c r="KMK645" t="s">
        <v>8150</v>
      </c>
      <c r="KML645">
        <v>43025</v>
      </c>
      <c r="KMO645" t="s">
        <v>8150</v>
      </c>
      <c r="KMP645">
        <v>43025</v>
      </c>
      <c r="KMS645" t="s">
        <v>8150</v>
      </c>
      <c r="KMT645">
        <v>43025</v>
      </c>
      <c r="KMW645" t="s">
        <v>8150</v>
      </c>
      <c r="KMX645">
        <v>43025</v>
      </c>
      <c r="KNA645" t="s">
        <v>8150</v>
      </c>
      <c r="KNB645">
        <v>43025</v>
      </c>
      <c r="KNE645" t="s">
        <v>8150</v>
      </c>
      <c r="KNF645">
        <v>43025</v>
      </c>
      <c r="KNI645" t="s">
        <v>8150</v>
      </c>
      <c r="KNJ645">
        <v>43025</v>
      </c>
      <c r="KNM645" t="s">
        <v>8150</v>
      </c>
      <c r="KNN645">
        <v>43025</v>
      </c>
      <c r="KNQ645" t="s">
        <v>8150</v>
      </c>
      <c r="KNR645">
        <v>43025</v>
      </c>
      <c r="KNU645" t="s">
        <v>8150</v>
      </c>
      <c r="KNV645">
        <v>43025</v>
      </c>
      <c r="KNY645" t="s">
        <v>8150</v>
      </c>
      <c r="KNZ645">
        <v>43025</v>
      </c>
      <c r="KOC645" t="s">
        <v>8150</v>
      </c>
      <c r="KOD645">
        <v>43025</v>
      </c>
      <c r="KOG645" t="s">
        <v>8150</v>
      </c>
      <c r="KOH645">
        <v>43025</v>
      </c>
      <c r="KOK645" t="s">
        <v>8150</v>
      </c>
      <c r="KOL645">
        <v>43025</v>
      </c>
      <c r="KOO645" t="s">
        <v>8150</v>
      </c>
      <c r="KOP645">
        <v>43025</v>
      </c>
      <c r="KOS645" t="s">
        <v>8150</v>
      </c>
      <c r="KOT645">
        <v>43025</v>
      </c>
      <c r="KOW645" t="s">
        <v>8150</v>
      </c>
      <c r="KOX645">
        <v>43025</v>
      </c>
      <c r="KPA645" t="s">
        <v>8150</v>
      </c>
      <c r="KPB645">
        <v>43025</v>
      </c>
      <c r="KPE645" t="s">
        <v>8150</v>
      </c>
      <c r="KPF645">
        <v>43025</v>
      </c>
      <c r="KPI645" t="s">
        <v>8150</v>
      </c>
      <c r="KPJ645">
        <v>43025</v>
      </c>
      <c r="KPM645" t="s">
        <v>8150</v>
      </c>
      <c r="KPN645">
        <v>43025</v>
      </c>
      <c r="KPQ645" t="s">
        <v>8150</v>
      </c>
      <c r="KPR645">
        <v>43025</v>
      </c>
      <c r="KPU645" t="s">
        <v>8150</v>
      </c>
      <c r="KPV645">
        <v>43025</v>
      </c>
      <c r="KPY645" t="s">
        <v>8150</v>
      </c>
      <c r="KPZ645">
        <v>43025</v>
      </c>
      <c r="KQC645" t="s">
        <v>8150</v>
      </c>
      <c r="KQD645">
        <v>43025</v>
      </c>
      <c r="KQG645" t="s">
        <v>8150</v>
      </c>
      <c r="KQH645">
        <v>43025</v>
      </c>
      <c r="KQK645" t="s">
        <v>8150</v>
      </c>
      <c r="KQL645">
        <v>43025</v>
      </c>
      <c r="KQO645" t="s">
        <v>8150</v>
      </c>
      <c r="KQP645">
        <v>43025</v>
      </c>
      <c r="KQS645" t="s">
        <v>8150</v>
      </c>
      <c r="KQT645">
        <v>43025</v>
      </c>
      <c r="KQW645" t="s">
        <v>8150</v>
      </c>
      <c r="KQX645">
        <v>43025</v>
      </c>
      <c r="KRA645" t="s">
        <v>8150</v>
      </c>
      <c r="KRB645">
        <v>43025</v>
      </c>
      <c r="KRE645" t="s">
        <v>8150</v>
      </c>
      <c r="KRF645">
        <v>43025</v>
      </c>
      <c r="KRI645" t="s">
        <v>8150</v>
      </c>
      <c r="KRJ645">
        <v>43025</v>
      </c>
      <c r="KRM645" t="s">
        <v>8150</v>
      </c>
      <c r="KRN645">
        <v>43025</v>
      </c>
      <c r="KRQ645" t="s">
        <v>8150</v>
      </c>
      <c r="KRR645">
        <v>43025</v>
      </c>
      <c r="KRU645" t="s">
        <v>8150</v>
      </c>
      <c r="KRV645">
        <v>43025</v>
      </c>
      <c r="KRY645" t="s">
        <v>8150</v>
      </c>
      <c r="KRZ645">
        <v>43025</v>
      </c>
      <c r="KSC645" t="s">
        <v>8150</v>
      </c>
      <c r="KSD645">
        <v>43025</v>
      </c>
      <c r="KSG645" t="s">
        <v>8150</v>
      </c>
      <c r="KSH645">
        <v>43025</v>
      </c>
      <c r="KSK645" t="s">
        <v>8150</v>
      </c>
      <c r="KSL645">
        <v>43025</v>
      </c>
      <c r="KSO645" t="s">
        <v>8150</v>
      </c>
      <c r="KSP645">
        <v>43025</v>
      </c>
      <c r="KSS645" t="s">
        <v>8150</v>
      </c>
      <c r="KST645">
        <v>43025</v>
      </c>
      <c r="KSW645" t="s">
        <v>8150</v>
      </c>
      <c r="KSX645">
        <v>43025</v>
      </c>
      <c r="KTA645" t="s">
        <v>8150</v>
      </c>
      <c r="KTB645">
        <v>43025</v>
      </c>
      <c r="KTE645" t="s">
        <v>8150</v>
      </c>
      <c r="KTF645">
        <v>43025</v>
      </c>
      <c r="KTI645" t="s">
        <v>8150</v>
      </c>
      <c r="KTJ645">
        <v>43025</v>
      </c>
      <c r="KTM645" t="s">
        <v>8150</v>
      </c>
      <c r="KTN645">
        <v>43025</v>
      </c>
      <c r="KTQ645" t="s">
        <v>8150</v>
      </c>
      <c r="KTR645">
        <v>43025</v>
      </c>
      <c r="KTU645" t="s">
        <v>8150</v>
      </c>
      <c r="KTV645">
        <v>43025</v>
      </c>
      <c r="KTY645" t="s">
        <v>8150</v>
      </c>
      <c r="KTZ645">
        <v>43025</v>
      </c>
      <c r="KUC645" t="s">
        <v>8150</v>
      </c>
      <c r="KUD645">
        <v>43025</v>
      </c>
      <c r="KUG645" t="s">
        <v>8150</v>
      </c>
      <c r="KUH645">
        <v>43025</v>
      </c>
      <c r="KUK645" t="s">
        <v>8150</v>
      </c>
      <c r="KUL645">
        <v>43025</v>
      </c>
      <c r="KUO645" t="s">
        <v>8150</v>
      </c>
      <c r="KUP645">
        <v>43025</v>
      </c>
      <c r="KUS645" t="s">
        <v>8150</v>
      </c>
      <c r="KUT645">
        <v>43025</v>
      </c>
      <c r="KUW645" t="s">
        <v>8150</v>
      </c>
      <c r="KUX645">
        <v>43025</v>
      </c>
      <c r="KVA645" t="s">
        <v>8150</v>
      </c>
      <c r="KVB645">
        <v>43025</v>
      </c>
      <c r="KVE645" t="s">
        <v>8150</v>
      </c>
      <c r="KVF645">
        <v>43025</v>
      </c>
      <c r="KVI645" t="s">
        <v>8150</v>
      </c>
      <c r="KVJ645">
        <v>43025</v>
      </c>
      <c r="KVM645" t="s">
        <v>8150</v>
      </c>
      <c r="KVN645">
        <v>43025</v>
      </c>
      <c r="KVQ645" t="s">
        <v>8150</v>
      </c>
      <c r="KVR645">
        <v>43025</v>
      </c>
      <c r="KVU645" t="s">
        <v>8150</v>
      </c>
      <c r="KVV645">
        <v>43025</v>
      </c>
      <c r="KVY645" t="s">
        <v>8150</v>
      </c>
      <c r="KVZ645">
        <v>43025</v>
      </c>
      <c r="KWC645" t="s">
        <v>8150</v>
      </c>
      <c r="KWD645">
        <v>43025</v>
      </c>
      <c r="KWG645" t="s">
        <v>8150</v>
      </c>
      <c r="KWH645">
        <v>43025</v>
      </c>
      <c r="KWK645" t="s">
        <v>8150</v>
      </c>
      <c r="KWL645">
        <v>43025</v>
      </c>
      <c r="KWO645" t="s">
        <v>8150</v>
      </c>
      <c r="KWP645">
        <v>43025</v>
      </c>
      <c r="KWS645" t="s">
        <v>8150</v>
      </c>
      <c r="KWT645">
        <v>43025</v>
      </c>
      <c r="KWW645" t="s">
        <v>8150</v>
      </c>
      <c r="KWX645">
        <v>43025</v>
      </c>
      <c r="KXA645" t="s">
        <v>8150</v>
      </c>
      <c r="KXB645">
        <v>43025</v>
      </c>
      <c r="KXE645" t="s">
        <v>8150</v>
      </c>
      <c r="KXF645">
        <v>43025</v>
      </c>
      <c r="KXI645" t="s">
        <v>8150</v>
      </c>
      <c r="KXJ645">
        <v>43025</v>
      </c>
      <c r="KXM645" t="s">
        <v>8150</v>
      </c>
      <c r="KXN645">
        <v>43025</v>
      </c>
      <c r="KXQ645" t="s">
        <v>8150</v>
      </c>
      <c r="KXR645">
        <v>43025</v>
      </c>
      <c r="KXU645" t="s">
        <v>8150</v>
      </c>
      <c r="KXV645">
        <v>43025</v>
      </c>
      <c r="KXY645" t="s">
        <v>8150</v>
      </c>
      <c r="KXZ645">
        <v>43025</v>
      </c>
      <c r="KYC645" t="s">
        <v>8150</v>
      </c>
      <c r="KYD645">
        <v>43025</v>
      </c>
      <c r="KYG645" t="s">
        <v>8150</v>
      </c>
      <c r="KYH645">
        <v>43025</v>
      </c>
      <c r="KYK645" t="s">
        <v>8150</v>
      </c>
      <c r="KYL645">
        <v>43025</v>
      </c>
      <c r="KYO645" t="s">
        <v>8150</v>
      </c>
      <c r="KYP645">
        <v>43025</v>
      </c>
      <c r="KYS645" t="s">
        <v>8150</v>
      </c>
      <c r="KYT645">
        <v>43025</v>
      </c>
      <c r="KYW645" t="s">
        <v>8150</v>
      </c>
      <c r="KYX645">
        <v>43025</v>
      </c>
      <c r="KZA645" t="s">
        <v>8150</v>
      </c>
      <c r="KZB645">
        <v>43025</v>
      </c>
      <c r="KZE645" t="s">
        <v>8150</v>
      </c>
      <c r="KZF645">
        <v>43025</v>
      </c>
      <c r="KZI645" t="s">
        <v>8150</v>
      </c>
      <c r="KZJ645">
        <v>43025</v>
      </c>
      <c r="KZM645" t="s">
        <v>8150</v>
      </c>
      <c r="KZN645">
        <v>43025</v>
      </c>
      <c r="KZQ645" t="s">
        <v>8150</v>
      </c>
      <c r="KZR645">
        <v>43025</v>
      </c>
      <c r="KZU645" t="s">
        <v>8150</v>
      </c>
      <c r="KZV645">
        <v>43025</v>
      </c>
      <c r="KZY645" t="s">
        <v>8150</v>
      </c>
      <c r="KZZ645">
        <v>43025</v>
      </c>
      <c r="LAC645" t="s">
        <v>8150</v>
      </c>
      <c r="LAD645">
        <v>43025</v>
      </c>
      <c r="LAG645" t="s">
        <v>8150</v>
      </c>
      <c r="LAH645">
        <v>43025</v>
      </c>
      <c r="LAK645" t="s">
        <v>8150</v>
      </c>
      <c r="LAL645">
        <v>43025</v>
      </c>
      <c r="LAO645" t="s">
        <v>8150</v>
      </c>
      <c r="LAP645">
        <v>43025</v>
      </c>
      <c r="LAS645" t="s">
        <v>8150</v>
      </c>
      <c r="LAT645">
        <v>43025</v>
      </c>
      <c r="LAW645" t="s">
        <v>8150</v>
      </c>
      <c r="LAX645">
        <v>43025</v>
      </c>
      <c r="LBA645" t="s">
        <v>8150</v>
      </c>
      <c r="LBB645">
        <v>43025</v>
      </c>
      <c r="LBE645" t="s">
        <v>8150</v>
      </c>
      <c r="LBF645">
        <v>43025</v>
      </c>
      <c r="LBI645" t="s">
        <v>8150</v>
      </c>
      <c r="LBJ645">
        <v>43025</v>
      </c>
      <c r="LBM645" t="s">
        <v>8150</v>
      </c>
      <c r="LBN645">
        <v>43025</v>
      </c>
      <c r="LBQ645" t="s">
        <v>8150</v>
      </c>
      <c r="LBR645">
        <v>43025</v>
      </c>
      <c r="LBU645" t="s">
        <v>8150</v>
      </c>
      <c r="LBV645">
        <v>43025</v>
      </c>
      <c r="LBY645" t="s">
        <v>8150</v>
      </c>
      <c r="LBZ645">
        <v>43025</v>
      </c>
      <c r="LCC645" t="s">
        <v>8150</v>
      </c>
      <c r="LCD645">
        <v>43025</v>
      </c>
      <c r="LCG645" t="s">
        <v>8150</v>
      </c>
      <c r="LCH645">
        <v>43025</v>
      </c>
      <c r="LCK645" t="s">
        <v>8150</v>
      </c>
      <c r="LCL645">
        <v>43025</v>
      </c>
      <c r="LCO645" t="s">
        <v>8150</v>
      </c>
      <c r="LCP645">
        <v>43025</v>
      </c>
      <c r="LCS645" t="s">
        <v>8150</v>
      </c>
      <c r="LCT645">
        <v>43025</v>
      </c>
      <c r="LCW645" t="s">
        <v>8150</v>
      </c>
      <c r="LCX645">
        <v>43025</v>
      </c>
      <c r="LDA645" t="s">
        <v>8150</v>
      </c>
      <c r="LDB645">
        <v>43025</v>
      </c>
      <c r="LDE645" t="s">
        <v>8150</v>
      </c>
      <c r="LDF645">
        <v>43025</v>
      </c>
      <c r="LDI645" t="s">
        <v>8150</v>
      </c>
      <c r="LDJ645">
        <v>43025</v>
      </c>
      <c r="LDM645" t="s">
        <v>8150</v>
      </c>
      <c r="LDN645">
        <v>43025</v>
      </c>
      <c r="LDQ645" t="s">
        <v>8150</v>
      </c>
      <c r="LDR645">
        <v>43025</v>
      </c>
      <c r="LDU645" t="s">
        <v>8150</v>
      </c>
      <c r="LDV645">
        <v>43025</v>
      </c>
      <c r="LDY645" t="s">
        <v>8150</v>
      </c>
      <c r="LDZ645">
        <v>43025</v>
      </c>
      <c r="LEC645" t="s">
        <v>8150</v>
      </c>
      <c r="LED645">
        <v>43025</v>
      </c>
      <c r="LEG645" t="s">
        <v>8150</v>
      </c>
      <c r="LEH645">
        <v>43025</v>
      </c>
      <c r="LEK645" t="s">
        <v>8150</v>
      </c>
      <c r="LEL645">
        <v>43025</v>
      </c>
      <c r="LEO645" t="s">
        <v>8150</v>
      </c>
      <c r="LEP645">
        <v>43025</v>
      </c>
      <c r="LES645" t="s">
        <v>8150</v>
      </c>
      <c r="LET645">
        <v>43025</v>
      </c>
      <c r="LEW645" t="s">
        <v>8150</v>
      </c>
      <c r="LEX645">
        <v>43025</v>
      </c>
      <c r="LFA645" t="s">
        <v>8150</v>
      </c>
      <c r="LFB645">
        <v>43025</v>
      </c>
      <c r="LFE645" t="s">
        <v>8150</v>
      </c>
      <c r="LFF645">
        <v>43025</v>
      </c>
      <c r="LFI645" t="s">
        <v>8150</v>
      </c>
      <c r="LFJ645">
        <v>43025</v>
      </c>
      <c r="LFM645" t="s">
        <v>8150</v>
      </c>
      <c r="LFN645">
        <v>43025</v>
      </c>
      <c r="LFQ645" t="s">
        <v>8150</v>
      </c>
      <c r="LFR645">
        <v>43025</v>
      </c>
      <c r="LFU645" t="s">
        <v>8150</v>
      </c>
      <c r="LFV645">
        <v>43025</v>
      </c>
      <c r="LFY645" t="s">
        <v>8150</v>
      </c>
      <c r="LFZ645">
        <v>43025</v>
      </c>
      <c r="LGC645" t="s">
        <v>8150</v>
      </c>
      <c r="LGD645">
        <v>43025</v>
      </c>
      <c r="LGG645" t="s">
        <v>8150</v>
      </c>
      <c r="LGH645">
        <v>43025</v>
      </c>
      <c r="LGK645" t="s">
        <v>8150</v>
      </c>
      <c r="LGL645">
        <v>43025</v>
      </c>
      <c r="LGO645" t="s">
        <v>8150</v>
      </c>
      <c r="LGP645">
        <v>43025</v>
      </c>
      <c r="LGS645" t="s">
        <v>8150</v>
      </c>
      <c r="LGT645">
        <v>43025</v>
      </c>
      <c r="LGW645" t="s">
        <v>8150</v>
      </c>
      <c r="LGX645">
        <v>43025</v>
      </c>
      <c r="LHA645" t="s">
        <v>8150</v>
      </c>
      <c r="LHB645">
        <v>43025</v>
      </c>
      <c r="LHE645" t="s">
        <v>8150</v>
      </c>
      <c r="LHF645">
        <v>43025</v>
      </c>
      <c r="LHI645" t="s">
        <v>8150</v>
      </c>
      <c r="LHJ645">
        <v>43025</v>
      </c>
      <c r="LHM645" t="s">
        <v>8150</v>
      </c>
      <c r="LHN645">
        <v>43025</v>
      </c>
      <c r="LHQ645" t="s">
        <v>8150</v>
      </c>
      <c r="LHR645">
        <v>43025</v>
      </c>
      <c r="LHU645" t="s">
        <v>8150</v>
      </c>
      <c r="LHV645">
        <v>43025</v>
      </c>
      <c r="LHY645" t="s">
        <v>8150</v>
      </c>
      <c r="LHZ645">
        <v>43025</v>
      </c>
      <c r="LIC645" t="s">
        <v>8150</v>
      </c>
      <c r="LID645">
        <v>43025</v>
      </c>
      <c r="LIG645" t="s">
        <v>8150</v>
      </c>
      <c r="LIH645">
        <v>43025</v>
      </c>
      <c r="LIK645" t="s">
        <v>8150</v>
      </c>
      <c r="LIL645">
        <v>43025</v>
      </c>
      <c r="LIO645" t="s">
        <v>8150</v>
      </c>
      <c r="LIP645">
        <v>43025</v>
      </c>
      <c r="LIS645" t="s">
        <v>8150</v>
      </c>
      <c r="LIT645">
        <v>43025</v>
      </c>
      <c r="LIW645" t="s">
        <v>8150</v>
      </c>
      <c r="LIX645">
        <v>43025</v>
      </c>
      <c r="LJA645" t="s">
        <v>8150</v>
      </c>
      <c r="LJB645">
        <v>43025</v>
      </c>
      <c r="LJE645" t="s">
        <v>8150</v>
      </c>
      <c r="LJF645">
        <v>43025</v>
      </c>
      <c r="LJI645" t="s">
        <v>8150</v>
      </c>
      <c r="LJJ645">
        <v>43025</v>
      </c>
      <c r="LJM645" t="s">
        <v>8150</v>
      </c>
      <c r="LJN645">
        <v>43025</v>
      </c>
      <c r="LJQ645" t="s">
        <v>8150</v>
      </c>
      <c r="LJR645">
        <v>43025</v>
      </c>
      <c r="LJU645" t="s">
        <v>8150</v>
      </c>
      <c r="LJV645">
        <v>43025</v>
      </c>
      <c r="LJY645" t="s">
        <v>8150</v>
      </c>
      <c r="LJZ645">
        <v>43025</v>
      </c>
      <c r="LKC645" t="s">
        <v>8150</v>
      </c>
      <c r="LKD645">
        <v>43025</v>
      </c>
      <c r="LKG645" t="s">
        <v>8150</v>
      </c>
      <c r="LKH645">
        <v>43025</v>
      </c>
      <c r="LKK645" t="s">
        <v>8150</v>
      </c>
      <c r="LKL645">
        <v>43025</v>
      </c>
      <c r="LKO645" t="s">
        <v>8150</v>
      </c>
      <c r="LKP645">
        <v>43025</v>
      </c>
      <c r="LKS645" t="s">
        <v>8150</v>
      </c>
      <c r="LKT645">
        <v>43025</v>
      </c>
      <c r="LKW645" t="s">
        <v>8150</v>
      </c>
      <c r="LKX645">
        <v>43025</v>
      </c>
      <c r="LLA645" t="s">
        <v>8150</v>
      </c>
      <c r="LLB645">
        <v>43025</v>
      </c>
      <c r="LLE645" t="s">
        <v>8150</v>
      </c>
      <c r="LLF645">
        <v>43025</v>
      </c>
      <c r="LLI645" t="s">
        <v>8150</v>
      </c>
      <c r="LLJ645">
        <v>43025</v>
      </c>
      <c r="LLM645" t="s">
        <v>8150</v>
      </c>
      <c r="LLN645">
        <v>43025</v>
      </c>
      <c r="LLQ645" t="s">
        <v>8150</v>
      </c>
      <c r="LLR645">
        <v>43025</v>
      </c>
      <c r="LLU645" t="s">
        <v>8150</v>
      </c>
      <c r="LLV645">
        <v>43025</v>
      </c>
      <c r="LLY645" t="s">
        <v>8150</v>
      </c>
      <c r="LLZ645">
        <v>43025</v>
      </c>
      <c r="LMC645" t="s">
        <v>8150</v>
      </c>
      <c r="LMD645">
        <v>43025</v>
      </c>
      <c r="LMG645" t="s">
        <v>8150</v>
      </c>
      <c r="LMH645">
        <v>43025</v>
      </c>
      <c r="LMK645" t="s">
        <v>8150</v>
      </c>
      <c r="LML645">
        <v>43025</v>
      </c>
      <c r="LMO645" t="s">
        <v>8150</v>
      </c>
      <c r="LMP645">
        <v>43025</v>
      </c>
      <c r="LMS645" t="s">
        <v>8150</v>
      </c>
      <c r="LMT645">
        <v>43025</v>
      </c>
      <c r="LMW645" t="s">
        <v>8150</v>
      </c>
      <c r="LMX645">
        <v>43025</v>
      </c>
      <c r="LNA645" t="s">
        <v>8150</v>
      </c>
      <c r="LNB645">
        <v>43025</v>
      </c>
      <c r="LNE645" t="s">
        <v>8150</v>
      </c>
      <c r="LNF645">
        <v>43025</v>
      </c>
      <c r="LNI645" t="s">
        <v>8150</v>
      </c>
      <c r="LNJ645">
        <v>43025</v>
      </c>
      <c r="LNM645" t="s">
        <v>8150</v>
      </c>
      <c r="LNN645">
        <v>43025</v>
      </c>
      <c r="LNQ645" t="s">
        <v>8150</v>
      </c>
      <c r="LNR645">
        <v>43025</v>
      </c>
      <c r="LNU645" t="s">
        <v>8150</v>
      </c>
      <c r="LNV645">
        <v>43025</v>
      </c>
      <c r="LNY645" t="s">
        <v>8150</v>
      </c>
      <c r="LNZ645">
        <v>43025</v>
      </c>
      <c r="LOC645" t="s">
        <v>8150</v>
      </c>
      <c r="LOD645">
        <v>43025</v>
      </c>
      <c r="LOG645" t="s">
        <v>8150</v>
      </c>
      <c r="LOH645">
        <v>43025</v>
      </c>
      <c r="LOK645" t="s">
        <v>8150</v>
      </c>
      <c r="LOL645">
        <v>43025</v>
      </c>
      <c r="LOO645" t="s">
        <v>8150</v>
      </c>
      <c r="LOP645">
        <v>43025</v>
      </c>
      <c r="LOS645" t="s">
        <v>8150</v>
      </c>
      <c r="LOT645">
        <v>43025</v>
      </c>
      <c r="LOW645" t="s">
        <v>8150</v>
      </c>
      <c r="LOX645">
        <v>43025</v>
      </c>
      <c r="LPA645" t="s">
        <v>8150</v>
      </c>
      <c r="LPB645">
        <v>43025</v>
      </c>
      <c r="LPE645" t="s">
        <v>8150</v>
      </c>
      <c r="LPF645">
        <v>43025</v>
      </c>
      <c r="LPI645" t="s">
        <v>8150</v>
      </c>
      <c r="LPJ645">
        <v>43025</v>
      </c>
      <c r="LPM645" t="s">
        <v>8150</v>
      </c>
      <c r="LPN645">
        <v>43025</v>
      </c>
      <c r="LPQ645" t="s">
        <v>8150</v>
      </c>
      <c r="LPR645">
        <v>43025</v>
      </c>
      <c r="LPU645" t="s">
        <v>8150</v>
      </c>
      <c r="LPV645">
        <v>43025</v>
      </c>
      <c r="LPY645" t="s">
        <v>8150</v>
      </c>
      <c r="LPZ645">
        <v>43025</v>
      </c>
      <c r="LQC645" t="s">
        <v>8150</v>
      </c>
      <c r="LQD645">
        <v>43025</v>
      </c>
      <c r="LQG645" t="s">
        <v>8150</v>
      </c>
      <c r="LQH645">
        <v>43025</v>
      </c>
      <c r="LQK645" t="s">
        <v>8150</v>
      </c>
      <c r="LQL645">
        <v>43025</v>
      </c>
      <c r="LQO645" t="s">
        <v>8150</v>
      </c>
      <c r="LQP645">
        <v>43025</v>
      </c>
      <c r="LQS645" t="s">
        <v>8150</v>
      </c>
      <c r="LQT645">
        <v>43025</v>
      </c>
      <c r="LQW645" t="s">
        <v>8150</v>
      </c>
      <c r="LQX645">
        <v>43025</v>
      </c>
      <c r="LRA645" t="s">
        <v>8150</v>
      </c>
      <c r="LRB645">
        <v>43025</v>
      </c>
      <c r="LRE645" t="s">
        <v>8150</v>
      </c>
      <c r="LRF645">
        <v>43025</v>
      </c>
      <c r="LRI645" t="s">
        <v>8150</v>
      </c>
      <c r="LRJ645">
        <v>43025</v>
      </c>
      <c r="LRM645" t="s">
        <v>8150</v>
      </c>
      <c r="LRN645">
        <v>43025</v>
      </c>
      <c r="LRQ645" t="s">
        <v>8150</v>
      </c>
      <c r="LRR645">
        <v>43025</v>
      </c>
      <c r="LRU645" t="s">
        <v>8150</v>
      </c>
      <c r="LRV645">
        <v>43025</v>
      </c>
      <c r="LRY645" t="s">
        <v>8150</v>
      </c>
      <c r="LRZ645">
        <v>43025</v>
      </c>
      <c r="LSC645" t="s">
        <v>8150</v>
      </c>
      <c r="LSD645">
        <v>43025</v>
      </c>
      <c r="LSG645" t="s">
        <v>8150</v>
      </c>
      <c r="LSH645">
        <v>43025</v>
      </c>
      <c r="LSK645" t="s">
        <v>8150</v>
      </c>
      <c r="LSL645">
        <v>43025</v>
      </c>
      <c r="LSO645" t="s">
        <v>8150</v>
      </c>
      <c r="LSP645">
        <v>43025</v>
      </c>
      <c r="LSS645" t="s">
        <v>8150</v>
      </c>
      <c r="LST645">
        <v>43025</v>
      </c>
      <c r="LSW645" t="s">
        <v>8150</v>
      </c>
      <c r="LSX645">
        <v>43025</v>
      </c>
      <c r="LTA645" t="s">
        <v>8150</v>
      </c>
      <c r="LTB645">
        <v>43025</v>
      </c>
      <c r="LTE645" t="s">
        <v>8150</v>
      </c>
      <c r="LTF645">
        <v>43025</v>
      </c>
      <c r="LTI645" t="s">
        <v>8150</v>
      </c>
      <c r="LTJ645">
        <v>43025</v>
      </c>
      <c r="LTM645" t="s">
        <v>8150</v>
      </c>
      <c r="LTN645">
        <v>43025</v>
      </c>
      <c r="LTQ645" t="s">
        <v>8150</v>
      </c>
      <c r="LTR645">
        <v>43025</v>
      </c>
      <c r="LTU645" t="s">
        <v>8150</v>
      </c>
      <c r="LTV645">
        <v>43025</v>
      </c>
      <c r="LTY645" t="s">
        <v>8150</v>
      </c>
      <c r="LTZ645">
        <v>43025</v>
      </c>
      <c r="LUC645" t="s">
        <v>8150</v>
      </c>
      <c r="LUD645">
        <v>43025</v>
      </c>
      <c r="LUG645" t="s">
        <v>8150</v>
      </c>
      <c r="LUH645">
        <v>43025</v>
      </c>
      <c r="LUK645" t="s">
        <v>8150</v>
      </c>
      <c r="LUL645">
        <v>43025</v>
      </c>
      <c r="LUO645" t="s">
        <v>8150</v>
      </c>
      <c r="LUP645">
        <v>43025</v>
      </c>
      <c r="LUS645" t="s">
        <v>8150</v>
      </c>
      <c r="LUT645">
        <v>43025</v>
      </c>
      <c r="LUW645" t="s">
        <v>8150</v>
      </c>
      <c r="LUX645">
        <v>43025</v>
      </c>
      <c r="LVA645" t="s">
        <v>8150</v>
      </c>
      <c r="LVB645">
        <v>43025</v>
      </c>
      <c r="LVE645" t="s">
        <v>8150</v>
      </c>
      <c r="LVF645">
        <v>43025</v>
      </c>
      <c r="LVI645" t="s">
        <v>8150</v>
      </c>
      <c r="LVJ645">
        <v>43025</v>
      </c>
      <c r="LVM645" t="s">
        <v>8150</v>
      </c>
      <c r="LVN645">
        <v>43025</v>
      </c>
      <c r="LVQ645" t="s">
        <v>8150</v>
      </c>
      <c r="LVR645">
        <v>43025</v>
      </c>
      <c r="LVU645" t="s">
        <v>8150</v>
      </c>
      <c r="LVV645">
        <v>43025</v>
      </c>
      <c r="LVY645" t="s">
        <v>8150</v>
      </c>
      <c r="LVZ645">
        <v>43025</v>
      </c>
      <c r="LWC645" t="s">
        <v>8150</v>
      </c>
      <c r="LWD645">
        <v>43025</v>
      </c>
      <c r="LWG645" t="s">
        <v>8150</v>
      </c>
      <c r="LWH645">
        <v>43025</v>
      </c>
      <c r="LWK645" t="s">
        <v>8150</v>
      </c>
      <c r="LWL645">
        <v>43025</v>
      </c>
      <c r="LWO645" t="s">
        <v>8150</v>
      </c>
      <c r="LWP645">
        <v>43025</v>
      </c>
      <c r="LWS645" t="s">
        <v>8150</v>
      </c>
      <c r="LWT645">
        <v>43025</v>
      </c>
      <c r="LWW645" t="s">
        <v>8150</v>
      </c>
      <c r="LWX645">
        <v>43025</v>
      </c>
      <c r="LXA645" t="s">
        <v>8150</v>
      </c>
      <c r="LXB645">
        <v>43025</v>
      </c>
      <c r="LXE645" t="s">
        <v>8150</v>
      </c>
      <c r="LXF645">
        <v>43025</v>
      </c>
      <c r="LXI645" t="s">
        <v>8150</v>
      </c>
      <c r="LXJ645">
        <v>43025</v>
      </c>
      <c r="LXM645" t="s">
        <v>8150</v>
      </c>
      <c r="LXN645">
        <v>43025</v>
      </c>
      <c r="LXQ645" t="s">
        <v>8150</v>
      </c>
      <c r="LXR645">
        <v>43025</v>
      </c>
      <c r="LXU645" t="s">
        <v>8150</v>
      </c>
      <c r="LXV645">
        <v>43025</v>
      </c>
      <c r="LXY645" t="s">
        <v>8150</v>
      </c>
      <c r="LXZ645">
        <v>43025</v>
      </c>
      <c r="LYC645" t="s">
        <v>8150</v>
      </c>
      <c r="LYD645">
        <v>43025</v>
      </c>
      <c r="LYG645" t="s">
        <v>8150</v>
      </c>
      <c r="LYH645">
        <v>43025</v>
      </c>
      <c r="LYK645" t="s">
        <v>8150</v>
      </c>
      <c r="LYL645">
        <v>43025</v>
      </c>
      <c r="LYO645" t="s">
        <v>8150</v>
      </c>
      <c r="LYP645">
        <v>43025</v>
      </c>
      <c r="LYS645" t="s">
        <v>8150</v>
      </c>
      <c r="LYT645">
        <v>43025</v>
      </c>
      <c r="LYW645" t="s">
        <v>8150</v>
      </c>
      <c r="LYX645">
        <v>43025</v>
      </c>
      <c r="LZA645" t="s">
        <v>8150</v>
      </c>
      <c r="LZB645">
        <v>43025</v>
      </c>
      <c r="LZE645" t="s">
        <v>8150</v>
      </c>
      <c r="LZF645">
        <v>43025</v>
      </c>
      <c r="LZI645" t="s">
        <v>8150</v>
      </c>
      <c r="LZJ645">
        <v>43025</v>
      </c>
      <c r="LZM645" t="s">
        <v>8150</v>
      </c>
      <c r="LZN645">
        <v>43025</v>
      </c>
      <c r="LZQ645" t="s">
        <v>8150</v>
      </c>
      <c r="LZR645">
        <v>43025</v>
      </c>
      <c r="LZU645" t="s">
        <v>8150</v>
      </c>
      <c r="LZV645">
        <v>43025</v>
      </c>
      <c r="LZY645" t="s">
        <v>8150</v>
      </c>
      <c r="LZZ645">
        <v>43025</v>
      </c>
      <c r="MAC645" t="s">
        <v>8150</v>
      </c>
      <c r="MAD645">
        <v>43025</v>
      </c>
      <c r="MAG645" t="s">
        <v>8150</v>
      </c>
      <c r="MAH645">
        <v>43025</v>
      </c>
      <c r="MAK645" t="s">
        <v>8150</v>
      </c>
      <c r="MAL645">
        <v>43025</v>
      </c>
      <c r="MAO645" t="s">
        <v>8150</v>
      </c>
      <c r="MAP645">
        <v>43025</v>
      </c>
      <c r="MAS645" t="s">
        <v>8150</v>
      </c>
      <c r="MAT645">
        <v>43025</v>
      </c>
      <c r="MAW645" t="s">
        <v>8150</v>
      </c>
      <c r="MAX645">
        <v>43025</v>
      </c>
      <c r="MBA645" t="s">
        <v>8150</v>
      </c>
      <c r="MBB645">
        <v>43025</v>
      </c>
      <c r="MBE645" t="s">
        <v>8150</v>
      </c>
      <c r="MBF645">
        <v>43025</v>
      </c>
      <c r="MBI645" t="s">
        <v>8150</v>
      </c>
      <c r="MBJ645">
        <v>43025</v>
      </c>
      <c r="MBM645" t="s">
        <v>8150</v>
      </c>
      <c r="MBN645">
        <v>43025</v>
      </c>
      <c r="MBQ645" t="s">
        <v>8150</v>
      </c>
      <c r="MBR645">
        <v>43025</v>
      </c>
      <c r="MBU645" t="s">
        <v>8150</v>
      </c>
      <c r="MBV645">
        <v>43025</v>
      </c>
      <c r="MBY645" t="s">
        <v>8150</v>
      </c>
      <c r="MBZ645">
        <v>43025</v>
      </c>
      <c r="MCC645" t="s">
        <v>8150</v>
      </c>
      <c r="MCD645">
        <v>43025</v>
      </c>
      <c r="MCG645" t="s">
        <v>8150</v>
      </c>
      <c r="MCH645">
        <v>43025</v>
      </c>
      <c r="MCK645" t="s">
        <v>8150</v>
      </c>
      <c r="MCL645">
        <v>43025</v>
      </c>
      <c r="MCO645" t="s">
        <v>8150</v>
      </c>
      <c r="MCP645">
        <v>43025</v>
      </c>
      <c r="MCS645" t="s">
        <v>8150</v>
      </c>
      <c r="MCT645">
        <v>43025</v>
      </c>
      <c r="MCW645" t="s">
        <v>8150</v>
      </c>
      <c r="MCX645">
        <v>43025</v>
      </c>
      <c r="MDA645" t="s">
        <v>8150</v>
      </c>
      <c r="MDB645">
        <v>43025</v>
      </c>
      <c r="MDE645" t="s">
        <v>8150</v>
      </c>
      <c r="MDF645">
        <v>43025</v>
      </c>
      <c r="MDI645" t="s">
        <v>8150</v>
      </c>
      <c r="MDJ645">
        <v>43025</v>
      </c>
      <c r="MDM645" t="s">
        <v>8150</v>
      </c>
      <c r="MDN645">
        <v>43025</v>
      </c>
      <c r="MDQ645" t="s">
        <v>8150</v>
      </c>
      <c r="MDR645">
        <v>43025</v>
      </c>
      <c r="MDU645" t="s">
        <v>8150</v>
      </c>
      <c r="MDV645">
        <v>43025</v>
      </c>
      <c r="MDY645" t="s">
        <v>8150</v>
      </c>
      <c r="MDZ645">
        <v>43025</v>
      </c>
      <c r="MEC645" t="s">
        <v>8150</v>
      </c>
      <c r="MED645">
        <v>43025</v>
      </c>
      <c r="MEG645" t="s">
        <v>8150</v>
      </c>
      <c r="MEH645">
        <v>43025</v>
      </c>
      <c r="MEK645" t="s">
        <v>8150</v>
      </c>
      <c r="MEL645">
        <v>43025</v>
      </c>
      <c r="MEO645" t="s">
        <v>8150</v>
      </c>
      <c r="MEP645">
        <v>43025</v>
      </c>
      <c r="MES645" t="s">
        <v>8150</v>
      </c>
      <c r="MET645">
        <v>43025</v>
      </c>
      <c r="MEW645" t="s">
        <v>8150</v>
      </c>
      <c r="MEX645">
        <v>43025</v>
      </c>
      <c r="MFA645" t="s">
        <v>8150</v>
      </c>
      <c r="MFB645">
        <v>43025</v>
      </c>
      <c r="MFE645" t="s">
        <v>8150</v>
      </c>
      <c r="MFF645">
        <v>43025</v>
      </c>
      <c r="MFI645" t="s">
        <v>8150</v>
      </c>
      <c r="MFJ645">
        <v>43025</v>
      </c>
      <c r="MFM645" t="s">
        <v>8150</v>
      </c>
      <c r="MFN645">
        <v>43025</v>
      </c>
      <c r="MFQ645" t="s">
        <v>8150</v>
      </c>
      <c r="MFR645">
        <v>43025</v>
      </c>
      <c r="MFU645" t="s">
        <v>8150</v>
      </c>
      <c r="MFV645">
        <v>43025</v>
      </c>
      <c r="MFY645" t="s">
        <v>8150</v>
      </c>
      <c r="MFZ645">
        <v>43025</v>
      </c>
      <c r="MGC645" t="s">
        <v>8150</v>
      </c>
      <c r="MGD645">
        <v>43025</v>
      </c>
      <c r="MGG645" t="s">
        <v>8150</v>
      </c>
      <c r="MGH645">
        <v>43025</v>
      </c>
      <c r="MGK645" t="s">
        <v>8150</v>
      </c>
      <c r="MGL645">
        <v>43025</v>
      </c>
      <c r="MGO645" t="s">
        <v>8150</v>
      </c>
      <c r="MGP645">
        <v>43025</v>
      </c>
      <c r="MGS645" t="s">
        <v>8150</v>
      </c>
      <c r="MGT645">
        <v>43025</v>
      </c>
      <c r="MGW645" t="s">
        <v>8150</v>
      </c>
      <c r="MGX645">
        <v>43025</v>
      </c>
      <c r="MHA645" t="s">
        <v>8150</v>
      </c>
      <c r="MHB645">
        <v>43025</v>
      </c>
      <c r="MHE645" t="s">
        <v>8150</v>
      </c>
      <c r="MHF645">
        <v>43025</v>
      </c>
      <c r="MHI645" t="s">
        <v>8150</v>
      </c>
      <c r="MHJ645">
        <v>43025</v>
      </c>
      <c r="MHM645" t="s">
        <v>8150</v>
      </c>
      <c r="MHN645">
        <v>43025</v>
      </c>
      <c r="MHQ645" t="s">
        <v>8150</v>
      </c>
      <c r="MHR645">
        <v>43025</v>
      </c>
      <c r="MHU645" t="s">
        <v>8150</v>
      </c>
      <c r="MHV645">
        <v>43025</v>
      </c>
      <c r="MHY645" t="s">
        <v>8150</v>
      </c>
      <c r="MHZ645">
        <v>43025</v>
      </c>
      <c r="MIC645" t="s">
        <v>8150</v>
      </c>
      <c r="MID645">
        <v>43025</v>
      </c>
      <c r="MIG645" t="s">
        <v>8150</v>
      </c>
      <c r="MIH645">
        <v>43025</v>
      </c>
      <c r="MIK645" t="s">
        <v>8150</v>
      </c>
      <c r="MIL645">
        <v>43025</v>
      </c>
      <c r="MIO645" t="s">
        <v>8150</v>
      </c>
      <c r="MIP645">
        <v>43025</v>
      </c>
      <c r="MIS645" t="s">
        <v>8150</v>
      </c>
      <c r="MIT645">
        <v>43025</v>
      </c>
      <c r="MIW645" t="s">
        <v>8150</v>
      </c>
      <c r="MIX645">
        <v>43025</v>
      </c>
      <c r="MJA645" t="s">
        <v>8150</v>
      </c>
      <c r="MJB645">
        <v>43025</v>
      </c>
      <c r="MJE645" t="s">
        <v>8150</v>
      </c>
      <c r="MJF645">
        <v>43025</v>
      </c>
      <c r="MJI645" t="s">
        <v>8150</v>
      </c>
      <c r="MJJ645">
        <v>43025</v>
      </c>
      <c r="MJM645" t="s">
        <v>8150</v>
      </c>
      <c r="MJN645">
        <v>43025</v>
      </c>
      <c r="MJQ645" t="s">
        <v>8150</v>
      </c>
      <c r="MJR645">
        <v>43025</v>
      </c>
      <c r="MJU645" t="s">
        <v>8150</v>
      </c>
      <c r="MJV645">
        <v>43025</v>
      </c>
      <c r="MJY645" t="s">
        <v>8150</v>
      </c>
      <c r="MJZ645">
        <v>43025</v>
      </c>
      <c r="MKC645" t="s">
        <v>8150</v>
      </c>
      <c r="MKD645">
        <v>43025</v>
      </c>
      <c r="MKG645" t="s">
        <v>8150</v>
      </c>
      <c r="MKH645">
        <v>43025</v>
      </c>
      <c r="MKK645" t="s">
        <v>8150</v>
      </c>
      <c r="MKL645">
        <v>43025</v>
      </c>
      <c r="MKO645" t="s">
        <v>8150</v>
      </c>
      <c r="MKP645">
        <v>43025</v>
      </c>
      <c r="MKS645" t="s">
        <v>8150</v>
      </c>
      <c r="MKT645">
        <v>43025</v>
      </c>
      <c r="MKW645" t="s">
        <v>8150</v>
      </c>
      <c r="MKX645">
        <v>43025</v>
      </c>
      <c r="MLA645" t="s">
        <v>8150</v>
      </c>
      <c r="MLB645">
        <v>43025</v>
      </c>
      <c r="MLE645" t="s">
        <v>8150</v>
      </c>
      <c r="MLF645">
        <v>43025</v>
      </c>
      <c r="MLI645" t="s">
        <v>8150</v>
      </c>
      <c r="MLJ645">
        <v>43025</v>
      </c>
      <c r="MLM645" t="s">
        <v>8150</v>
      </c>
      <c r="MLN645">
        <v>43025</v>
      </c>
      <c r="MLQ645" t="s">
        <v>8150</v>
      </c>
      <c r="MLR645">
        <v>43025</v>
      </c>
      <c r="MLU645" t="s">
        <v>8150</v>
      </c>
      <c r="MLV645">
        <v>43025</v>
      </c>
      <c r="MLY645" t="s">
        <v>8150</v>
      </c>
      <c r="MLZ645">
        <v>43025</v>
      </c>
      <c r="MMC645" t="s">
        <v>8150</v>
      </c>
      <c r="MMD645">
        <v>43025</v>
      </c>
      <c r="MMG645" t="s">
        <v>8150</v>
      </c>
      <c r="MMH645">
        <v>43025</v>
      </c>
      <c r="MMK645" t="s">
        <v>8150</v>
      </c>
      <c r="MML645">
        <v>43025</v>
      </c>
      <c r="MMO645" t="s">
        <v>8150</v>
      </c>
      <c r="MMP645">
        <v>43025</v>
      </c>
      <c r="MMS645" t="s">
        <v>8150</v>
      </c>
      <c r="MMT645">
        <v>43025</v>
      </c>
      <c r="MMW645" t="s">
        <v>8150</v>
      </c>
      <c r="MMX645">
        <v>43025</v>
      </c>
      <c r="MNA645" t="s">
        <v>8150</v>
      </c>
      <c r="MNB645">
        <v>43025</v>
      </c>
      <c r="MNE645" t="s">
        <v>8150</v>
      </c>
      <c r="MNF645">
        <v>43025</v>
      </c>
      <c r="MNI645" t="s">
        <v>8150</v>
      </c>
      <c r="MNJ645">
        <v>43025</v>
      </c>
      <c r="MNM645" t="s">
        <v>8150</v>
      </c>
      <c r="MNN645">
        <v>43025</v>
      </c>
      <c r="MNQ645" t="s">
        <v>8150</v>
      </c>
      <c r="MNR645">
        <v>43025</v>
      </c>
      <c r="MNU645" t="s">
        <v>8150</v>
      </c>
      <c r="MNV645">
        <v>43025</v>
      </c>
      <c r="MNY645" t="s">
        <v>8150</v>
      </c>
      <c r="MNZ645">
        <v>43025</v>
      </c>
      <c r="MOC645" t="s">
        <v>8150</v>
      </c>
      <c r="MOD645">
        <v>43025</v>
      </c>
      <c r="MOG645" t="s">
        <v>8150</v>
      </c>
      <c r="MOH645">
        <v>43025</v>
      </c>
      <c r="MOK645" t="s">
        <v>8150</v>
      </c>
      <c r="MOL645">
        <v>43025</v>
      </c>
      <c r="MOO645" t="s">
        <v>8150</v>
      </c>
      <c r="MOP645">
        <v>43025</v>
      </c>
      <c r="MOS645" t="s">
        <v>8150</v>
      </c>
      <c r="MOT645">
        <v>43025</v>
      </c>
      <c r="MOW645" t="s">
        <v>8150</v>
      </c>
      <c r="MOX645">
        <v>43025</v>
      </c>
      <c r="MPA645" t="s">
        <v>8150</v>
      </c>
      <c r="MPB645">
        <v>43025</v>
      </c>
      <c r="MPE645" t="s">
        <v>8150</v>
      </c>
      <c r="MPF645">
        <v>43025</v>
      </c>
      <c r="MPI645" t="s">
        <v>8150</v>
      </c>
      <c r="MPJ645">
        <v>43025</v>
      </c>
      <c r="MPM645" t="s">
        <v>8150</v>
      </c>
      <c r="MPN645">
        <v>43025</v>
      </c>
      <c r="MPQ645" t="s">
        <v>8150</v>
      </c>
      <c r="MPR645">
        <v>43025</v>
      </c>
      <c r="MPU645" t="s">
        <v>8150</v>
      </c>
      <c r="MPV645">
        <v>43025</v>
      </c>
      <c r="MPY645" t="s">
        <v>8150</v>
      </c>
      <c r="MPZ645">
        <v>43025</v>
      </c>
      <c r="MQC645" t="s">
        <v>8150</v>
      </c>
      <c r="MQD645">
        <v>43025</v>
      </c>
      <c r="MQG645" t="s">
        <v>8150</v>
      </c>
      <c r="MQH645">
        <v>43025</v>
      </c>
      <c r="MQK645" t="s">
        <v>8150</v>
      </c>
      <c r="MQL645">
        <v>43025</v>
      </c>
      <c r="MQO645" t="s">
        <v>8150</v>
      </c>
      <c r="MQP645">
        <v>43025</v>
      </c>
      <c r="MQS645" t="s">
        <v>8150</v>
      </c>
      <c r="MQT645">
        <v>43025</v>
      </c>
      <c r="MQW645" t="s">
        <v>8150</v>
      </c>
      <c r="MQX645">
        <v>43025</v>
      </c>
      <c r="MRA645" t="s">
        <v>8150</v>
      </c>
      <c r="MRB645">
        <v>43025</v>
      </c>
      <c r="MRE645" t="s">
        <v>8150</v>
      </c>
      <c r="MRF645">
        <v>43025</v>
      </c>
      <c r="MRI645" t="s">
        <v>8150</v>
      </c>
      <c r="MRJ645">
        <v>43025</v>
      </c>
      <c r="MRM645" t="s">
        <v>8150</v>
      </c>
      <c r="MRN645">
        <v>43025</v>
      </c>
      <c r="MRQ645" t="s">
        <v>8150</v>
      </c>
      <c r="MRR645">
        <v>43025</v>
      </c>
      <c r="MRU645" t="s">
        <v>8150</v>
      </c>
      <c r="MRV645">
        <v>43025</v>
      </c>
      <c r="MRY645" t="s">
        <v>8150</v>
      </c>
      <c r="MRZ645">
        <v>43025</v>
      </c>
      <c r="MSC645" t="s">
        <v>8150</v>
      </c>
      <c r="MSD645">
        <v>43025</v>
      </c>
      <c r="MSG645" t="s">
        <v>8150</v>
      </c>
      <c r="MSH645">
        <v>43025</v>
      </c>
      <c r="MSK645" t="s">
        <v>8150</v>
      </c>
      <c r="MSL645">
        <v>43025</v>
      </c>
      <c r="MSO645" t="s">
        <v>8150</v>
      </c>
      <c r="MSP645">
        <v>43025</v>
      </c>
      <c r="MSS645" t="s">
        <v>8150</v>
      </c>
      <c r="MST645">
        <v>43025</v>
      </c>
      <c r="MSW645" t="s">
        <v>8150</v>
      </c>
      <c r="MSX645">
        <v>43025</v>
      </c>
      <c r="MTA645" t="s">
        <v>8150</v>
      </c>
      <c r="MTB645">
        <v>43025</v>
      </c>
      <c r="MTE645" t="s">
        <v>8150</v>
      </c>
      <c r="MTF645">
        <v>43025</v>
      </c>
      <c r="MTI645" t="s">
        <v>8150</v>
      </c>
      <c r="MTJ645">
        <v>43025</v>
      </c>
      <c r="MTM645" t="s">
        <v>8150</v>
      </c>
      <c r="MTN645">
        <v>43025</v>
      </c>
      <c r="MTQ645" t="s">
        <v>8150</v>
      </c>
      <c r="MTR645">
        <v>43025</v>
      </c>
      <c r="MTU645" t="s">
        <v>8150</v>
      </c>
      <c r="MTV645">
        <v>43025</v>
      </c>
      <c r="MTY645" t="s">
        <v>8150</v>
      </c>
      <c r="MTZ645">
        <v>43025</v>
      </c>
      <c r="MUC645" t="s">
        <v>8150</v>
      </c>
      <c r="MUD645">
        <v>43025</v>
      </c>
      <c r="MUG645" t="s">
        <v>8150</v>
      </c>
      <c r="MUH645">
        <v>43025</v>
      </c>
      <c r="MUK645" t="s">
        <v>8150</v>
      </c>
      <c r="MUL645">
        <v>43025</v>
      </c>
      <c r="MUO645" t="s">
        <v>8150</v>
      </c>
      <c r="MUP645">
        <v>43025</v>
      </c>
      <c r="MUS645" t="s">
        <v>8150</v>
      </c>
      <c r="MUT645">
        <v>43025</v>
      </c>
      <c r="MUW645" t="s">
        <v>8150</v>
      </c>
      <c r="MUX645">
        <v>43025</v>
      </c>
      <c r="MVA645" t="s">
        <v>8150</v>
      </c>
      <c r="MVB645">
        <v>43025</v>
      </c>
      <c r="MVE645" t="s">
        <v>8150</v>
      </c>
      <c r="MVF645">
        <v>43025</v>
      </c>
      <c r="MVI645" t="s">
        <v>8150</v>
      </c>
      <c r="MVJ645">
        <v>43025</v>
      </c>
      <c r="MVM645" t="s">
        <v>8150</v>
      </c>
      <c r="MVN645">
        <v>43025</v>
      </c>
      <c r="MVQ645" t="s">
        <v>8150</v>
      </c>
      <c r="MVR645">
        <v>43025</v>
      </c>
      <c r="MVU645" t="s">
        <v>8150</v>
      </c>
      <c r="MVV645">
        <v>43025</v>
      </c>
      <c r="MVY645" t="s">
        <v>8150</v>
      </c>
      <c r="MVZ645">
        <v>43025</v>
      </c>
      <c r="MWC645" t="s">
        <v>8150</v>
      </c>
      <c r="MWD645">
        <v>43025</v>
      </c>
      <c r="MWG645" t="s">
        <v>8150</v>
      </c>
      <c r="MWH645">
        <v>43025</v>
      </c>
      <c r="MWK645" t="s">
        <v>8150</v>
      </c>
      <c r="MWL645">
        <v>43025</v>
      </c>
      <c r="MWO645" t="s">
        <v>8150</v>
      </c>
      <c r="MWP645">
        <v>43025</v>
      </c>
      <c r="MWS645" t="s">
        <v>8150</v>
      </c>
      <c r="MWT645">
        <v>43025</v>
      </c>
      <c r="MWW645" t="s">
        <v>8150</v>
      </c>
      <c r="MWX645">
        <v>43025</v>
      </c>
      <c r="MXA645" t="s">
        <v>8150</v>
      </c>
      <c r="MXB645">
        <v>43025</v>
      </c>
      <c r="MXE645" t="s">
        <v>8150</v>
      </c>
      <c r="MXF645">
        <v>43025</v>
      </c>
      <c r="MXI645" t="s">
        <v>8150</v>
      </c>
      <c r="MXJ645">
        <v>43025</v>
      </c>
      <c r="MXM645" t="s">
        <v>8150</v>
      </c>
      <c r="MXN645">
        <v>43025</v>
      </c>
      <c r="MXQ645" t="s">
        <v>8150</v>
      </c>
      <c r="MXR645">
        <v>43025</v>
      </c>
      <c r="MXU645" t="s">
        <v>8150</v>
      </c>
      <c r="MXV645">
        <v>43025</v>
      </c>
      <c r="MXY645" t="s">
        <v>8150</v>
      </c>
      <c r="MXZ645">
        <v>43025</v>
      </c>
      <c r="MYC645" t="s">
        <v>8150</v>
      </c>
      <c r="MYD645">
        <v>43025</v>
      </c>
      <c r="MYG645" t="s">
        <v>8150</v>
      </c>
      <c r="MYH645">
        <v>43025</v>
      </c>
      <c r="MYK645" t="s">
        <v>8150</v>
      </c>
      <c r="MYL645">
        <v>43025</v>
      </c>
      <c r="MYO645" t="s">
        <v>8150</v>
      </c>
      <c r="MYP645">
        <v>43025</v>
      </c>
      <c r="MYS645" t="s">
        <v>8150</v>
      </c>
      <c r="MYT645">
        <v>43025</v>
      </c>
      <c r="MYW645" t="s">
        <v>8150</v>
      </c>
      <c r="MYX645">
        <v>43025</v>
      </c>
      <c r="MZA645" t="s">
        <v>8150</v>
      </c>
      <c r="MZB645">
        <v>43025</v>
      </c>
      <c r="MZE645" t="s">
        <v>8150</v>
      </c>
      <c r="MZF645">
        <v>43025</v>
      </c>
      <c r="MZI645" t="s">
        <v>8150</v>
      </c>
      <c r="MZJ645">
        <v>43025</v>
      </c>
      <c r="MZM645" t="s">
        <v>8150</v>
      </c>
      <c r="MZN645">
        <v>43025</v>
      </c>
      <c r="MZQ645" t="s">
        <v>8150</v>
      </c>
      <c r="MZR645">
        <v>43025</v>
      </c>
      <c r="MZU645" t="s">
        <v>8150</v>
      </c>
      <c r="MZV645">
        <v>43025</v>
      </c>
      <c r="MZY645" t="s">
        <v>8150</v>
      </c>
      <c r="MZZ645">
        <v>43025</v>
      </c>
      <c r="NAC645" t="s">
        <v>8150</v>
      </c>
      <c r="NAD645">
        <v>43025</v>
      </c>
      <c r="NAG645" t="s">
        <v>8150</v>
      </c>
      <c r="NAH645">
        <v>43025</v>
      </c>
      <c r="NAK645" t="s">
        <v>8150</v>
      </c>
      <c r="NAL645">
        <v>43025</v>
      </c>
      <c r="NAO645" t="s">
        <v>8150</v>
      </c>
      <c r="NAP645">
        <v>43025</v>
      </c>
      <c r="NAS645" t="s">
        <v>8150</v>
      </c>
      <c r="NAT645">
        <v>43025</v>
      </c>
      <c r="NAW645" t="s">
        <v>8150</v>
      </c>
      <c r="NAX645">
        <v>43025</v>
      </c>
      <c r="NBA645" t="s">
        <v>8150</v>
      </c>
      <c r="NBB645">
        <v>43025</v>
      </c>
      <c r="NBE645" t="s">
        <v>8150</v>
      </c>
      <c r="NBF645">
        <v>43025</v>
      </c>
      <c r="NBI645" t="s">
        <v>8150</v>
      </c>
      <c r="NBJ645">
        <v>43025</v>
      </c>
      <c r="NBM645" t="s">
        <v>8150</v>
      </c>
      <c r="NBN645">
        <v>43025</v>
      </c>
      <c r="NBQ645" t="s">
        <v>8150</v>
      </c>
      <c r="NBR645">
        <v>43025</v>
      </c>
      <c r="NBU645" t="s">
        <v>8150</v>
      </c>
      <c r="NBV645">
        <v>43025</v>
      </c>
      <c r="NBY645" t="s">
        <v>8150</v>
      </c>
      <c r="NBZ645">
        <v>43025</v>
      </c>
      <c r="NCC645" t="s">
        <v>8150</v>
      </c>
      <c r="NCD645">
        <v>43025</v>
      </c>
      <c r="NCG645" t="s">
        <v>8150</v>
      </c>
      <c r="NCH645">
        <v>43025</v>
      </c>
      <c r="NCK645" t="s">
        <v>8150</v>
      </c>
      <c r="NCL645">
        <v>43025</v>
      </c>
      <c r="NCO645" t="s">
        <v>8150</v>
      </c>
      <c r="NCP645">
        <v>43025</v>
      </c>
      <c r="NCS645" t="s">
        <v>8150</v>
      </c>
      <c r="NCT645">
        <v>43025</v>
      </c>
      <c r="NCW645" t="s">
        <v>8150</v>
      </c>
      <c r="NCX645">
        <v>43025</v>
      </c>
      <c r="NDA645" t="s">
        <v>8150</v>
      </c>
      <c r="NDB645">
        <v>43025</v>
      </c>
      <c r="NDE645" t="s">
        <v>8150</v>
      </c>
      <c r="NDF645">
        <v>43025</v>
      </c>
      <c r="NDI645" t="s">
        <v>8150</v>
      </c>
      <c r="NDJ645">
        <v>43025</v>
      </c>
      <c r="NDM645" t="s">
        <v>8150</v>
      </c>
      <c r="NDN645">
        <v>43025</v>
      </c>
      <c r="NDQ645" t="s">
        <v>8150</v>
      </c>
      <c r="NDR645">
        <v>43025</v>
      </c>
      <c r="NDU645" t="s">
        <v>8150</v>
      </c>
      <c r="NDV645">
        <v>43025</v>
      </c>
      <c r="NDY645" t="s">
        <v>8150</v>
      </c>
      <c r="NDZ645">
        <v>43025</v>
      </c>
      <c r="NEC645" t="s">
        <v>8150</v>
      </c>
      <c r="NED645">
        <v>43025</v>
      </c>
      <c r="NEG645" t="s">
        <v>8150</v>
      </c>
      <c r="NEH645">
        <v>43025</v>
      </c>
      <c r="NEK645" t="s">
        <v>8150</v>
      </c>
      <c r="NEL645">
        <v>43025</v>
      </c>
      <c r="NEO645" t="s">
        <v>8150</v>
      </c>
      <c r="NEP645">
        <v>43025</v>
      </c>
      <c r="NES645" t="s">
        <v>8150</v>
      </c>
      <c r="NET645">
        <v>43025</v>
      </c>
      <c r="NEW645" t="s">
        <v>8150</v>
      </c>
      <c r="NEX645">
        <v>43025</v>
      </c>
      <c r="NFA645" t="s">
        <v>8150</v>
      </c>
      <c r="NFB645">
        <v>43025</v>
      </c>
      <c r="NFE645" t="s">
        <v>8150</v>
      </c>
      <c r="NFF645">
        <v>43025</v>
      </c>
      <c r="NFI645" t="s">
        <v>8150</v>
      </c>
      <c r="NFJ645">
        <v>43025</v>
      </c>
      <c r="NFM645" t="s">
        <v>8150</v>
      </c>
      <c r="NFN645">
        <v>43025</v>
      </c>
      <c r="NFQ645" t="s">
        <v>8150</v>
      </c>
      <c r="NFR645">
        <v>43025</v>
      </c>
      <c r="NFU645" t="s">
        <v>8150</v>
      </c>
      <c r="NFV645">
        <v>43025</v>
      </c>
      <c r="NFY645" t="s">
        <v>8150</v>
      </c>
      <c r="NFZ645">
        <v>43025</v>
      </c>
      <c r="NGC645" t="s">
        <v>8150</v>
      </c>
      <c r="NGD645">
        <v>43025</v>
      </c>
      <c r="NGG645" t="s">
        <v>8150</v>
      </c>
      <c r="NGH645">
        <v>43025</v>
      </c>
      <c r="NGK645" t="s">
        <v>8150</v>
      </c>
      <c r="NGL645">
        <v>43025</v>
      </c>
      <c r="NGO645" t="s">
        <v>8150</v>
      </c>
      <c r="NGP645">
        <v>43025</v>
      </c>
      <c r="NGS645" t="s">
        <v>8150</v>
      </c>
      <c r="NGT645">
        <v>43025</v>
      </c>
      <c r="NGW645" t="s">
        <v>8150</v>
      </c>
      <c r="NGX645">
        <v>43025</v>
      </c>
      <c r="NHA645" t="s">
        <v>8150</v>
      </c>
      <c r="NHB645">
        <v>43025</v>
      </c>
      <c r="NHE645" t="s">
        <v>8150</v>
      </c>
      <c r="NHF645">
        <v>43025</v>
      </c>
      <c r="NHI645" t="s">
        <v>8150</v>
      </c>
      <c r="NHJ645">
        <v>43025</v>
      </c>
      <c r="NHM645" t="s">
        <v>8150</v>
      </c>
      <c r="NHN645">
        <v>43025</v>
      </c>
      <c r="NHQ645" t="s">
        <v>8150</v>
      </c>
      <c r="NHR645">
        <v>43025</v>
      </c>
      <c r="NHU645" t="s">
        <v>8150</v>
      </c>
      <c r="NHV645">
        <v>43025</v>
      </c>
      <c r="NHY645" t="s">
        <v>8150</v>
      </c>
      <c r="NHZ645">
        <v>43025</v>
      </c>
      <c r="NIC645" t="s">
        <v>8150</v>
      </c>
      <c r="NID645">
        <v>43025</v>
      </c>
      <c r="NIG645" t="s">
        <v>8150</v>
      </c>
      <c r="NIH645">
        <v>43025</v>
      </c>
      <c r="NIK645" t="s">
        <v>8150</v>
      </c>
      <c r="NIL645">
        <v>43025</v>
      </c>
      <c r="NIO645" t="s">
        <v>8150</v>
      </c>
      <c r="NIP645">
        <v>43025</v>
      </c>
      <c r="NIS645" t="s">
        <v>8150</v>
      </c>
      <c r="NIT645">
        <v>43025</v>
      </c>
      <c r="NIW645" t="s">
        <v>8150</v>
      </c>
      <c r="NIX645">
        <v>43025</v>
      </c>
      <c r="NJA645" t="s">
        <v>8150</v>
      </c>
      <c r="NJB645">
        <v>43025</v>
      </c>
      <c r="NJE645" t="s">
        <v>8150</v>
      </c>
      <c r="NJF645">
        <v>43025</v>
      </c>
      <c r="NJI645" t="s">
        <v>8150</v>
      </c>
      <c r="NJJ645">
        <v>43025</v>
      </c>
      <c r="NJM645" t="s">
        <v>8150</v>
      </c>
      <c r="NJN645">
        <v>43025</v>
      </c>
      <c r="NJQ645" t="s">
        <v>8150</v>
      </c>
      <c r="NJR645">
        <v>43025</v>
      </c>
      <c r="NJU645" t="s">
        <v>8150</v>
      </c>
      <c r="NJV645">
        <v>43025</v>
      </c>
      <c r="NJY645" t="s">
        <v>8150</v>
      </c>
      <c r="NJZ645">
        <v>43025</v>
      </c>
      <c r="NKC645" t="s">
        <v>8150</v>
      </c>
      <c r="NKD645">
        <v>43025</v>
      </c>
      <c r="NKG645" t="s">
        <v>8150</v>
      </c>
      <c r="NKH645">
        <v>43025</v>
      </c>
      <c r="NKK645" t="s">
        <v>8150</v>
      </c>
      <c r="NKL645">
        <v>43025</v>
      </c>
      <c r="NKO645" t="s">
        <v>8150</v>
      </c>
      <c r="NKP645">
        <v>43025</v>
      </c>
      <c r="NKS645" t="s">
        <v>8150</v>
      </c>
      <c r="NKT645">
        <v>43025</v>
      </c>
      <c r="NKW645" t="s">
        <v>8150</v>
      </c>
      <c r="NKX645">
        <v>43025</v>
      </c>
      <c r="NLA645" t="s">
        <v>8150</v>
      </c>
      <c r="NLB645">
        <v>43025</v>
      </c>
      <c r="NLE645" t="s">
        <v>8150</v>
      </c>
      <c r="NLF645">
        <v>43025</v>
      </c>
      <c r="NLI645" t="s">
        <v>8150</v>
      </c>
      <c r="NLJ645">
        <v>43025</v>
      </c>
      <c r="NLM645" t="s">
        <v>8150</v>
      </c>
      <c r="NLN645">
        <v>43025</v>
      </c>
      <c r="NLQ645" t="s">
        <v>8150</v>
      </c>
      <c r="NLR645">
        <v>43025</v>
      </c>
      <c r="NLU645" t="s">
        <v>8150</v>
      </c>
      <c r="NLV645">
        <v>43025</v>
      </c>
      <c r="NLY645" t="s">
        <v>8150</v>
      </c>
      <c r="NLZ645">
        <v>43025</v>
      </c>
      <c r="NMC645" t="s">
        <v>8150</v>
      </c>
      <c r="NMD645">
        <v>43025</v>
      </c>
      <c r="NMG645" t="s">
        <v>8150</v>
      </c>
      <c r="NMH645">
        <v>43025</v>
      </c>
      <c r="NMK645" t="s">
        <v>8150</v>
      </c>
      <c r="NML645">
        <v>43025</v>
      </c>
      <c r="NMO645" t="s">
        <v>8150</v>
      </c>
      <c r="NMP645">
        <v>43025</v>
      </c>
      <c r="NMS645" t="s">
        <v>8150</v>
      </c>
      <c r="NMT645">
        <v>43025</v>
      </c>
      <c r="NMW645" t="s">
        <v>8150</v>
      </c>
      <c r="NMX645">
        <v>43025</v>
      </c>
      <c r="NNA645" t="s">
        <v>8150</v>
      </c>
      <c r="NNB645">
        <v>43025</v>
      </c>
      <c r="NNE645" t="s">
        <v>8150</v>
      </c>
      <c r="NNF645">
        <v>43025</v>
      </c>
      <c r="NNI645" t="s">
        <v>8150</v>
      </c>
      <c r="NNJ645">
        <v>43025</v>
      </c>
      <c r="NNM645" t="s">
        <v>8150</v>
      </c>
      <c r="NNN645">
        <v>43025</v>
      </c>
      <c r="NNQ645" t="s">
        <v>8150</v>
      </c>
      <c r="NNR645">
        <v>43025</v>
      </c>
      <c r="NNU645" t="s">
        <v>8150</v>
      </c>
      <c r="NNV645">
        <v>43025</v>
      </c>
      <c r="NNY645" t="s">
        <v>8150</v>
      </c>
      <c r="NNZ645">
        <v>43025</v>
      </c>
      <c r="NOC645" t="s">
        <v>8150</v>
      </c>
      <c r="NOD645">
        <v>43025</v>
      </c>
      <c r="NOG645" t="s">
        <v>8150</v>
      </c>
      <c r="NOH645">
        <v>43025</v>
      </c>
      <c r="NOK645" t="s">
        <v>8150</v>
      </c>
      <c r="NOL645">
        <v>43025</v>
      </c>
      <c r="NOO645" t="s">
        <v>8150</v>
      </c>
      <c r="NOP645">
        <v>43025</v>
      </c>
      <c r="NOS645" t="s">
        <v>8150</v>
      </c>
      <c r="NOT645">
        <v>43025</v>
      </c>
      <c r="NOW645" t="s">
        <v>8150</v>
      </c>
      <c r="NOX645">
        <v>43025</v>
      </c>
      <c r="NPA645" t="s">
        <v>8150</v>
      </c>
      <c r="NPB645">
        <v>43025</v>
      </c>
      <c r="NPE645" t="s">
        <v>8150</v>
      </c>
      <c r="NPF645">
        <v>43025</v>
      </c>
      <c r="NPI645" t="s">
        <v>8150</v>
      </c>
      <c r="NPJ645">
        <v>43025</v>
      </c>
      <c r="NPM645" t="s">
        <v>8150</v>
      </c>
      <c r="NPN645">
        <v>43025</v>
      </c>
      <c r="NPQ645" t="s">
        <v>8150</v>
      </c>
      <c r="NPR645">
        <v>43025</v>
      </c>
      <c r="NPU645" t="s">
        <v>8150</v>
      </c>
      <c r="NPV645">
        <v>43025</v>
      </c>
      <c r="NPY645" t="s">
        <v>8150</v>
      </c>
      <c r="NPZ645">
        <v>43025</v>
      </c>
      <c r="NQC645" t="s">
        <v>8150</v>
      </c>
      <c r="NQD645">
        <v>43025</v>
      </c>
      <c r="NQG645" t="s">
        <v>8150</v>
      </c>
      <c r="NQH645">
        <v>43025</v>
      </c>
      <c r="NQK645" t="s">
        <v>8150</v>
      </c>
      <c r="NQL645">
        <v>43025</v>
      </c>
      <c r="NQO645" t="s">
        <v>8150</v>
      </c>
      <c r="NQP645">
        <v>43025</v>
      </c>
      <c r="NQS645" t="s">
        <v>8150</v>
      </c>
      <c r="NQT645">
        <v>43025</v>
      </c>
      <c r="NQW645" t="s">
        <v>8150</v>
      </c>
      <c r="NQX645">
        <v>43025</v>
      </c>
      <c r="NRA645" t="s">
        <v>8150</v>
      </c>
      <c r="NRB645">
        <v>43025</v>
      </c>
      <c r="NRE645" t="s">
        <v>8150</v>
      </c>
      <c r="NRF645">
        <v>43025</v>
      </c>
      <c r="NRI645" t="s">
        <v>8150</v>
      </c>
      <c r="NRJ645">
        <v>43025</v>
      </c>
      <c r="NRM645" t="s">
        <v>8150</v>
      </c>
      <c r="NRN645">
        <v>43025</v>
      </c>
      <c r="NRQ645" t="s">
        <v>8150</v>
      </c>
      <c r="NRR645">
        <v>43025</v>
      </c>
      <c r="NRU645" t="s">
        <v>8150</v>
      </c>
      <c r="NRV645">
        <v>43025</v>
      </c>
      <c r="NRY645" t="s">
        <v>8150</v>
      </c>
      <c r="NRZ645">
        <v>43025</v>
      </c>
      <c r="NSC645" t="s">
        <v>8150</v>
      </c>
      <c r="NSD645">
        <v>43025</v>
      </c>
      <c r="NSG645" t="s">
        <v>8150</v>
      </c>
      <c r="NSH645">
        <v>43025</v>
      </c>
      <c r="NSK645" t="s">
        <v>8150</v>
      </c>
      <c r="NSL645">
        <v>43025</v>
      </c>
      <c r="NSO645" t="s">
        <v>8150</v>
      </c>
      <c r="NSP645">
        <v>43025</v>
      </c>
      <c r="NSS645" t="s">
        <v>8150</v>
      </c>
      <c r="NST645">
        <v>43025</v>
      </c>
      <c r="NSW645" t="s">
        <v>8150</v>
      </c>
      <c r="NSX645">
        <v>43025</v>
      </c>
      <c r="NTA645" t="s">
        <v>8150</v>
      </c>
      <c r="NTB645">
        <v>43025</v>
      </c>
      <c r="NTE645" t="s">
        <v>8150</v>
      </c>
      <c r="NTF645">
        <v>43025</v>
      </c>
      <c r="NTI645" t="s">
        <v>8150</v>
      </c>
      <c r="NTJ645">
        <v>43025</v>
      </c>
      <c r="NTM645" t="s">
        <v>8150</v>
      </c>
      <c r="NTN645">
        <v>43025</v>
      </c>
      <c r="NTQ645" t="s">
        <v>8150</v>
      </c>
      <c r="NTR645">
        <v>43025</v>
      </c>
      <c r="NTU645" t="s">
        <v>8150</v>
      </c>
      <c r="NTV645">
        <v>43025</v>
      </c>
      <c r="NTY645" t="s">
        <v>8150</v>
      </c>
      <c r="NTZ645">
        <v>43025</v>
      </c>
      <c r="NUC645" t="s">
        <v>8150</v>
      </c>
      <c r="NUD645">
        <v>43025</v>
      </c>
      <c r="NUG645" t="s">
        <v>8150</v>
      </c>
      <c r="NUH645">
        <v>43025</v>
      </c>
      <c r="NUK645" t="s">
        <v>8150</v>
      </c>
      <c r="NUL645">
        <v>43025</v>
      </c>
      <c r="NUO645" t="s">
        <v>8150</v>
      </c>
      <c r="NUP645">
        <v>43025</v>
      </c>
      <c r="NUS645" t="s">
        <v>8150</v>
      </c>
      <c r="NUT645">
        <v>43025</v>
      </c>
      <c r="NUW645" t="s">
        <v>8150</v>
      </c>
      <c r="NUX645">
        <v>43025</v>
      </c>
      <c r="NVA645" t="s">
        <v>8150</v>
      </c>
      <c r="NVB645">
        <v>43025</v>
      </c>
      <c r="NVE645" t="s">
        <v>8150</v>
      </c>
      <c r="NVF645">
        <v>43025</v>
      </c>
      <c r="NVI645" t="s">
        <v>8150</v>
      </c>
      <c r="NVJ645">
        <v>43025</v>
      </c>
      <c r="NVM645" t="s">
        <v>8150</v>
      </c>
      <c r="NVN645">
        <v>43025</v>
      </c>
      <c r="NVQ645" t="s">
        <v>8150</v>
      </c>
      <c r="NVR645">
        <v>43025</v>
      </c>
      <c r="NVU645" t="s">
        <v>8150</v>
      </c>
      <c r="NVV645">
        <v>43025</v>
      </c>
      <c r="NVY645" t="s">
        <v>8150</v>
      </c>
      <c r="NVZ645">
        <v>43025</v>
      </c>
      <c r="NWC645" t="s">
        <v>8150</v>
      </c>
      <c r="NWD645">
        <v>43025</v>
      </c>
      <c r="NWG645" t="s">
        <v>8150</v>
      </c>
      <c r="NWH645">
        <v>43025</v>
      </c>
      <c r="NWK645" t="s">
        <v>8150</v>
      </c>
      <c r="NWL645">
        <v>43025</v>
      </c>
      <c r="NWO645" t="s">
        <v>8150</v>
      </c>
      <c r="NWP645">
        <v>43025</v>
      </c>
      <c r="NWS645" t="s">
        <v>8150</v>
      </c>
      <c r="NWT645">
        <v>43025</v>
      </c>
      <c r="NWW645" t="s">
        <v>8150</v>
      </c>
      <c r="NWX645">
        <v>43025</v>
      </c>
      <c r="NXA645" t="s">
        <v>8150</v>
      </c>
      <c r="NXB645">
        <v>43025</v>
      </c>
      <c r="NXE645" t="s">
        <v>8150</v>
      </c>
      <c r="NXF645">
        <v>43025</v>
      </c>
      <c r="NXI645" t="s">
        <v>8150</v>
      </c>
      <c r="NXJ645">
        <v>43025</v>
      </c>
      <c r="NXM645" t="s">
        <v>8150</v>
      </c>
      <c r="NXN645">
        <v>43025</v>
      </c>
      <c r="NXQ645" t="s">
        <v>8150</v>
      </c>
      <c r="NXR645">
        <v>43025</v>
      </c>
      <c r="NXU645" t="s">
        <v>8150</v>
      </c>
      <c r="NXV645">
        <v>43025</v>
      </c>
      <c r="NXY645" t="s">
        <v>8150</v>
      </c>
      <c r="NXZ645">
        <v>43025</v>
      </c>
      <c r="NYC645" t="s">
        <v>8150</v>
      </c>
      <c r="NYD645">
        <v>43025</v>
      </c>
      <c r="NYG645" t="s">
        <v>8150</v>
      </c>
      <c r="NYH645">
        <v>43025</v>
      </c>
      <c r="NYK645" t="s">
        <v>8150</v>
      </c>
      <c r="NYL645">
        <v>43025</v>
      </c>
      <c r="NYO645" t="s">
        <v>8150</v>
      </c>
      <c r="NYP645">
        <v>43025</v>
      </c>
      <c r="NYS645" t="s">
        <v>8150</v>
      </c>
      <c r="NYT645">
        <v>43025</v>
      </c>
      <c r="NYW645" t="s">
        <v>8150</v>
      </c>
      <c r="NYX645">
        <v>43025</v>
      </c>
      <c r="NZA645" t="s">
        <v>8150</v>
      </c>
      <c r="NZB645">
        <v>43025</v>
      </c>
      <c r="NZE645" t="s">
        <v>8150</v>
      </c>
      <c r="NZF645">
        <v>43025</v>
      </c>
      <c r="NZI645" t="s">
        <v>8150</v>
      </c>
      <c r="NZJ645">
        <v>43025</v>
      </c>
      <c r="NZM645" t="s">
        <v>8150</v>
      </c>
      <c r="NZN645">
        <v>43025</v>
      </c>
      <c r="NZQ645" t="s">
        <v>8150</v>
      </c>
      <c r="NZR645">
        <v>43025</v>
      </c>
      <c r="NZU645" t="s">
        <v>8150</v>
      </c>
      <c r="NZV645">
        <v>43025</v>
      </c>
      <c r="NZY645" t="s">
        <v>8150</v>
      </c>
      <c r="NZZ645">
        <v>43025</v>
      </c>
      <c r="OAC645" t="s">
        <v>8150</v>
      </c>
      <c r="OAD645">
        <v>43025</v>
      </c>
      <c r="OAG645" t="s">
        <v>8150</v>
      </c>
      <c r="OAH645">
        <v>43025</v>
      </c>
      <c r="OAK645" t="s">
        <v>8150</v>
      </c>
      <c r="OAL645">
        <v>43025</v>
      </c>
      <c r="OAO645" t="s">
        <v>8150</v>
      </c>
      <c r="OAP645">
        <v>43025</v>
      </c>
      <c r="OAS645" t="s">
        <v>8150</v>
      </c>
      <c r="OAT645">
        <v>43025</v>
      </c>
      <c r="OAW645" t="s">
        <v>8150</v>
      </c>
      <c r="OAX645">
        <v>43025</v>
      </c>
      <c r="OBA645" t="s">
        <v>8150</v>
      </c>
      <c r="OBB645">
        <v>43025</v>
      </c>
      <c r="OBE645" t="s">
        <v>8150</v>
      </c>
      <c r="OBF645">
        <v>43025</v>
      </c>
      <c r="OBI645" t="s">
        <v>8150</v>
      </c>
      <c r="OBJ645">
        <v>43025</v>
      </c>
      <c r="OBM645" t="s">
        <v>8150</v>
      </c>
      <c r="OBN645">
        <v>43025</v>
      </c>
      <c r="OBQ645" t="s">
        <v>8150</v>
      </c>
      <c r="OBR645">
        <v>43025</v>
      </c>
      <c r="OBU645" t="s">
        <v>8150</v>
      </c>
      <c r="OBV645">
        <v>43025</v>
      </c>
      <c r="OBY645" t="s">
        <v>8150</v>
      </c>
      <c r="OBZ645">
        <v>43025</v>
      </c>
      <c r="OCC645" t="s">
        <v>8150</v>
      </c>
      <c r="OCD645">
        <v>43025</v>
      </c>
      <c r="OCG645" t="s">
        <v>8150</v>
      </c>
      <c r="OCH645">
        <v>43025</v>
      </c>
      <c r="OCK645" t="s">
        <v>8150</v>
      </c>
      <c r="OCL645">
        <v>43025</v>
      </c>
      <c r="OCO645" t="s">
        <v>8150</v>
      </c>
      <c r="OCP645">
        <v>43025</v>
      </c>
      <c r="OCS645" t="s">
        <v>8150</v>
      </c>
      <c r="OCT645">
        <v>43025</v>
      </c>
      <c r="OCW645" t="s">
        <v>8150</v>
      </c>
      <c r="OCX645">
        <v>43025</v>
      </c>
      <c r="ODA645" t="s">
        <v>8150</v>
      </c>
      <c r="ODB645">
        <v>43025</v>
      </c>
      <c r="ODE645" t="s">
        <v>8150</v>
      </c>
      <c r="ODF645">
        <v>43025</v>
      </c>
      <c r="ODI645" t="s">
        <v>8150</v>
      </c>
      <c r="ODJ645">
        <v>43025</v>
      </c>
      <c r="ODM645" t="s">
        <v>8150</v>
      </c>
      <c r="ODN645">
        <v>43025</v>
      </c>
      <c r="ODQ645" t="s">
        <v>8150</v>
      </c>
      <c r="ODR645">
        <v>43025</v>
      </c>
      <c r="ODU645" t="s">
        <v>8150</v>
      </c>
      <c r="ODV645">
        <v>43025</v>
      </c>
      <c r="ODY645" t="s">
        <v>8150</v>
      </c>
      <c r="ODZ645">
        <v>43025</v>
      </c>
      <c r="OEC645" t="s">
        <v>8150</v>
      </c>
      <c r="OED645">
        <v>43025</v>
      </c>
      <c r="OEG645" t="s">
        <v>8150</v>
      </c>
      <c r="OEH645">
        <v>43025</v>
      </c>
      <c r="OEK645" t="s">
        <v>8150</v>
      </c>
      <c r="OEL645">
        <v>43025</v>
      </c>
      <c r="OEO645" t="s">
        <v>8150</v>
      </c>
      <c r="OEP645">
        <v>43025</v>
      </c>
      <c r="OES645" t="s">
        <v>8150</v>
      </c>
      <c r="OET645">
        <v>43025</v>
      </c>
      <c r="OEW645" t="s">
        <v>8150</v>
      </c>
      <c r="OEX645">
        <v>43025</v>
      </c>
      <c r="OFA645" t="s">
        <v>8150</v>
      </c>
      <c r="OFB645">
        <v>43025</v>
      </c>
      <c r="OFE645" t="s">
        <v>8150</v>
      </c>
      <c r="OFF645">
        <v>43025</v>
      </c>
      <c r="OFI645" t="s">
        <v>8150</v>
      </c>
      <c r="OFJ645">
        <v>43025</v>
      </c>
      <c r="OFM645" t="s">
        <v>8150</v>
      </c>
      <c r="OFN645">
        <v>43025</v>
      </c>
      <c r="OFQ645" t="s">
        <v>8150</v>
      </c>
      <c r="OFR645">
        <v>43025</v>
      </c>
      <c r="OFU645" t="s">
        <v>8150</v>
      </c>
      <c r="OFV645">
        <v>43025</v>
      </c>
      <c r="OFY645" t="s">
        <v>8150</v>
      </c>
      <c r="OFZ645">
        <v>43025</v>
      </c>
      <c r="OGC645" t="s">
        <v>8150</v>
      </c>
      <c r="OGD645">
        <v>43025</v>
      </c>
      <c r="OGG645" t="s">
        <v>8150</v>
      </c>
      <c r="OGH645">
        <v>43025</v>
      </c>
      <c r="OGK645" t="s">
        <v>8150</v>
      </c>
      <c r="OGL645">
        <v>43025</v>
      </c>
      <c r="OGO645" t="s">
        <v>8150</v>
      </c>
      <c r="OGP645">
        <v>43025</v>
      </c>
      <c r="OGS645" t="s">
        <v>8150</v>
      </c>
      <c r="OGT645">
        <v>43025</v>
      </c>
      <c r="OGW645" t="s">
        <v>8150</v>
      </c>
      <c r="OGX645">
        <v>43025</v>
      </c>
      <c r="OHA645" t="s">
        <v>8150</v>
      </c>
      <c r="OHB645">
        <v>43025</v>
      </c>
      <c r="OHE645" t="s">
        <v>8150</v>
      </c>
      <c r="OHF645">
        <v>43025</v>
      </c>
      <c r="OHI645" t="s">
        <v>8150</v>
      </c>
      <c r="OHJ645">
        <v>43025</v>
      </c>
      <c r="OHM645" t="s">
        <v>8150</v>
      </c>
      <c r="OHN645">
        <v>43025</v>
      </c>
      <c r="OHQ645" t="s">
        <v>8150</v>
      </c>
      <c r="OHR645">
        <v>43025</v>
      </c>
      <c r="OHU645" t="s">
        <v>8150</v>
      </c>
      <c r="OHV645">
        <v>43025</v>
      </c>
      <c r="OHY645" t="s">
        <v>8150</v>
      </c>
      <c r="OHZ645">
        <v>43025</v>
      </c>
      <c r="OIC645" t="s">
        <v>8150</v>
      </c>
      <c r="OID645">
        <v>43025</v>
      </c>
      <c r="OIG645" t="s">
        <v>8150</v>
      </c>
      <c r="OIH645">
        <v>43025</v>
      </c>
      <c r="OIK645" t="s">
        <v>8150</v>
      </c>
      <c r="OIL645">
        <v>43025</v>
      </c>
      <c r="OIO645" t="s">
        <v>8150</v>
      </c>
      <c r="OIP645">
        <v>43025</v>
      </c>
      <c r="OIS645" t="s">
        <v>8150</v>
      </c>
      <c r="OIT645">
        <v>43025</v>
      </c>
      <c r="OIW645" t="s">
        <v>8150</v>
      </c>
      <c r="OIX645">
        <v>43025</v>
      </c>
      <c r="OJA645" t="s">
        <v>8150</v>
      </c>
      <c r="OJB645">
        <v>43025</v>
      </c>
      <c r="OJE645" t="s">
        <v>8150</v>
      </c>
      <c r="OJF645">
        <v>43025</v>
      </c>
      <c r="OJI645" t="s">
        <v>8150</v>
      </c>
      <c r="OJJ645">
        <v>43025</v>
      </c>
      <c r="OJM645" t="s">
        <v>8150</v>
      </c>
      <c r="OJN645">
        <v>43025</v>
      </c>
      <c r="OJQ645" t="s">
        <v>8150</v>
      </c>
      <c r="OJR645">
        <v>43025</v>
      </c>
      <c r="OJU645" t="s">
        <v>8150</v>
      </c>
      <c r="OJV645">
        <v>43025</v>
      </c>
      <c r="OJY645" t="s">
        <v>8150</v>
      </c>
      <c r="OJZ645">
        <v>43025</v>
      </c>
      <c r="OKC645" t="s">
        <v>8150</v>
      </c>
      <c r="OKD645">
        <v>43025</v>
      </c>
      <c r="OKG645" t="s">
        <v>8150</v>
      </c>
      <c r="OKH645">
        <v>43025</v>
      </c>
      <c r="OKK645" t="s">
        <v>8150</v>
      </c>
      <c r="OKL645">
        <v>43025</v>
      </c>
      <c r="OKO645" t="s">
        <v>8150</v>
      </c>
      <c r="OKP645">
        <v>43025</v>
      </c>
      <c r="OKS645" t="s">
        <v>8150</v>
      </c>
      <c r="OKT645">
        <v>43025</v>
      </c>
      <c r="OKW645" t="s">
        <v>8150</v>
      </c>
      <c r="OKX645">
        <v>43025</v>
      </c>
      <c r="OLA645" t="s">
        <v>8150</v>
      </c>
      <c r="OLB645">
        <v>43025</v>
      </c>
      <c r="OLE645" t="s">
        <v>8150</v>
      </c>
      <c r="OLF645">
        <v>43025</v>
      </c>
      <c r="OLI645" t="s">
        <v>8150</v>
      </c>
      <c r="OLJ645">
        <v>43025</v>
      </c>
      <c r="OLM645" t="s">
        <v>8150</v>
      </c>
      <c r="OLN645">
        <v>43025</v>
      </c>
      <c r="OLQ645" t="s">
        <v>8150</v>
      </c>
      <c r="OLR645">
        <v>43025</v>
      </c>
      <c r="OLU645" t="s">
        <v>8150</v>
      </c>
      <c r="OLV645">
        <v>43025</v>
      </c>
      <c r="OLY645" t="s">
        <v>8150</v>
      </c>
      <c r="OLZ645">
        <v>43025</v>
      </c>
      <c r="OMC645" t="s">
        <v>8150</v>
      </c>
      <c r="OMD645">
        <v>43025</v>
      </c>
      <c r="OMG645" t="s">
        <v>8150</v>
      </c>
      <c r="OMH645">
        <v>43025</v>
      </c>
      <c r="OMK645" t="s">
        <v>8150</v>
      </c>
      <c r="OML645">
        <v>43025</v>
      </c>
      <c r="OMO645" t="s">
        <v>8150</v>
      </c>
      <c r="OMP645">
        <v>43025</v>
      </c>
      <c r="OMS645" t="s">
        <v>8150</v>
      </c>
      <c r="OMT645">
        <v>43025</v>
      </c>
      <c r="OMW645" t="s">
        <v>8150</v>
      </c>
      <c r="OMX645">
        <v>43025</v>
      </c>
      <c r="ONA645" t="s">
        <v>8150</v>
      </c>
      <c r="ONB645">
        <v>43025</v>
      </c>
      <c r="ONE645" t="s">
        <v>8150</v>
      </c>
      <c r="ONF645">
        <v>43025</v>
      </c>
      <c r="ONI645" t="s">
        <v>8150</v>
      </c>
      <c r="ONJ645">
        <v>43025</v>
      </c>
      <c r="ONM645" t="s">
        <v>8150</v>
      </c>
      <c r="ONN645">
        <v>43025</v>
      </c>
      <c r="ONQ645" t="s">
        <v>8150</v>
      </c>
      <c r="ONR645">
        <v>43025</v>
      </c>
      <c r="ONU645" t="s">
        <v>8150</v>
      </c>
      <c r="ONV645">
        <v>43025</v>
      </c>
      <c r="ONY645" t="s">
        <v>8150</v>
      </c>
      <c r="ONZ645">
        <v>43025</v>
      </c>
      <c r="OOC645" t="s">
        <v>8150</v>
      </c>
      <c r="OOD645">
        <v>43025</v>
      </c>
      <c r="OOG645" t="s">
        <v>8150</v>
      </c>
      <c r="OOH645">
        <v>43025</v>
      </c>
      <c r="OOK645" t="s">
        <v>8150</v>
      </c>
      <c r="OOL645">
        <v>43025</v>
      </c>
      <c r="OOO645" t="s">
        <v>8150</v>
      </c>
      <c r="OOP645">
        <v>43025</v>
      </c>
      <c r="OOS645" t="s">
        <v>8150</v>
      </c>
      <c r="OOT645">
        <v>43025</v>
      </c>
      <c r="OOW645" t="s">
        <v>8150</v>
      </c>
      <c r="OOX645">
        <v>43025</v>
      </c>
      <c r="OPA645" t="s">
        <v>8150</v>
      </c>
      <c r="OPB645">
        <v>43025</v>
      </c>
      <c r="OPE645" t="s">
        <v>8150</v>
      </c>
      <c r="OPF645">
        <v>43025</v>
      </c>
      <c r="OPI645" t="s">
        <v>8150</v>
      </c>
      <c r="OPJ645">
        <v>43025</v>
      </c>
      <c r="OPM645" t="s">
        <v>8150</v>
      </c>
      <c r="OPN645">
        <v>43025</v>
      </c>
      <c r="OPQ645" t="s">
        <v>8150</v>
      </c>
      <c r="OPR645">
        <v>43025</v>
      </c>
      <c r="OPU645" t="s">
        <v>8150</v>
      </c>
      <c r="OPV645">
        <v>43025</v>
      </c>
      <c r="OPY645" t="s">
        <v>8150</v>
      </c>
      <c r="OPZ645">
        <v>43025</v>
      </c>
      <c r="OQC645" t="s">
        <v>8150</v>
      </c>
      <c r="OQD645">
        <v>43025</v>
      </c>
      <c r="OQG645" t="s">
        <v>8150</v>
      </c>
      <c r="OQH645">
        <v>43025</v>
      </c>
      <c r="OQK645" t="s">
        <v>8150</v>
      </c>
      <c r="OQL645">
        <v>43025</v>
      </c>
      <c r="OQO645" t="s">
        <v>8150</v>
      </c>
      <c r="OQP645">
        <v>43025</v>
      </c>
      <c r="OQS645" t="s">
        <v>8150</v>
      </c>
      <c r="OQT645">
        <v>43025</v>
      </c>
      <c r="OQW645" t="s">
        <v>8150</v>
      </c>
      <c r="OQX645">
        <v>43025</v>
      </c>
      <c r="ORA645" t="s">
        <v>8150</v>
      </c>
      <c r="ORB645">
        <v>43025</v>
      </c>
      <c r="ORE645" t="s">
        <v>8150</v>
      </c>
      <c r="ORF645">
        <v>43025</v>
      </c>
      <c r="ORI645" t="s">
        <v>8150</v>
      </c>
      <c r="ORJ645">
        <v>43025</v>
      </c>
      <c r="ORM645" t="s">
        <v>8150</v>
      </c>
      <c r="ORN645">
        <v>43025</v>
      </c>
      <c r="ORQ645" t="s">
        <v>8150</v>
      </c>
      <c r="ORR645">
        <v>43025</v>
      </c>
      <c r="ORU645" t="s">
        <v>8150</v>
      </c>
      <c r="ORV645">
        <v>43025</v>
      </c>
      <c r="ORY645" t="s">
        <v>8150</v>
      </c>
      <c r="ORZ645">
        <v>43025</v>
      </c>
      <c r="OSC645" t="s">
        <v>8150</v>
      </c>
      <c r="OSD645">
        <v>43025</v>
      </c>
      <c r="OSG645" t="s">
        <v>8150</v>
      </c>
      <c r="OSH645">
        <v>43025</v>
      </c>
      <c r="OSK645" t="s">
        <v>8150</v>
      </c>
      <c r="OSL645">
        <v>43025</v>
      </c>
      <c r="OSO645" t="s">
        <v>8150</v>
      </c>
      <c r="OSP645">
        <v>43025</v>
      </c>
      <c r="OSS645" t="s">
        <v>8150</v>
      </c>
      <c r="OST645">
        <v>43025</v>
      </c>
      <c r="OSW645" t="s">
        <v>8150</v>
      </c>
      <c r="OSX645">
        <v>43025</v>
      </c>
      <c r="OTA645" t="s">
        <v>8150</v>
      </c>
      <c r="OTB645">
        <v>43025</v>
      </c>
      <c r="OTE645" t="s">
        <v>8150</v>
      </c>
      <c r="OTF645">
        <v>43025</v>
      </c>
      <c r="OTI645" t="s">
        <v>8150</v>
      </c>
      <c r="OTJ645">
        <v>43025</v>
      </c>
      <c r="OTM645" t="s">
        <v>8150</v>
      </c>
      <c r="OTN645">
        <v>43025</v>
      </c>
      <c r="OTQ645" t="s">
        <v>8150</v>
      </c>
      <c r="OTR645">
        <v>43025</v>
      </c>
      <c r="OTU645" t="s">
        <v>8150</v>
      </c>
      <c r="OTV645">
        <v>43025</v>
      </c>
      <c r="OTY645" t="s">
        <v>8150</v>
      </c>
      <c r="OTZ645">
        <v>43025</v>
      </c>
      <c r="OUC645" t="s">
        <v>8150</v>
      </c>
      <c r="OUD645">
        <v>43025</v>
      </c>
      <c r="OUG645" t="s">
        <v>8150</v>
      </c>
      <c r="OUH645">
        <v>43025</v>
      </c>
      <c r="OUK645" t="s">
        <v>8150</v>
      </c>
      <c r="OUL645">
        <v>43025</v>
      </c>
      <c r="OUO645" t="s">
        <v>8150</v>
      </c>
      <c r="OUP645">
        <v>43025</v>
      </c>
      <c r="OUS645" t="s">
        <v>8150</v>
      </c>
      <c r="OUT645">
        <v>43025</v>
      </c>
      <c r="OUW645" t="s">
        <v>8150</v>
      </c>
      <c r="OUX645">
        <v>43025</v>
      </c>
      <c r="OVA645" t="s">
        <v>8150</v>
      </c>
      <c r="OVB645">
        <v>43025</v>
      </c>
      <c r="OVE645" t="s">
        <v>8150</v>
      </c>
      <c r="OVF645">
        <v>43025</v>
      </c>
      <c r="OVI645" t="s">
        <v>8150</v>
      </c>
      <c r="OVJ645">
        <v>43025</v>
      </c>
      <c r="OVM645" t="s">
        <v>8150</v>
      </c>
      <c r="OVN645">
        <v>43025</v>
      </c>
      <c r="OVQ645" t="s">
        <v>8150</v>
      </c>
      <c r="OVR645">
        <v>43025</v>
      </c>
      <c r="OVU645" t="s">
        <v>8150</v>
      </c>
      <c r="OVV645">
        <v>43025</v>
      </c>
      <c r="OVY645" t="s">
        <v>8150</v>
      </c>
      <c r="OVZ645">
        <v>43025</v>
      </c>
      <c r="OWC645" t="s">
        <v>8150</v>
      </c>
      <c r="OWD645">
        <v>43025</v>
      </c>
      <c r="OWG645" t="s">
        <v>8150</v>
      </c>
      <c r="OWH645">
        <v>43025</v>
      </c>
      <c r="OWK645" t="s">
        <v>8150</v>
      </c>
      <c r="OWL645">
        <v>43025</v>
      </c>
      <c r="OWO645" t="s">
        <v>8150</v>
      </c>
      <c r="OWP645">
        <v>43025</v>
      </c>
      <c r="OWS645" t="s">
        <v>8150</v>
      </c>
      <c r="OWT645">
        <v>43025</v>
      </c>
      <c r="OWW645" t="s">
        <v>8150</v>
      </c>
      <c r="OWX645">
        <v>43025</v>
      </c>
      <c r="OXA645" t="s">
        <v>8150</v>
      </c>
      <c r="OXB645">
        <v>43025</v>
      </c>
      <c r="OXE645" t="s">
        <v>8150</v>
      </c>
      <c r="OXF645">
        <v>43025</v>
      </c>
      <c r="OXI645" t="s">
        <v>8150</v>
      </c>
      <c r="OXJ645">
        <v>43025</v>
      </c>
      <c r="OXM645" t="s">
        <v>8150</v>
      </c>
      <c r="OXN645">
        <v>43025</v>
      </c>
      <c r="OXQ645" t="s">
        <v>8150</v>
      </c>
      <c r="OXR645">
        <v>43025</v>
      </c>
      <c r="OXU645" t="s">
        <v>8150</v>
      </c>
      <c r="OXV645">
        <v>43025</v>
      </c>
      <c r="OXY645" t="s">
        <v>8150</v>
      </c>
      <c r="OXZ645">
        <v>43025</v>
      </c>
      <c r="OYC645" t="s">
        <v>8150</v>
      </c>
      <c r="OYD645">
        <v>43025</v>
      </c>
      <c r="OYG645" t="s">
        <v>8150</v>
      </c>
      <c r="OYH645">
        <v>43025</v>
      </c>
      <c r="OYK645" t="s">
        <v>8150</v>
      </c>
      <c r="OYL645">
        <v>43025</v>
      </c>
      <c r="OYO645" t="s">
        <v>8150</v>
      </c>
      <c r="OYP645">
        <v>43025</v>
      </c>
      <c r="OYS645" t="s">
        <v>8150</v>
      </c>
      <c r="OYT645">
        <v>43025</v>
      </c>
      <c r="OYW645" t="s">
        <v>8150</v>
      </c>
      <c r="OYX645">
        <v>43025</v>
      </c>
      <c r="OZA645" t="s">
        <v>8150</v>
      </c>
      <c r="OZB645">
        <v>43025</v>
      </c>
      <c r="OZE645" t="s">
        <v>8150</v>
      </c>
      <c r="OZF645">
        <v>43025</v>
      </c>
      <c r="OZI645" t="s">
        <v>8150</v>
      </c>
      <c r="OZJ645">
        <v>43025</v>
      </c>
      <c r="OZM645" t="s">
        <v>8150</v>
      </c>
      <c r="OZN645">
        <v>43025</v>
      </c>
      <c r="OZQ645" t="s">
        <v>8150</v>
      </c>
      <c r="OZR645">
        <v>43025</v>
      </c>
      <c r="OZU645" t="s">
        <v>8150</v>
      </c>
      <c r="OZV645">
        <v>43025</v>
      </c>
      <c r="OZY645" t="s">
        <v>8150</v>
      </c>
      <c r="OZZ645">
        <v>43025</v>
      </c>
      <c r="PAC645" t="s">
        <v>8150</v>
      </c>
      <c r="PAD645">
        <v>43025</v>
      </c>
      <c r="PAG645" t="s">
        <v>8150</v>
      </c>
      <c r="PAH645">
        <v>43025</v>
      </c>
      <c r="PAK645" t="s">
        <v>8150</v>
      </c>
      <c r="PAL645">
        <v>43025</v>
      </c>
      <c r="PAO645" t="s">
        <v>8150</v>
      </c>
      <c r="PAP645">
        <v>43025</v>
      </c>
      <c r="PAS645" t="s">
        <v>8150</v>
      </c>
      <c r="PAT645">
        <v>43025</v>
      </c>
      <c r="PAW645" t="s">
        <v>8150</v>
      </c>
      <c r="PAX645">
        <v>43025</v>
      </c>
      <c r="PBA645" t="s">
        <v>8150</v>
      </c>
      <c r="PBB645">
        <v>43025</v>
      </c>
      <c r="PBE645" t="s">
        <v>8150</v>
      </c>
      <c r="PBF645">
        <v>43025</v>
      </c>
      <c r="PBI645" t="s">
        <v>8150</v>
      </c>
      <c r="PBJ645">
        <v>43025</v>
      </c>
      <c r="PBM645" t="s">
        <v>8150</v>
      </c>
      <c r="PBN645">
        <v>43025</v>
      </c>
      <c r="PBQ645" t="s">
        <v>8150</v>
      </c>
      <c r="PBR645">
        <v>43025</v>
      </c>
      <c r="PBU645" t="s">
        <v>8150</v>
      </c>
      <c r="PBV645">
        <v>43025</v>
      </c>
      <c r="PBY645" t="s">
        <v>8150</v>
      </c>
      <c r="PBZ645">
        <v>43025</v>
      </c>
      <c r="PCC645" t="s">
        <v>8150</v>
      </c>
      <c r="PCD645">
        <v>43025</v>
      </c>
      <c r="PCG645" t="s">
        <v>8150</v>
      </c>
      <c r="PCH645">
        <v>43025</v>
      </c>
      <c r="PCK645" t="s">
        <v>8150</v>
      </c>
      <c r="PCL645">
        <v>43025</v>
      </c>
      <c r="PCO645" t="s">
        <v>8150</v>
      </c>
      <c r="PCP645">
        <v>43025</v>
      </c>
      <c r="PCS645" t="s">
        <v>8150</v>
      </c>
      <c r="PCT645">
        <v>43025</v>
      </c>
      <c r="PCW645" t="s">
        <v>8150</v>
      </c>
      <c r="PCX645">
        <v>43025</v>
      </c>
      <c r="PDA645" t="s">
        <v>8150</v>
      </c>
      <c r="PDB645">
        <v>43025</v>
      </c>
      <c r="PDE645" t="s">
        <v>8150</v>
      </c>
      <c r="PDF645">
        <v>43025</v>
      </c>
      <c r="PDI645" t="s">
        <v>8150</v>
      </c>
      <c r="PDJ645">
        <v>43025</v>
      </c>
      <c r="PDM645" t="s">
        <v>8150</v>
      </c>
      <c r="PDN645">
        <v>43025</v>
      </c>
      <c r="PDQ645" t="s">
        <v>8150</v>
      </c>
      <c r="PDR645">
        <v>43025</v>
      </c>
      <c r="PDU645" t="s">
        <v>8150</v>
      </c>
      <c r="PDV645">
        <v>43025</v>
      </c>
      <c r="PDY645" t="s">
        <v>8150</v>
      </c>
      <c r="PDZ645">
        <v>43025</v>
      </c>
      <c r="PEC645" t="s">
        <v>8150</v>
      </c>
      <c r="PED645">
        <v>43025</v>
      </c>
      <c r="PEG645" t="s">
        <v>8150</v>
      </c>
      <c r="PEH645">
        <v>43025</v>
      </c>
      <c r="PEK645" t="s">
        <v>8150</v>
      </c>
      <c r="PEL645">
        <v>43025</v>
      </c>
      <c r="PEO645" t="s">
        <v>8150</v>
      </c>
      <c r="PEP645">
        <v>43025</v>
      </c>
      <c r="PES645" t="s">
        <v>8150</v>
      </c>
      <c r="PET645">
        <v>43025</v>
      </c>
      <c r="PEW645" t="s">
        <v>8150</v>
      </c>
      <c r="PEX645">
        <v>43025</v>
      </c>
      <c r="PFA645" t="s">
        <v>8150</v>
      </c>
      <c r="PFB645">
        <v>43025</v>
      </c>
      <c r="PFE645" t="s">
        <v>8150</v>
      </c>
      <c r="PFF645">
        <v>43025</v>
      </c>
      <c r="PFI645" t="s">
        <v>8150</v>
      </c>
      <c r="PFJ645">
        <v>43025</v>
      </c>
      <c r="PFM645" t="s">
        <v>8150</v>
      </c>
      <c r="PFN645">
        <v>43025</v>
      </c>
      <c r="PFQ645" t="s">
        <v>8150</v>
      </c>
      <c r="PFR645">
        <v>43025</v>
      </c>
      <c r="PFU645" t="s">
        <v>8150</v>
      </c>
      <c r="PFV645">
        <v>43025</v>
      </c>
      <c r="PFY645" t="s">
        <v>8150</v>
      </c>
      <c r="PFZ645">
        <v>43025</v>
      </c>
      <c r="PGC645" t="s">
        <v>8150</v>
      </c>
      <c r="PGD645">
        <v>43025</v>
      </c>
      <c r="PGG645" t="s">
        <v>8150</v>
      </c>
      <c r="PGH645">
        <v>43025</v>
      </c>
      <c r="PGK645" t="s">
        <v>8150</v>
      </c>
      <c r="PGL645">
        <v>43025</v>
      </c>
      <c r="PGO645" t="s">
        <v>8150</v>
      </c>
      <c r="PGP645">
        <v>43025</v>
      </c>
      <c r="PGS645" t="s">
        <v>8150</v>
      </c>
      <c r="PGT645">
        <v>43025</v>
      </c>
      <c r="PGW645" t="s">
        <v>8150</v>
      </c>
      <c r="PGX645">
        <v>43025</v>
      </c>
      <c r="PHA645" t="s">
        <v>8150</v>
      </c>
      <c r="PHB645">
        <v>43025</v>
      </c>
      <c r="PHE645" t="s">
        <v>8150</v>
      </c>
      <c r="PHF645">
        <v>43025</v>
      </c>
      <c r="PHI645" t="s">
        <v>8150</v>
      </c>
      <c r="PHJ645">
        <v>43025</v>
      </c>
      <c r="PHM645" t="s">
        <v>8150</v>
      </c>
      <c r="PHN645">
        <v>43025</v>
      </c>
      <c r="PHQ645" t="s">
        <v>8150</v>
      </c>
      <c r="PHR645">
        <v>43025</v>
      </c>
      <c r="PHU645" t="s">
        <v>8150</v>
      </c>
      <c r="PHV645">
        <v>43025</v>
      </c>
      <c r="PHY645" t="s">
        <v>8150</v>
      </c>
      <c r="PHZ645">
        <v>43025</v>
      </c>
      <c r="PIC645" t="s">
        <v>8150</v>
      </c>
      <c r="PID645">
        <v>43025</v>
      </c>
      <c r="PIG645" t="s">
        <v>8150</v>
      </c>
      <c r="PIH645">
        <v>43025</v>
      </c>
      <c r="PIK645" t="s">
        <v>8150</v>
      </c>
      <c r="PIL645">
        <v>43025</v>
      </c>
      <c r="PIO645" t="s">
        <v>8150</v>
      </c>
      <c r="PIP645">
        <v>43025</v>
      </c>
      <c r="PIS645" t="s">
        <v>8150</v>
      </c>
      <c r="PIT645">
        <v>43025</v>
      </c>
      <c r="PIW645" t="s">
        <v>8150</v>
      </c>
      <c r="PIX645">
        <v>43025</v>
      </c>
      <c r="PJA645" t="s">
        <v>8150</v>
      </c>
      <c r="PJB645">
        <v>43025</v>
      </c>
      <c r="PJE645" t="s">
        <v>8150</v>
      </c>
      <c r="PJF645">
        <v>43025</v>
      </c>
      <c r="PJI645" t="s">
        <v>8150</v>
      </c>
      <c r="PJJ645">
        <v>43025</v>
      </c>
      <c r="PJM645" t="s">
        <v>8150</v>
      </c>
      <c r="PJN645">
        <v>43025</v>
      </c>
      <c r="PJQ645" t="s">
        <v>8150</v>
      </c>
      <c r="PJR645">
        <v>43025</v>
      </c>
      <c r="PJU645" t="s">
        <v>8150</v>
      </c>
      <c r="PJV645">
        <v>43025</v>
      </c>
      <c r="PJY645" t="s">
        <v>8150</v>
      </c>
      <c r="PJZ645">
        <v>43025</v>
      </c>
      <c r="PKC645" t="s">
        <v>8150</v>
      </c>
      <c r="PKD645">
        <v>43025</v>
      </c>
      <c r="PKG645" t="s">
        <v>8150</v>
      </c>
      <c r="PKH645">
        <v>43025</v>
      </c>
      <c r="PKK645" t="s">
        <v>8150</v>
      </c>
      <c r="PKL645">
        <v>43025</v>
      </c>
      <c r="PKO645" t="s">
        <v>8150</v>
      </c>
      <c r="PKP645">
        <v>43025</v>
      </c>
      <c r="PKS645" t="s">
        <v>8150</v>
      </c>
      <c r="PKT645">
        <v>43025</v>
      </c>
      <c r="PKW645" t="s">
        <v>8150</v>
      </c>
      <c r="PKX645">
        <v>43025</v>
      </c>
      <c r="PLA645" t="s">
        <v>8150</v>
      </c>
      <c r="PLB645">
        <v>43025</v>
      </c>
      <c r="PLE645" t="s">
        <v>8150</v>
      </c>
      <c r="PLF645">
        <v>43025</v>
      </c>
      <c r="PLI645" t="s">
        <v>8150</v>
      </c>
      <c r="PLJ645">
        <v>43025</v>
      </c>
      <c r="PLM645" t="s">
        <v>8150</v>
      </c>
      <c r="PLN645">
        <v>43025</v>
      </c>
      <c r="PLQ645" t="s">
        <v>8150</v>
      </c>
      <c r="PLR645">
        <v>43025</v>
      </c>
      <c r="PLU645" t="s">
        <v>8150</v>
      </c>
      <c r="PLV645">
        <v>43025</v>
      </c>
      <c r="PLY645" t="s">
        <v>8150</v>
      </c>
      <c r="PLZ645">
        <v>43025</v>
      </c>
      <c r="PMC645" t="s">
        <v>8150</v>
      </c>
      <c r="PMD645">
        <v>43025</v>
      </c>
      <c r="PMG645" t="s">
        <v>8150</v>
      </c>
      <c r="PMH645">
        <v>43025</v>
      </c>
      <c r="PMK645" t="s">
        <v>8150</v>
      </c>
      <c r="PML645">
        <v>43025</v>
      </c>
      <c r="PMO645" t="s">
        <v>8150</v>
      </c>
      <c r="PMP645">
        <v>43025</v>
      </c>
      <c r="PMS645" t="s">
        <v>8150</v>
      </c>
      <c r="PMT645">
        <v>43025</v>
      </c>
      <c r="PMW645" t="s">
        <v>8150</v>
      </c>
      <c r="PMX645">
        <v>43025</v>
      </c>
      <c r="PNA645" t="s">
        <v>8150</v>
      </c>
      <c r="PNB645">
        <v>43025</v>
      </c>
      <c r="PNE645" t="s">
        <v>8150</v>
      </c>
      <c r="PNF645">
        <v>43025</v>
      </c>
      <c r="PNI645" t="s">
        <v>8150</v>
      </c>
      <c r="PNJ645">
        <v>43025</v>
      </c>
      <c r="PNM645" t="s">
        <v>8150</v>
      </c>
      <c r="PNN645">
        <v>43025</v>
      </c>
      <c r="PNQ645" t="s">
        <v>8150</v>
      </c>
      <c r="PNR645">
        <v>43025</v>
      </c>
      <c r="PNU645" t="s">
        <v>8150</v>
      </c>
      <c r="PNV645">
        <v>43025</v>
      </c>
      <c r="PNY645" t="s">
        <v>8150</v>
      </c>
      <c r="PNZ645">
        <v>43025</v>
      </c>
      <c r="POC645" t="s">
        <v>8150</v>
      </c>
      <c r="POD645">
        <v>43025</v>
      </c>
      <c r="POG645" t="s">
        <v>8150</v>
      </c>
      <c r="POH645">
        <v>43025</v>
      </c>
      <c r="POK645" t="s">
        <v>8150</v>
      </c>
      <c r="POL645">
        <v>43025</v>
      </c>
      <c r="POO645" t="s">
        <v>8150</v>
      </c>
      <c r="POP645">
        <v>43025</v>
      </c>
      <c r="POS645" t="s">
        <v>8150</v>
      </c>
      <c r="POT645">
        <v>43025</v>
      </c>
      <c r="POW645" t="s">
        <v>8150</v>
      </c>
      <c r="POX645">
        <v>43025</v>
      </c>
      <c r="PPA645" t="s">
        <v>8150</v>
      </c>
      <c r="PPB645">
        <v>43025</v>
      </c>
      <c r="PPE645" t="s">
        <v>8150</v>
      </c>
      <c r="PPF645">
        <v>43025</v>
      </c>
      <c r="PPI645" t="s">
        <v>8150</v>
      </c>
      <c r="PPJ645">
        <v>43025</v>
      </c>
      <c r="PPM645" t="s">
        <v>8150</v>
      </c>
      <c r="PPN645">
        <v>43025</v>
      </c>
      <c r="PPQ645" t="s">
        <v>8150</v>
      </c>
      <c r="PPR645">
        <v>43025</v>
      </c>
      <c r="PPU645" t="s">
        <v>8150</v>
      </c>
      <c r="PPV645">
        <v>43025</v>
      </c>
      <c r="PPY645" t="s">
        <v>8150</v>
      </c>
      <c r="PPZ645">
        <v>43025</v>
      </c>
      <c r="PQC645" t="s">
        <v>8150</v>
      </c>
      <c r="PQD645">
        <v>43025</v>
      </c>
      <c r="PQG645" t="s">
        <v>8150</v>
      </c>
      <c r="PQH645">
        <v>43025</v>
      </c>
      <c r="PQK645" t="s">
        <v>8150</v>
      </c>
      <c r="PQL645">
        <v>43025</v>
      </c>
      <c r="PQO645" t="s">
        <v>8150</v>
      </c>
      <c r="PQP645">
        <v>43025</v>
      </c>
      <c r="PQS645" t="s">
        <v>8150</v>
      </c>
      <c r="PQT645">
        <v>43025</v>
      </c>
      <c r="PQW645" t="s">
        <v>8150</v>
      </c>
      <c r="PQX645">
        <v>43025</v>
      </c>
      <c r="PRA645" t="s">
        <v>8150</v>
      </c>
      <c r="PRB645">
        <v>43025</v>
      </c>
      <c r="PRE645" t="s">
        <v>8150</v>
      </c>
      <c r="PRF645">
        <v>43025</v>
      </c>
      <c r="PRI645" t="s">
        <v>8150</v>
      </c>
      <c r="PRJ645">
        <v>43025</v>
      </c>
      <c r="PRM645" t="s">
        <v>8150</v>
      </c>
      <c r="PRN645">
        <v>43025</v>
      </c>
      <c r="PRQ645" t="s">
        <v>8150</v>
      </c>
      <c r="PRR645">
        <v>43025</v>
      </c>
      <c r="PRU645" t="s">
        <v>8150</v>
      </c>
      <c r="PRV645">
        <v>43025</v>
      </c>
      <c r="PRY645" t="s">
        <v>8150</v>
      </c>
      <c r="PRZ645">
        <v>43025</v>
      </c>
      <c r="PSC645" t="s">
        <v>8150</v>
      </c>
      <c r="PSD645">
        <v>43025</v>
      </c>
      <c r="PSG645" t="s">
        <v>8150</v>
      </c>
      <c r="PSH645">
        <v>43025</v>
      </c>
      <c r="PSK645" t="s">
        <v>8150</v>
      </c>
      <c r="PSL645">
        <v>43025</v>
      </c>
      <c r="PSO645" t="s">
        <v>8150</v>
      </c>
      <c r="PSP645">
        <v>43025</v>
      </c>
      <c r="PSS645" t="s">
        <v>8150</v>
      </c>
      <c r="PST645">
        <v>43025</v>
      </c>
      <c r="PSW645" t="s">
        <v>8150</v>
      </c>
      <c r="PSX645">
        <v>43025</v>
      </c>
      <c r="PTA645" t="s">
        <v>8150</v>
      </c>
      <c r="PTB645">
        <v>43025</v>
      </c>
      <c r="PTE645" t="s">
        <v>8150</v>
      </c>
      <c r="PTF645">
        <v>43025</v>
      </c>
      <c r="PTI645" t="s">
        <v>8150</v>
      </c>
      <c r="PTJ645">
        <v>43025</v>
      </c>
      <c r="PTM645" t="s">
        <v>8150</v>
      </c>
      <c r="PTN645">
        <v>43025</v>
      </c>
      <c r="PTQ645" t="s">
        <v>8150</v>
      </c>
      <c r="PTR645">
        <v>43025</v>
      </c>
      <c r="PTU645" t="s">
        <v>8150</v>
      </c>
      <c r="PTV645">
        <v>43025</v>
      </c>
      <c r="PTY645" t="s">
        <v>8150</v>
      </c>
      <c r="PTZ645">
        <v>43025</v>
      </c>
      <c r="PUC645" t="s">
        <v>8150</v>
      </c>
      <c r="PUD645">
        <v>43025</v>
      </c>
      <c r="PUG645" t="s">
        <v>8150</v>
      </c>
      <c r="PUH645">
        <v>43025</v>
      </c>
      <c r="PUK645" t="s">
        <v>8150</v>
      </c>
      <c r="PUL645">
        <v>43025</v>
      </c>
      <c r="PUO645" t="s">
        <v>8150</v>
      </c>
      <c r="PUP645">
        <v>43025</v>
      </c>
      <c r="PUS645" t="s">
        <v>8150</v>
      </c>
      <c r="PUT645">
        <v>43025</v>
      </c>
      <c r="PUW645" t="s">
        <v>8150</v>
      </c>
      <c r="PUX645">
        <v>43025</v>
      </c>
      <c r="PVA645" t="s">
        <v>8150</v>
      </c>
      <c r="PVB645">
        <v>43025</v>
      </c>
      <c r="PVE645" t="s">
        <v>8150</v>
      </c>
      <c r="PVF645">
        <v>43025</v>
      </c>
      <c r="PVI645" t="s">
        <v>8150</v>
      </c>
      <c r="PVJ645">
        <v>43025</v>
      </c>
      <c r="PVM645" t="s">
        <v>8150</v>
      </c>
      <c r="PVN645">
        <v>43025</v>
      </c>
      <c r="PVQ645" t="s">
        <v>8150</v>
      </c>
      <c r="PVR645">
        <v>43025</v>
      </c>
      <c r="PVU645" t="s">
        <v>8150</v>
      </c>
      <c r="PVV645">
        <v>43025</v>
      </c>
      <c r="PVY645" t="s">
        <v>8150</v>
      </c>
      <c r="PVZ645">
        <v>43025</v>
      </c>
      <c r="PWC645" t="s">
        <v>8150</v>
      </c>
      <c r="PWD645">
        <v>43025</v>
      </c>
      <c r="PWG645" t="s">
        <v>8150</v>
      </c>
      <c r="PWH645">
        <v>43025</v>
      </c>
      <c r="PWK645" t="s">
        <v>8150</v>
      </c>
      <c r="PWL645">
        <v>43025</v>
      </c>
      <c r="PWO645" t="s">
        <v>8150</v>
      </c>
      <c r="PWP645">
        <v>43025</v>
      </c>
      <c r="PWS645" t="s">
        <v>8150</v>
      </c>
      <c r="PWT645">
        <v>43025</v>
      </c>
      <c r="PWW645" t="s">
        <v>8150</v>
      </c>
      <c r="PWX645">
        <v>43025</v>
      </c>
      <c r="PXA645" t="s">
        <v>8150</v>
      </c>
      <c r="PXB645">
        <v>43025</v>
      </c>
      <c r="PXE645" t="s">
        <v>8150</v>
      </c>
      <c r="PXF645">
        <v>43025</v>
      </c>
      <c r="PXI645" t="s">
        <v>8150</v>
      </c>
      <c r="PXJ645">
        <v>43025</v>
      </c>
      <c r="PXM645" t="s">
        <v>8150</v>
      </c>
      <c r="PXN645">
        <v>43025</v>
      </c>
      <c r="PXQ645" t="s">
        <v>8150</v>
      </c>
      <c r="PXR645">
        <v>43025</v>
      </c>
      <c r="PXU645" t="s">
        <v>8150</v>
      </c>
      <c r="PXV645">
        <v>43025</v>
      </c>
      <c r="PXY645" t="s">
        <v>8150</v>
      </c>
      <c r="PXZ645">
        <v>43025</v>
      </c>
      <c r="PYC645" t="s">
        <v>8150</v>
      </c>
      <c r="PYD645">
        <v>43025</v>
      </c>
      <c r="PYG645" t="s">
        <v>8150</v>
      </c>
      <c r="PYH645">
        <v>43025</v>
      </c>
      <c r="PYK645" t="s">
        <v>8150</v>
      </c>
      <c r="PYL645">
        <v>43025</v>
      </c>
      <c r="PYO645" t="s">
        <v>8150</v>
      </c>
      <c r="PYP645">
        <v>43025</v>
      </c>
      <c r="PYS645" t="s">
        <v>8150</v>
      </c>
      <c r="PYT645">
        <v>43025</v>
      </c>
      <c r="PYW645" t="s">
        <v>8150</v>
      </c>
      <c r="PYX645">
        <v>43025</v>
      </c>
      <c r="PZA645" t="s">
        <v>8150</v>
      </c>
      <c r="PZB645">
        <v>43025</v>
      </c>
      <c r="PZE645" t="s">
        <v>8150</v>
      </c>
      <c r="PZF645">
        <v>43025</v>
      </c>
      <c r="PZI645" t="s">
        <v>8150</v>
      </c>
      <c r="PZJ645">
        <v>43025</v>
      </c>
      <c r="PZM645" t="s">
        <v>8150</v>
      </c>
      <c r="PZN645">
        <v>43025</v>
      </c>
      <c r="PZQ645" t="s">
        <v>8150</v>
      </c>
      <c r="PZR645">
        <v>43025</v>
      </c>
      <c r="PZU645" t="s">
        <v>8150</v>
      </c>
      <c r="PZV645">
        <v>43025</v>
      </c>
      <c r="PZY645" t="s">
        <v>8150</v>
      </c>
      <c r="PZZ645">
        <v>43025</v>
      </c>
      <c r="QAC645" t="s">
        <v>8150</v>
      </c>
      <c r="QAD645">
        <v>43025</v>
      </c>
      <c r="QAG645" t="s">
        <v>8150</v>
      </c>
      <c r="QAH645">
        <v>43025</v>
      </c>
      <c r="QAK645" t="s">
        <v>8150</v>
      </c>
      <c r="QAL645">
        <v>43025</v>
      </c>
      <c r="QAO645" t="s">
        <v>8150</v>
      </c>
      <c r="QAP645">
        <v>43025</v>
      </c>
      <c r="QAS645" t="s">
        <v>8150</v>
      </c>
      <c r="QAT645">
        <v>43025</v>
      </c>
      <c r="QAW645" t="s">
        <v>8150</v>
      </c>
      <c r="QAX645">
        <v>43025</v>
      </c>
      <c r="QBA645" t="s">
        <v>8150</v>
      </c>
      <c r="QBB645">
        <v>43025</v>
      </c>
      <c r="QBE645" t="s">
        <v>8150</v>
      </c>
      <c r="QBF645">
        <v>43025</v>
      </c>
      <c r="QBI645" t="s">
        <v>8150</v>
      </c>
      <c r="QBJ645">
        <v>43025</v>
      </c>
      <c r="QBM645" t="s">
        <v>8150</v>
      </c>
      <c r="QBN645">
        <v>43025</v>
      </c>
      <c r="QBQ645" t="s">
        <v>8150</v>
      </c>
      <c r="QBR645">
        <v>43025</v>
      </c>
      <c r="QBU645" t="s">
        <v>8150</v>
      </c>
      <c r="QBV645">
        <v>43025</v>
      </c>
      <c r="QBY645" t="s">
        <v>8150</v>
      </c>
      <c r="QBZ645">
        <v>43025</v>
      </c>
      <c r="QCC645" t="s">
        <v>8150</v>
      </c>
      <c r="QCD645">
        <v>43025</v>
      </c>
      <c r="QCG645" t="s">
        <v>8150</v>
      </c>
      <c r="QCH645">
        <v>43025</v>
      </c>
      <c r="QCK645" t="s">
        <v>8150</v>
      </c>
      <c r="QCL645">
        <v>43025</v>
      </c>
      <c r="QCO645" t="s">
        <v>8150</v>
      </c>
      <c r="QCP645">
        <v>43025</v>
      </c>
      <c r="QCS645" t="s">
        <v>8150</v>
      </c>
      <c r="QCT645">
        <v>43025</v>
      </c>
      <c r="QCW645" t="s">
        <v>8150</v>
      </c>
      <c r="QCX645">
        <v>43025</v>
      </c>
      <c r="QDA645" t="s">
        <v>8150</v>
      </c>
      <c r="QDB645">
        <v>43025</v>
      </c>
      <c r="QDE645" t="s">
        <v>8150</v>
      </c>
      <c r="QDF645">
        <v>43025</v>
      </c>
      <c r="QDI645" t="s">
        <v>8150</v>
      </c>
      <c r="QDJ645">
        <v>43025</v>
      </c>
      <c r="QDM645" t="s">
        <v>8150</v>
      </c>
      <c r="QDN645">
        <v>43025</v>
      </c>
      <c r="QDQ645" t="s">
        <v>8150</v>
      </c>
      <c r="QDR645">
        <v>43025</v>
      </c>
      <c r="QDU645" t="s">
        <v>8150</v>
      </c>
      <c r="QDV645">
        <v>43025</v>
      </c>
      <c r="QDY645" t="s">
        <v>8150</v>
      </c>
      <c r="QDZ645">
        <v>43025</v>
      </c>
      <c r="QEC645" t="s">
        <v>8150</v>
      </c>
      <c r="QED645">
        <v>43025</v>
      </c>
      <c r="QEG645" t="s">
        <v>8150</v>
      </c>
      <c r="QEH645">
        <v>43025</v>
      </c>
      <c r="QEK645" t="s">
        <v>8150</v>
      </c>
      <c r="QEL645">
        <v>43025</v>
      </c>
      <c r="QEO645" t="s">
        <v>8150</v>
      </c>
      <c r="QEP645">
        <v>43025</v>
      </c>
      <c r="QES645" t="s">
        <v>8150</v>
      </c>
      <c r="QET645">
        <v>43025</v>
      </c>
      <c r="QEW645" t="s">
        <v>8150</v>
      </c>
      <c r="QEX645">
        <v>43025</v>
      </c>
      <c r="QFA645" t="s">
        <v>8150</v>
      </c>
      <c r="QFB645">
        <v>43025</v>
      </c>
      <c r="QFE645" t="s">
        <v>8150</v>
      </c>
      <c r="QFF645">
        <v>43025</v>
      </c>
      <c r="QFI645" t="s">
        <v>8150</v>
      </c>
      <c r="QFJ645">
        <v>43025</v>
      </c>
      <c r="QFM645" t="s">
        <v>8150</v>
      </c>
      <c r="QFN645">
        <v>43025</v>
      </c>
      <c r="QFQ645" t="s">
        <v>8150</v>
      </c>
      <c r="QFR645">
        <v>43025</v>
      </c>
      <c r="QFU645" t="s">
        <v>8150</v>
      </c>
      <c r="QFV645">
        <v>43025</v>
      </c>
      <c r="QFY645" t="s">
        <v>8150</v>
      </c>
      <c r="QFZ645">
        <v>43025</v>
      </c>
      <c r="QGC645" t="s">
        <v>8150</v>
      </c>
      <c r="QGD645">
        <v>43025</v>
      </c>
      <c r="QGG645" t="s">
        <v>8150</v>
      </c>
      <c r="QGH645">
        <v>43025</v>
      </c>
      <c r="QGK645" t="s">
        <v>8150</v>
      </c>
      <c r="QGL645">
        <v>43025</v>
      </c>
      <c r="QGO645" t="s">
        <v>8150</v>
      </c>
      <c r="QGP645">
        <v>43025</v>
      </c>
      <c r="QGS645" t="s">
        <v>8150</v>
      </c>
      <c r="QGT645">
        <v>43025</v>
      </c>
      <c r="QGW645" t="s">
        <v>8150</v>
      </c>
      <c r="QGX645">
        <v>43025</v>
      </c>
      <c r="QHA645" t="s">
        <v>8150</v>
      </c>
      <c r="QHB645">
        <v>43025</v>
      </c>
      <c r="QHE645" t="s">
        <v>8150</v>
      </c>
      <c r="QHF645">
        <v>43025</v>
      </c>
      <c r="QHI645" t="s">
        <v>8150</v>
      </c>
      <c r="QHJ645">
        <v>43025</v>
      </c>
      <c r="QHM645" t="s">
        <v>8150</v>
      </c>
      <c r="QHN645">
        <v>43025</v>
      </c>
      <c r="QHQ645" t="s">
        <v>8150</v>
      </c>
      <c r="QHR645">
        <v>43025</v>
      </c>
      <c r="QHU645" t="s">
        <v>8150</v>
      </c>
      <c r="QHV645">
        <v>43025</v>
      </c>
      <c r="QHY645" t="s">
        <v>8150</v>
      </c>
      <c r="QHZ645">
        <v>43025</v>
      </c>
      <c r="QIC645" t="s">
        <v>8150</v>
      </c>
      <c r="QID645">
        <v>43025</v>
      </c>
      <c r="QIG645" t="s">
        <v>8150</v>
      </c>
      <c r="QIH645">
        <v>43025</v>
      </c>
      <c r="QIK645" t="s">
        <v>8150</v>
      </c>
      <c r="QIL645">
        <v>43025</v>
      </c>
      <c r="QIO645" t="s">
        <v>8150</v>
      </c>
      <c r="QIP645">
        <v>43025</v>
      </c>
      <c r="QIS645" t="s">
        <v>8150</v>
      </c>
      <c r="QIT645">
        <v>43025</v>
      </c>
      <c r="QIW645" t="s">
        <v>8150</v>
      </c>
      <c r="QIX645">
        <v>43025</v>
      </c>
      <c r="QJA645" t="s">
        <v>8150</v>
      </c>
      <c r="QJB645">
        <v>43025</v>
      </c>
      <c r="QJE645" t="s">
        <v>8150</v>
      </c>
      <c r="QJF645">
        <v>43025</v>
      </c>
      <c r="QJI645" t="s">
        <v>8150</v>
      </c>
      <c r="QJJ645">
        <v>43025</v>
      </c>
      <c r="QJM645" t="s">
        <v>8150</v>
      </c>
      <c r="QJN645">
        <v>43025</v>
      </c>
      <c r="QJQ645" t="s">
        <v>8150</v>
      </c>
      <c r="QJR645">
        <v>43025</v>
      </c>
      <c r="QJU645" t="s">
        <v>8150</v>
      </c>
      <c r="QJV645">
        <v>43025</v>
      </c>
      <c r="QJY645" t="s">
        <v>8150</v>
      </c>
      <c r="QJZ645">
        <v>43025</v>
      </c>
      <c r="QKC645" t="s">
        <v>8150</v>
      </c>
      <c r="QKD645">
        <v>43025</v>
      </c>
      <c r="QKG645" t="s">
        <v>8150</v>
      </c>
      <c r="QKH645">
        <v>43025</v>
      </c>
      <c r="QKK645" t="s">
        <v>8150</v>
      </c>
      <c r="QKL645">
        <v>43025</v>
      </c>
      <c r="QKO645" t="s">
        <v>8150</v>
      </c>
      <c r="QKP645">
        <v>43025</v>
      </c>
      <c r="QKS645" t="s">
        <v>8150</v>
      </c>
      <c r="QKT645">
        <v>43025</v>
      </c>
      <c r="QKW645" t="s">
        <v>8150</v>
      </c>
      <c r="QKX645">
        <v>43025</v>
      </c>
      <c r="QLA645" t="s">
        <v>8150</v>
      </c>
      <c r="QLB645">
        <v>43025</v>
      </c>
      <c r="QLE645" t="s">
        <v>8150</v>
      </c>
      <c r="QLF645">
        <v>43025</v>
      </c>
      <c r="QLI645" t="s">
        <v>8150</v>
      </c>
      <c r="QLJ645">
        <v>43025</v>
      </c>
      <c r="QLM645" t="s">
        <v>8150</v>
      </c>
      <c r="QLN645">
        <v>43025</v>
      </c>
      <c r="QLQ645" t="s">
        <v>8150</v>
      </c>
      <c r="QLR645">
        <v>43025</v>
      </c>
      <c r="QLU645" t="s">
        <v>8150</v>
      </c>
      <c r="QLV645">
        <v>43025</v>
      </c>
      <c r="QLY645" t="s">
        <v>8150</v>
      </c>
      <c r="QLZ645">
        <v>43025</v>
      </c>
      <c r="QMC645" t="s">
        <v>8150</v>
      </c>
      <c r="QMD645">
        <v>43025</v>
      </c>
      <c r="QMG645" t="s">
        <v>8150</v>
      </c>
      <c r="QMH645">
        <v>43025</v>
      </c>
      <c r="QMK645" t="s">
        <v>8150</v>
      </c>
      <c r="QML645">
        <v>43025</v>
      </c>
      <c r="QMO645" t="s">
        <v>8150</v>
      </c>
      <c r="QMP645">
        <v>43025</v>
      </c>
      <c r="QMS645" t="s">
        <v>8150</v>
      </c>
      <c r="QMT645">
        <v>43025</v>
      </c>
      <c r="QMW645" t="s">
        <v>8150</v>
      </c>
      <c r="QMX645">
        <v>43025</v>
      </c>
      <c r="QNA645" t="s">
        <v>8150</v>
      </c>
      <c r="QNB645">
        <v>43025</v>
      </c>
      <c r="QNE645" t="s">
        <v>8150</v>
      </c>
      <c r="QNF645">
        <v>43025</v>
      </c>
      <c r="QNI645" t="s">
        <v>8150</v>
      </c>
      <c r="QNJ645">
        <v>43025</v>
      </c>
      <c r="QNM645" t="s">
        <v>8150</v>
      </c>
      <c r="QNN645">
        <v>43025</v>
      </c>
      <c r="QNQ645" t="s">
        <v>8150</v>
      </c>
      <c r="QNR645">
        <v>43025</v>
      </c>
      <c r="QNU645" t="s">
        <v>8150</v>
      </c>
      <c r="QNV645">
        <v>43025</v>
      </c>
      <c r="QNY645" t="s">
        <v>8150</v>
      </c>
      <c r="QNZ645">
        <v>43025</v>
      </c>
      <c r="QOC645" t="s">
        <v>8150</v>
      </c>
      <c r="QOD645">
        <v>43025</v>
      </c>
      <c r="QOG645" t="s">
        <v>8150</v>
      </c>
      <c r="QOH645">
        <v>43025</v>
      </c>
      <c r="QOK645" t="s">
        <v>8150</v>
      </c>
      <c r="QOL645">
        <v>43025</v>
      </c>
      <c r="QOO645" t="s">
        <v>8150</v>
      </c>
      <c r="QOP645">
        <v>43025</v>
      </c>
      <c r="QOS645" t="s">
        <v>8150</v>
      </c>
      <c r="QOT645">
        <v>43025</v>
      </c>
      <c r="QOW645" t="s">
        <v>8150</v>
      </c>
      <c r="QOX645">
        <v>43025</v>
      </c>
      <c r="QPA645" t="s">
        <v>8150</v>
      </c>
      <c r="QPB645">
        <v>43025</v>
      </c>
      <c r="QPE645" t="s">
        <v>8150</v>
      </c>
      <c r="QPF645">
        <v>43025</v>
      </c>
      <c r="QPI645" t="s">
        <v>8150</v>
      </c>
      <c r="QPJ645">
        <v>43025</v>
      </c>
      <c r="QPM645" t="s">
        <v>8150</v>
      </c>
      <c r="QPN645">
        <v>43025</v>
      </c>
      <c r="QPQ645" t="s">
        <v>8150</v>
      </c>
      <c r="QPR645">
        <v>43025</v>
      </c>
      <c r="QPU645" t="s">
        <v>8150</v>
      </c>
      <c r="QPV645">
        <v>43025</v>
      </c>
      <c r="QPY645" t="s">
        <v>8150</v>
      </c>
      <c r="QPZ645">
        <v>43025</v>
      </c>
      <c r="QQC645" t="s">
        <v>8150</v>
      </c>
      <c r="QQD645">
        <v>43025</v>
      </c>
      <c r="QQG645" t="s">
        <v>8150</v>
      </c>
      <c r="QQH645">
        <v>43025</v>
      </c>
      <c r="QQK645" t="s">
        <v>8150</v>
      </c>
      <c r="QQL645">
        <v>43025</v>
      </c>
      <c r="QQO645" t="s">
        <v>8150</v>
      </c>
      <c r="QQP645">
        <v>43025</v>
      </c>
      <c r="QQS645" t="s">
        <v>8150</v>
      </c>
      <c r="QQT645">
        <v>43025</v>
      </c>
      <c r="QQW645" t="s">
        <v>8150</v>
      </c>
      <c r="QQX645">
        <v>43025</v>
      </c>
      <c r="QRA645" t="s">
        <v>8150</v>
      </c>
      <c r="QRB645">
        <v>43025</v>
      </c>
      <c r="QRE645" t="s">
        <v>8150</v>
      </c>
      <c r="QRF645">
        <v>43025</v>
      </c>
      <c r="QRI645" t="s">
        <v>8150</v>
      </c>
      <c r="QRJ645">
        <v>43025</v>
      </c>
      <c r="QRM645" t="s">
        <v>8150</v>
      </c>
      <c r="QRN645">
        <v>43025</v>
      </c>
      <c r="QRQ645" t="s">
        <v>8150</v>
      </c>
      <c r="QRR645">
        <v>43025</v>
      </c>
      <c r="QRU645" t="s">
        <v>8150</v>
      </c>
      <c r="QRV645">
        <v>43025</v>
      </c>
      <c r="QRY645" t="s">
        <v>8150</v>
      </c>
      <c r="QRZ645">
        <v>43025</v>
      </c>
      <c r="QSC645" t="s">
        <v>8150</v>
      </c>
      <c r="QSD645">
        <v>43025</v>
      </c>
      <c r="QSG645" t="s">
        <v>8150</v>
      </c>
      <c r="QSH645">
        <v>43025</v>
      </c>
      <c r="QSK645" t="s">
        <v>8150</v>
      </c>
      <c r="QSL645">
        <v>43025</v>
      </c>
      <c r="QSO645" t="s">
        <v>8150</v>
      </c>
      <c r="QSP645">
        <v>43025</v>
      </c>
      <c r="QSS645" t="s">
        <v>8150</v>
      </c>
      <c r="QST645">
        <v>43025</v>
      </c>
      <c r="QSW645" t="s">
        <v>8150</v>
      </c>
      <c r="QSX645">
        <v>43025</v>
      </c>
      <c r="QTA645" t="s">
        <v>8150</v>
      </c>
      <c r="QTB645">
        <v>43025</v>
      </c>
      <c r="QTE645" t="s">
        <v>8150</v>
      </c>
      <c r="QTF645">
        <v>43025</v>
      </c>
      <c r="QTI645" t="s">
        <v>8150</v>
      </c>
      <c r="QTJ645">
        <v>43025</v>
      </c>
      <c r="QTM645" t="s">
        <v>8150</v>
      </c>
      <c r="QTN645">
        <v>43025</v>
      </c>
      <c r="QTQ645" t="s">
        <v>8150</v>
      </c>
      <c r="QTR645">
        <v>43025</v>
      </c>
      <c r="QTU645" t="s">
        <v>8150</v>
      </c>
      <c r="QTV645">
        <v>43025</v>
      </c>
      <c r="QTY645" t="s">
        <v>8150</v>
      </c>
      <c r="QTZ645">
        <v>43025</v>
      </c>
      <c r="QUC645" t="s">
        <v>8150</v>
      </c>
      <c r="QUD645">
        <v>43025</v>
      </c>
      <c r="QUG645" t="s">
        <v>8150</v>
      </c>
      <c r="QUH645">
        <v>43025</v>
      </c>
      <c r="QUK645" t="s">
        <v>8150</v>
      </c>
      <c r="QUL645">
        <v>43025</v>
      </c>
      <c r="QUO645" t="s">
        <v>8150</v>
      </c>
      <c r="QUP645">
        <v>43025</v>
      </c>
      <c r="QUS645" t="s">
        <v>8150</v>
      </c>
      <c r="QUT645">
        <v>43025</v>
      </c>
      <c r="QUW645" t="s">
        <v>8150</v>
      </c>
      <c r="QUX645">
        <v>43025</v>
      </c>
      <c r="QVA645" t="s">
        <v>8150</v>
      </c>
      <c r="QVB645">
        <v>43025</v>
      </c>
      <c r="QVE645" t="s">
        <v>8150</v>
      </c>
      <c r="QVF645">
        <v>43025</v>
      </c>
      <c r="QVI645" t="s">
        <v>8150</v>
      </c>
      <c r="QVJ645">
        <v>43025</v>
      </c>
      <c r="QVM645" t="s">
        <v>8150</v>
      </c>
      <c r="QVN645">
        <v>43025</v>
      </c>
      <c r="QVQ645" t="s">
        <v>8150</v>
      </c>
      <c r="QVR645">
        <v>43025</v>
      </c>
      <c r="QVU645" t="s">
        <v>8150</v>
      </c>
      <c r="QVV645">
        <v>43025</v>
      </c>
      <c r="QVY645" t="s">
        <v>8150</v>
      </c>
      <c r="QVZ645">
        <v>43025</v>
      </c>
      <c r="QWC645" t="s">
        <v>8150</v>
      </c>
      <c r="QWD645">
        <v>43025</v>
      </c>
      <c r="QWG645" t="s">
        <v>8150</v>
      </c>
      <c r="QWH645">
        <v>43025</v>
      </c>
      <c r="QWK645" t="s">
        <v>8150</v>
      </c>
      <c r="QWL645">
        <v>43025</v>
      </c>
      <c r="QWO645" t="s">
        <v>8150</v>
      </c>
      <c r="QWP645">
        <v>43025</v>
      </c>
      <c r="QWS645" t="s">
        <v>8150</v>
      </c>
      <c r="QWT645">
        <v>43025</v>
      </c>
      <c r="QWW645" t="s">
        <v>8150</v>
      </c>
      <c r="QWX645">
        <v>43025</v>
      </c>
      <c r="QXA645" t="s">
        <v>8150</v>
      </c>
      <c r="QXB645">
        <v>43025</v>
      </c>
      <c r="QXE645" t="s">
        <v>8150</v>
      </c>
      <c r="QXF645">
        <v>43025</v>
      </c>
      <c r="QXI645" t="s">
        <v>8150</v>
      </c>
      <c r="QXJ645">
        <v>43025</v>
      </c>
      <c r="QXM645" t="s">
        <v>8150</v>
      </c>
      <c r="QXN645">
        <v>43025</v>
      </c>
      <c r="QXQ645" t="s">
        <v>8150</v>
      </c>
      <c r="QXR645">
        <v>43025</v>
      </c>
      <c r="QXU645" t="s">
        <v>8150</v>
      </c>
      <c r="QXV645">
        <v>43025</v>
      </c>
      <c r="QXY645" t="s">
        <v>8150</v>
      </c>
      <c r="QXZ645">
        <v>43025</v>
      </c>
      <c r="QYC645" t="s">
        <v>8150</v>
      </c>
      <c r="QYD645">
        <v>43025</v>
      </c>
      <c r="QYG645" t="s">
        <v>8150</v>
      </c>
      <c r="QYH645">
        <v>43025</v>
      </c>
      <c r="QYK645" t="s">
        <v>8150</v>
      </c>
      <c r="QYL645">
        <v>43025</v>
      </c>
      <c r="QYO645" t="s">
        <v>8150</v>
      </c>
      <c r="QYP645">
        <v>43025</v>
      </c>
      <c r="QYS645" t="s">
        <v>8150</v>
      </c>
      <c r="QYT645">
        <v>43025</v>
      </c>
      <c r="QYW645" t="s">
        <v>8150</v>
      </c>
      <c r="QYX645">
        <v>43025</v>
      </c>
      <c r="QZA645" t="s">
        <v>8150</v>
      </c>
      <c r="QZB645">
        <v>43025</v>
      </c>
      <c r="QZE645" t="s">
        <v>8150</v>
      </c>
      <c r="QZF645">
        <v>43025</v>
      </c>
      <c r="QZI645" t="s">
        <v>8150</v>
      </c>
      <c r="QZJ645">
        <v>43025</v>
      </c>
      <c r="QZM645" t="s">
        <v>8150</v>
      </c>
      <c r="QZN645">
        <v>43025</v>
      </c>
      <c r="QZQ645" t="s">
        <v>8150</v>
      </c>
      <c r="QZR645">
        <v>43025</v>
      </c>
      <c r="QZU645" t="s">
        <v>8150</v>
      </c>
      <c r="QZV645">
        <v>43025</v>
      </c>
      <c r="QZY645" t="s">
        <v>8150</v>
      </c>
      <c r="QZZ645">
        <v>43025</v>
      </c>
      <c r="RAC645" t="s">
        <v>8150</v>
      </c>
      <c r="RAD645">
        <v>43025</v>
      </c>
      <c r="RAG645" t="s">
        <v>8150</v>
      </c>
      <c r="RAH645">
        <v>43025</v>
      </c>
      <c r="RAK645" t="s">
        <v>8150</v>
      </c>
      <c r="RAL645">
        <v>43025</v>
      </c>
      <c r="RAO645" t="s">
        <v>8150</v>
      </c>
      <c r="RAP645">
        <v>43025</v>
      </c>
      <c r="RAS645" t="s">
        <v>8150</v>
      </c>
      <c r="RAT645">
        <v>43025</v>
      </c>
      <c r="RAW645" t="s">
        <v>8150</v>
      </c>
      <c r="RAX645">
        <v>43025</v>
      </c>
      <c r="RBA645" t="s">
        <v>8150</v>
      </c>
      <c r="RBB645">
        <v>43025</v>
      </c>
      <c r="RBE645" t="s">
        <v>8150</v>
      </c>
      <c r="RBF645">
        <v>43025</v>
      </c>
      <c r="RBI645" t="s">
        <v>8150</v>
      </c>
      <c r="RBJ645">
        <v>43025</v>
      </c>
      <c r="RBM645" t="s">
        <v>8150</v>
      </c>
      <c r="RBN645">
        <v>43025</v>
      </c>
      <c r="RBQ645" t="s">
        <v>8150</v>
      </c>
      <c r="RBR645">
        <v>43025</v>
      </c>
      <c r="RBU645" t="s">
        <v>8150</v>
      </c>
      <c r="RBV645">
        <v>43025</v>
      </c>
      <c r="RBY645" t="s">
        <v>8150</v>
      </c>
      <c r="RBZ645">
        <v>43025</v>
      </c>
      <c r="RCC645" t="s">
        <v>8150</v>
      </c>
      <c r="RCD645">
        <v>43025</v>
      </c>
      <c r="RCG645" t="s">
        <v>8150</v>
      </c>
      <c r="RCH645">
        <v>43025</v>
      </c>
      <c r="RCK645" t="s">
        <v>8150</v>
      </c>
      <c r="RCL645">
        <v>43025</v>
      </c>
      <c r="RCO645" t="s">
        <v>8150</v>
      </c>
      <c r="RCP645">
        <v>43025</v>
      </c>
      <c r="RCS645" t="s">
        <v>8150</v>
      </c>
      <c r="RCT645">
        <v>43025</v>
      </c>
      <c r="RCW645" t="s">
        <v>8150</v>
      </c>
      <c r="RCX645">
        <v>43025</v>
      </c>
      <c r="RDA645" t="s">
        <v>8150</v>
      </c>
      <c r="RDB645">
        <v>43025</v>
      </c>
      <c r="RDE645" t="s">
        <v>8150</v>
      </c>
      <c r="RDF645">
        <v>43025</v>
      </c>
      <c r="RDI645" t="s">
        <v>8150</v>
      </c>
      <c r="RDJ645">
        <v>43025</v>
      </c>
      <c r="RDM645" t="s">
        <v>8150</v>
      </c>
      <c r="RDN645">
        <v>43025</v>
      </c>
      <c r="RDQ645" t="s">
        <v>8150</v>
      </c>
      <c r="RDR645">
        <v>43025</v>
      </c>
      <c r="RDU645" t="s">
        <v>8150</v>
      </c>
      <c r="RDV645">
        <v>43025</v>
      </c>
      <c r="RDY645" t="s">
        <v>8150</v>
      </c>
      <c r="RDZ645">
        <v>43025</v>
      </c>
      <c r="REC645" t="s">
        <v>8150</v>
      </c>
      <c r="RED645">
        <v>43025</v>
      </c>
      <c r="REG645" t="s">
        <v>8150</v>
      </c>
      <c r="REH645">
        <v>43025</v>
      </c>
      <c r="REK645" t="s">
        <v>8150</v>
      </c>
      <c r="REL645">
        <v>43025</v>
      </c>
      <c r="REO645" t="s">
        <v>8150</v>
      </c>
      <c r="REP645">
        <v>43025</v>
      </c>
      <c r="RES645" t="s">
        <v>8150</v>
      </c>
      <c r="RET645">
        <v>43025</v>
      </c>
      <c r="REW645" t="s">
        <v>8150</v>
      </c>
      <c r="REX645">
        <v>43025</v>
      </c>
      <c r="RFA645" t="s">
        <v>8150</v>
      </c>
      <c r="RFB645">
        <v>43025</v>
      </c>
      <c r="RFE645" t="s">
        <v>8150</v>
      </c>
      <c r="RFF645">
        <v>43025</v>
      </c>
      <c r="RFI645" t="s">
        <v>8150</v>
      </c>
      <c r="RFJ645">
        <v>43025</v>
      </c>
      <c r="RFM645" t="s">
        <v>8150</v>
      </c>
      <c r="RFN645">
        <v>43025</v>
      </c>
      <c r="RFQ645" t="s">
        <v>8150</v>
      </c>
      <c r="RFR645">
        <v>43025</v>
      </c>
      <c r="RFU645" t="s">
        <v>8150</v>
      </c>
      <c r="RFV645">
        <v>43025</v>
      </c>
      <c r="RFY645" t="s">
        <v>8150</v>
      </c>
      <c r="RFZ645">
        <v>43025</v>
      </c>
      <c r="RGC645" t="s">
        <v>8150</v>
      </c>
      <c r="RGD645">
        <v>43025</v>
      </c>
      <c r="RGG645" t="s">
        <v>8150</v>
      </c>
      <c r="RGH645">
        <v>43025</v>
      </c>
      <c r="RGK645" t="s">
        <v>8150</v>
      </c>
      <c r="RGL645">
        <v>43025</v>
      </c>
      <c r="RGO645" t="s">
        <v>8150</v>
      </c>
      <c r="RGP645">
        <v>43025</v>
      </c>
      <c r="RGS645" t="s">
        <v>8150</v>
      </c>
      <c r="RGT645">
        <v>43025</v>
      </c>
      <c r="RGW645" t="s">
        <v>8150</v>
      </c>
      <c r="RGX645">
        <v>43025</v>
      </c>
      <c r="RHA645" t="s">
        <v>8150</v>
      </c>
      <c r="RHB645">
        <v>43025</v>
      </c>
      <c r="RHE645" t="s">
        <v>8150</v>
      </c>
      <c r="RHF645">
        <v>43025</v>
      </c>
      <c r="RHI645" t="s">
        <v>8150</v>
      </c>
      <c r="RHJ645">
        <v>43025</v>
      </c>
      <c r="RHM645" t="s">
        <v>8150</v>
      </c>
      <c r="RHN645">
        <v>43025</v>
      </c>
      <c r="RHQ645" t="s">
        <v>8150</v>
      </c>
      <c r="RHR645">
        <v>43025</v>
      </c>
      <c r="RHU645" t="s">
        <v>8150</v>
      </c>
      <c r="RHV645">
        <v>43025</v>
      </c>
      <c r="RHY645" t="s">
        <v>8150</v>
      </c>
      <c r="RHZ645">
        <v>43025</v>
      </c>
      <c r="RIC645" t="s">
        <v>8150</v>
      </c>
      <c r="RID645">
        <v>43025</v>
      </c>
      <c r="RIG645" t="s">
        <v>8150</v>
      </c>
      <c r="RIH645">
        <v>43025</v>
      </c>
      <c r="RIK645" t="s">
        <v>8150</v>
      </c>
      <c r="RIL645">
        <v>43025</v>
      </c>
      <c r="RIO645" t="s">
        <v>8150</v>
      </c>
      <c r="RIP645">
        <v>43025</v>
      </c>
      <c r="RIS645" t="s">
        <v>8150</v>
      </c>
      <c r="RIT645">
        <v>43025</v>
      </c>
      <c r="RIW645" t="s">
        <v>8150</v>
      </c>
      <c r="RIX645">
        <v>43025</v>
      </c>
      <c r="RJA645" t="s">
        <v>8150</v>
      </c>
      <c r="RJB645">
        <v>43025</v>
      </c>
      <c r="RJE645" t="s">
        <v>8150</v>
      </c>
      <c r="RJF645">
        <v>43025</v>
      </c>
      <c r="RJI645" t="s">
        <v>8150</v>
      </c>
      <c r="RJJ645">
        <v>43025</v>
      </c>
      <c r="RJM645" t="s">
        <v>8150</v>
      </c>
      <c r="RJN645">
        <v>43025</v>
      </c>
      <c r="RJQ645" t="s">
        <v>8150</v>
      </c>
      <c r="RJR645">
        <v>43025</v>
      </c>
      <c r="RJU645" t="s">
        <v>8150</v>
      </c>
      <c r="RJV645">
        <v>43025</v>
      </c>
      <c r="RJY645" t="s">
        <v>8150</v>
      </c>
      <c r="RJZ645">
        <v>43025</v>
      </c>
      <c r="RKC645" t="s">
        <v>8150</v>
      </c>
      <c r="RKD645">
        <v>43025</v>
      </c>
      <c r="RKG645" t="s">
        <v>8150</v>
      </c>
      <c r="RKH645">
        <v>43025</v>
      </c>
      <c r="RKK645" t="s">
        <v>8150</v>
      </c>
      <c r="RKL645">
        <v>43025</v>
      </c>
      <c r="RKO645" t="s">
        <v>8150</v>
      </c>
      <c r="RKP645">
        <v>43025</v>
      </c>
      <c r="RKS645" t="s">
        <v>8150</v>
      </c>
      <c r="RKT645">
        <v>43025</v>
      </c>
      <c r="RKW645" t="s">
        <v>8150</v>
      </c>
      <c r="RKX645">
        <v>43025</v>
      </c>
      <c r="RLA645" t="s">
        <v>8150</v>
      </c>
      <c r="RLB645">
        <v>43025</v>
      </c>
      <c r="RLE645" t="s">
        <v>8150</v>
      </c>
      <c r="RLF645">
        <v>43025</v>
      </c>
      <c r="RLI645" t="s">
        <v>8150</v>
      </c>
      <c r="RLJ645">
        <v>43025</v>
      </c>
      <c r="RLM645" t="s">
        <v>8150</v>
      </c>
      <c r="RLN645">
        <v>43025</v>
      </c>
      <c r="RLQ645" t="s">
        <v>8150</v>
      </c>
      <c r="RLR645">
        <v>43025</v>
      </c>
      <c r="RLU645" t="s">
        <v>8150</v>
      </c>
      <c r="RLV645">
        <v>43025</v>
      </c>
      <c r="RLY645" t="s">
        <v>8150</v>
      </c>
      <c r="RLZ645">
        <v>43025</v>
      </c>
      <c r="RMC645" t="s">
        <v>8150</v>
      </c>
      <c r="RMD645">
        <v>43025</v>
      </c>
      <c r="RMG645" t="s">
        <v>8150</v>
      </c>
      <c r="RMH645">
        <v>43025</v>
      </c>
      <c r="RMK645" t="s">
        <v>8150</v>
      </c>
      <c r="RML645">
        <v>43025</v>
      </c>
      <c r="RMO645" t="s">
        <v>8150</v>
      </c>
      <c r="RMP645">
        <v>43025</v>
      </c>
      <c r="RMS645" t="s">
        <v>8150</v>
      </c>
      <c r="RMT645">
        <v>43025</v>
      </c>
      <c r="RMW645" t="s">
        <v>8150</v>
      </c>
      <c r="RMX645">
        <v>43025</v>
      </c>
      <c r="RNA645" t="s">
        <v>8150</v>
      </c>
      <c r="RNB645">
        <v>43025</v>
      </c>
      <c r="RNE645" t="s">
        <v>8150</v>
      </c>
      <c r="RNF645">
        <v>43025</v>
      </c>
      <c r="RNI645" t="s">
        <v>8150</v>
      </c>
      <c r="RNJ645">
        <v>43025</v>
      </c>
      <c r="RNM645" t="s">
        <v>8150</v>
      </c>
      <c r="RNN645">
        <v>43025</v>
      </c>
      <c r="RNQ645" t="s">
        <v>8150</v>
      </c>
      <c r="RNR645">
        <v>43025</v>
      </c>
      <c r="RNU645" t="s">
        <v>8150</v>
      </c>
      <c r="RNV645">
        <v>43025</v>
      </c>
      <c r="RNY645" t="s">
        <v>8150</v>
      </c>
      <c r="RNZ645">
        <v>43025</v>
      </c>
      <c r="ROC645" t="s">
        <v>8150</v>
      </c>
      <c r="ROD645">
        <v>43025</v>
      </c>
      <c r="ROG645" t="s">
        <v>8150</v>
      </c>
      <c r="ROH645">
        <v>43025</v>
      </c>
      <c r="ROK645" t="s">
        <v>8150</v>
      </c>
      <c r="ROL645">
        <v>43025</v>
      </c>
      <c r="ROO645" t="s">
        <v>8150</v>
      </c>
      <c r="ROP645">
        <v>43025</v>
      </c>
      <c r="ROS645" t="s">
        <v>8150</v>
      </c>
      <c r="ROT645">
        <v>43025</v>
      </c>
      <c r="ROW645" t="s">
        <v>8150</v>
      </c>
      <c r="ROX645">
        <v>43025</v>
      </c>
      <c r="RPA645" t="s">
        <v>8150</v>
      </c>
      <c r="RPB645">
        <v>43025</v>
      </c>
      <c r="RPE645" t="s">
        <v>8150</v>
      </c>
      <c r="RPF645">
        <v>43025</v>
      </c>
      <c r="RPI645" t="s">
        <v>8150</v>
      </c>
      <c r="RPJ645">
        <v>43025</v>
      </c>
      <c r="RPM645" t="s">
        <v>8150</v>
      </c>
      <c r="RPN645">
        <v>43025</v>
      </c>
      <c r="RPQ645" t="s">
        <v>8150</v>
      </c>
      <c r="RPR645">
        <v>43025</v>
      </c>
      <c r="RPU645" t="s">
        <v>8150</v>
      </c>
      <c r="RPV645">
        <v>43025</v>
      </c>
      <c r="RPY645" t="s">
        <v>8150</v>
      </c>
      <c r="RPZ645">
        <v>43025</v>
      </c>
      <c r="RQC645" t="s">
        <v>8150</v>
      </c>
      <c r="RQD645">
        <v>43025</v>
      </c>
      <c r="RQG645" t="s">
        <v>8150</v>
      </c>
      <c r="RQH645">
        <v>43025</v>
      </c>
      <c r="RQK645" t="s">
        <v>8150</v>
      </c>
      <c r="RQL645">
        <v>43025</v>
      </c>
      <c r="RQO645" t="s">
        <v>8150</v>
      </c>
      <c r="RQP645">
        <v>43025</v>
      </c>
      <c r="RQS645" t="s">
        <v>8150</v>
      </c>
      <c r="RQT645">
        <v>43025</v>
      </c>
      <c r="RQW645" t="s">
        <v>8150</v>
      </c>
      <c r="RQX645">
        <v>43025</v>
      </c>
      <c r="RRA645" t="s">
        <v>8150</v>
      </c>
      <c r="RRB645">
        <v>43025</v>
      </c>
      <c r="RRE645" t="s">
        <v>8150</v>
      </c>
      <c r="RRF645">
        <v>43025</v>
      </c>
      <c r="RRI645" t="s">
        <v>8150</v>
      </c>
      <c r="RRJ645">
        <v>43025</v>
      </c>
      <c r="RRM645" t="s">
        <v>8150</v>
      </c>
      <c r="RRN645">
        <v>43025</v>
      </c>
      <c r="RRQ645" t="s">
        <v>8150</v>
      </c>
      <c r="RRR645">
        <v>43025</v>
      </c>
      <c r="RRU645" t="s">
        <v>8150</v>
      </c>
      <c r="RRV645">
        <v>43025</v>
      </c>
      <c r="RRY645" t="s">
        <v>8150</v>
      </c>
      <c r="RRZ645">
        <v>43025</v>
      </c>
      <c r="RSC645" t="s">
        <v>8150</v>
      </c>
      <c r="RSD645">
        <v>43025</v>
      </c>
      <c r="RSG645" t="s">
        <v>8150</v>
      </c>
      <c r="RSH645">
        <v>43025</v>
      </c>
      <c r="RSK645" t="s">
        <v>8150</v>
      </c>
      <c r="RSL645">
        <v>43025</v>
      </c>
      <c r="RSO645" t="s">
        <v>8150</v>
      </c>
      <c r="RSP645">
        <v>43025</v>
      </c>
      <c r="RSS645" t="s">
        <v>8150</v>
      </c>
      <c r="RST645">
        <v>43025</v>
      </c>
      <c r="RSW645" t="s">
        <v>8150</v>
      </c>
      <c r="RSX645">
        <v>43025</v>
      </c>
      <c r="RTA645" t="s">
        <v>8150</v>
      </c>
      <c r="RTB645">
        <v>43025</v>
      </c>
      <c r="RTE645" t="s">
        <v>8150</v>
      </c>
      <c r="RTF645">
        <v>43025</v>
      </c>
      <c r="RTI645" t="s">
        <v>8150</v>
      </c>
      <c r="RTJ645">
        <v>43025</v>
      </c>
      <c r="RTM645" t="s">
        <v>8150</v>
      </c>
      <c r="RTN645">
        <v>43025</v>
      </c>
      <c r="RTQ645" t="s">
        <v>8150</v>
      </c>
      <c r="RTR645">
        <v>43025</v>
      </c>
      <c r="RTU645" t="s">
        <v>8150</v>
      </c>
      <c r="RTV645">
        <v>43025</v>
      </c>
      <c r="RTY645" t="s">
        <v>8150</v>
      </c>
      <c r="RTZ645">
        <v>43025</v>
      </c>
      <c r="RUC645" t="s">
        <v>8150</v>
      </c>
      <c r="RUD645">
        <v>43025</v>
      </c>
      <c r="RUG645" t="s">
        <v>8150</v>
      </c>
      <c r="RUH645">
        <v>43025</v>
      </c>
      <c r="RUK645" t="s">
        <v>8150</v>
      </c>
      <c r="RUL645">
        <v>43025</v>
      </c>
      <c r="RUO645" t="s">
        <v>8150</v>
      </c>
      <c r="RUP645">
        <v>43025</v>
      </c>
      <c r="RUS645" t="s">
        <v>8150</v>
      </c>
      <c r="RUT645">
        <v>43025</v>
      </c>
      <c r="RUW645" t="s">
        <v>8150</v>
      </c>
      <c r="RUX645">
        <v>43025</v>
      </c>
      <c r="RVA645" t="s">
        <v>8150</v>
      </c>
      <c r="RVB645">
        <v>43025</v>
      </c>
      <c r="RVE645" t="s">
        <v>8150</v>
      </c>
      <c r="RVF645">
        <v>43025</v>
      </c>
      <c r="RVI645" t="s">
        <v>8150</v>
      </c>
      <c r="RVJ645">
        <v>43025</v>
      </c>
      <c r="RVM645" t="s">
        <v>8150</v>
      </c>
      <c r="RVN645">
        <v>43025</v>
      </c>
      <c r="RVQ645" t="s">
        <v>8150</v>
      </c>
      <c r="RVR645">
        <v>43025</v>
      </c>
      <c r="RVU645" t="s">
        <v>8150</v>
      </c>
      <c r="RVV645">
        <v>43025</v>
      </c>
      <c r="RVY645" t="s">
        <v>8150</v>
      </c>
      <c r="RVZ645">
        <v>43025</v>
      </c>
      <c r="RWC645" t="s">
        <v>8150</v>
      </c>
      <c r="RWD645">
        <v>43025</v>
      </c>
      <c r="RWG645" t="s">
        <v>8150</v>
      </c>
      <c r="RWH645">
        <v>43025</v>
      </c>
      <c r="RWK645" t="s">
        <v>8150</v>
      </c>
      <c r="RWL645">
        <v>43025</v>
      </c>
      <c r="RWO645" t="s">
        <v>8150</v>
      </c>
      <c r="RWP645">
        <v>43025</v>
      </c>
      <c r="RWS645" t="s">
        <v>8150</v>
      </c>
      <c r="RWT645">
        <v>43025</v>
      </c>
      <c r="RWW645" t="s">
        <v>8150</v>
      </c>
      <c r="RWX645">
        <v>43025</v>
      </c>
      <c r="RXA645" t="s">
        <v>8150</v>
      </c>
      <c r="RXB645">
        <v>43025</v>
      </c>
      <c r="RXE645" t="s">
        <v>8150</v>
      </c>
      <c r="RXF645">
        <v>43025</v>
      </c>
      <c r="RXI645" t="s">
        <v>8150</v>
      </c>
      <c r="RXJ645">
        <v>43025</v>
      </c>
      <c r="RXM645" t="s">
        <v>8150</v>
      </c>
      <c r="RXN645">
        <v>43025</v>
      </c>
      <c r="RXQ645" t="s">
        <v>8150</v>
      </c>
      <c r="RXR645">
        <v>43025</v>
      </c>
      <c r="RXU645" t="s">
        <v>8150</v>
      </c>
      <c r="RXV645">
        <v>43025</v>
      </c>
      <c r="RXY645" t="s">
        <v>8150</v>
      </c>
      <c r="RXZ645">
        <v>43025</v>
      </c>
      <c r="RYC645" t="s">
        <v>8150</v>
      </c>
      <c r="RYD645">
        <v>43025</v>
      </c>
      <c r="RYG645" t="s">
        <v>8150</v>
      </c>
      <c r="RYH645">
        <v>43025</v>
      </c>
      <c r="RYK645" t="s">
        <v>8150</v>
      </c>
      <c r="RYL645">
        <v>43025</v>
      </c>
      <c r="RYO645" t="s">
        <v>8150</v>
      </c>
      <c r="RYP645">
        <v>43025</v>
      </c>
      <c r="RYS645" t="s">
        <v>8150</v>
      </c>
      <c r="RYT645">
        <v>43025</v>
      </c>
      <c r="RYW645" t="s">
        <v>8150</v>
      </c>
      <c r="RYX645">
        <v>43025</v>
      </c>
      <c r="RZA645" t="s">
        <v>8150</v>
      </c>
      <c r="RZB645">
        <v>43025</v>
      </c>
      <c r="RZE645" t="s">
        <v>8150</v>
      </c>
      <c r="RZF645">
        <v>43025</v>
      </c>
      <c r="RZI645" t="s">
        <v>8150</v>
      </c>
      <c r="RZJ645">
        <v>43025</v>
      </c>
      <c r="RZM645" t="s">
        <v>8150</v>
      </c>
      <c r="RZN645">
        <v>43025</v>
      </c>
      <c r="RZQ645" t="s">
        <v>8150</v>
      </c>
      <c r="RZR645">
        <v>43025</v>
      </c>
      <c r="RZU645" t="s">
        <v>8150</v>
      </c>
      <c r="RZV645">
        <v>43025</v>
      </c>
      <c r="RZY645" t="s">
        <v>8150</v>
      </c>
      <c r="RZZ645">
        <v>43025</v>
      </c>
      <c r="SAC645" t="s">
        <v>8150</v>
      </c>
      <c r="SAD645">
        <v>43025</v>
      </c>
      <c r="SAG645" t="s">
        <v>8150</v>
      </c>
      <c r="SAH645">
        <v>43025</v>
      </c>
      <c r="SAK645" t="s">
        <v>8150</v>
      </c>
      <c r="SAL645">
        <v>43025</v>
      </c>
      <c r="SAO645" t="s">
        <v>8150</v>
      </c>
      <c r="SAP645">
        <v>43025</v>
      </c>
      <c r="SAS645" t="s">
        <v>8150</v>
      </c>
      <c r="SAT645">
        <v>43025</v>
      </c>
      <c r="SAW645" t="s">
        <v>8150</v>
      </c>
      <c r="SAX645">
        <v>43025</v>
      </c>
      <c r="SBA645" t="s">
        <v>8150</v>
      </c>
      <c r="SBB645">
        <v>43025</v>
      </c>
      <c r="SBE645" t="s">
        <v>8150</v>
      </c>
      <c r="SBF645">
        <v>43025</v>
      </c>
      <c r="SBI645" t="s">
        <v>8150</v>
      </c>
      <c r="SBJ645">
        <v>43025</v>
      </c>
      <c r="SBM645" t="s">
        <v>8150</v>
      </c>
      <c r="SBN645">
        <v>43025</v>
      </c>
      <c r="SBQ645" t="s">
        <v>8150</v>
      </c>
      <c r="SBR645">
        <v>43025</v>
      </c>
      <c r="SBU645" t="s">
        <v>8150</v>
      </c>
      <c r="SBV645">
        <v>43025</v>
      </c>
      <c r="SBY645" t="s">
        <v>8150</v>
      </c>
      <c r="SBZ645">
        <v>43025</v>
      </c>
      <c r="SCC645" t="s">
        <v>8150</v>
      </c>
      <c r="SCD645">
        <v>43025</v>
      </c>
      <c r="SCG645" t="s">
        <v>8150</v>
      </c>
      <c r="SCH645">
        <v>43025</v>
      </c>
      <c r="SCK645" t="s">
        <v>8150</v>
      </c>
      <c r="SCL645">
        <v>43025</v>
      </c>
      <c r="SCO645" t="s">
        <v>8150</v>
      </c>
      <c r="SCP645">
        <v>43025</v>
      </c>
      <c r="SCS645" t="s">
        <v>8150</v>
      </c>
      <c r="SCT645">
        <v>43025</v>
      </c>
      <c r="SCW645" t="s">
        <v>8150</v>
      </c>
      <c r="SCX645">
        <v>43025</v>
      </c>
      <c r="SDA645" t="s">
        <v>8150</v>
      </c>
      <c r="SDB645">
        <v>43025</v>
      </c>
      <c r="SDE645" t="s">
        <v>8150</v>
      </c>
      <c r="SDF645">
        <v>43025</v>
      </c>
      <c r="SDI645" t="s">
        <v>8150</v>
      </c>
      <c r="SDJ645">
        <v>43025</v>
      </c>
      <c r="SDM645" t="s">
        <v>8150</v>
      </c>
      <c r="SDN645">
        <v>43025</v>
      </c>
      <c r="SDQ645" t="s">
        <v>8150</v>
      </c>
      <c r="SDR645">
        <v>43025</v>
      </c>
      <c r="SDU645" t="s">
        <v>8150</v>
      </c>
      <c r="SDV645">
        <v>43025</v>
      </c>
      <c r="SDY645" t="s">
        <v>8150</v>
      </c>
      <c r="SDZ645">
        <v>43025</v>
      </c>
      <c r="SEC645" t="s">
        <v>8150</v>
      </c>
      <c r="SED645">
        <v>43025</v>
      </c>
      <c r="SEG645" t="s">
        <v>8150</v>
      </c>
      <c r="SEH645">
        <v>43025</v>
      </c>
      <c r="SEK645" t="s">
        <v>8150</v>
      </c>
      <c r="SEL645">
        <v>43025</v>
      </c>
      <c r="SEO645" t="s">
        <v>8150</v>
      </c>
      <c r="SEP645">
        <v>43025</v>
      </c>
      <c r="SES645" t="s">
        <v>8150</v>
      </c>
      <c r="SET645">
        <v>43025</v>
      </c>
      <c r="SEW645" t="s">
        <v>8150</v>
      </c>
      <c r="SEX645">
        <v>43025</v>
      </c>
      <c r="SFA645" t="s">
        <v>8150</v>
      </c>
      <c r="SFB645">
        <v>43025</v>
      </c>
      <c r="SFE645" t="s">
        <v>8150</v>
      </c>
      <c r="SFF645">
        <v>43025</v>
      </c>
      <c r="SFI645" t="s">
        <v>8150</v>
      </c>
      <c r="SFJ645">
        <v>43025</v>
      </c>
      <c r="SFM645" t="s">
        <v>8150</v>
      </c>
      <c r="SFN645">
        <v>43025</v>
      </c>
      <c r="SFQ645" t="s">
        <v>8150</v>
      </c>
      <c r="SFR645">
        <v>43025</v>
      </c>
      <c r="SFU645" t="s">
        <v>8150</v>
      </c>
      <c r="SFV645">
        <v>43025</v>
      </c>
      <c r="SFY645" t="s">
        <v>8150</v>
      </c>
      <c r="SFZ645">
        <v>43025</v>
      </c>
      <c r="SGC645" t="s">
        <v>8150</v>
      </c>
      <c r="SGD645">
        <v>43025</v>
      </c>
      <c r="SGG645" t="s">
        <v>8150</v>
      </c>
      <c r="SGH645">
        <v>43025</v>
      </c>
      <c r="SGK645" t="s">
        <v>8150</v>
      </c>
      <c r="SGL645">
        <v>43025</v>
      </c>
      <c r="SGO645" t="s">
        <v>8150</v>
      </c>
      <c r="SGP645">
        <v>43025</v>
      </c>
      <c r="SGS645" t="s">
        <v>8150</v>
      </c>
      <c r="SGT645">
        <v>43025</v>
      </c>
      <c r="SGW645" t="s">
        <v>8150</v>
      </c>
      <c r="SGX645">
        <v>43025</v>
      </c>
      <c r="SHA645" t="s">
        <v>8150</v>
      </c>
      <c r="SHB645">
        <v>43025</v>
      </c>
      <c r="SHE645" t="s">
        <v>8150</v>
      </c>
      <c r="SHF645">
        <v>43025</v>
      </c>
      <c r="SHI645" t="s">
        <v>8150</v>
      </c>
      <c r="SHJ645">
        <v>43025</v>
      </c>
      <c r="SHM645" t="s">
        <v>8150</v>
      </c>
      <c r="SHN645">
        <v>43025</v>
      </c>
      <c r="SHQ645" t="s">
        <v>8150</v>
      </c>
      <c r="SHR645">
        <v>43025</v>
      </c>
      <c r="SHU645" t="s">
        <v>8150</v>
      </c>
      <c r="SHV645">
        <v>43025</v>
      </c>
      <c r="SHY645" t="s">
        <v>8150</v>
      </c>
      <c r="SHZ645">
        <v>43025</v>
      </c>
      <c r="SIC645" t="s">
        <v>8150</v>
      </c>
      <c r="SID645">
        <v>43025</v>
      </c>
      <c r="SIG645" t="s">
        <v>8150</v>
      </c>
      <c r="SIH645">
        <v>43025</v>
      </c>
      <c r="SIK645" t="s">
        <v>8150</v>
      </c>
      <c r="SIL645">
        <v>43025</v>
      </c>
      <c r="SIO645" t="s">
        <v>8150</v>
      </c>
      <c r="SIP645">
        <v>43025</v>
      </c>
      <c r="SIS645" t="s">
        <v>8150</v>
      </c>
      <c r="SIT645">
        <v>43025</v>
      </c>
      <c r="SIW645" t="s">
        <v>8150</v>
      </c>
      <c r="SIX645">
        <v>43025</v>
      </c>
      <c r="SJA645" t="s">
        <v>8150</v>
      </c>
      <c r="SJB645">
        <v>43025</v>
      </c>
      <c r="SJE645" t="s">
        <v>8150</v>
      </c>
      <c r="SJF645">
        <v>43025</v>
      </c>
      <c r="SJI645" t="s">
        <v>8150</v>
      </c>
      <c r="SJJ645">
        <v>43025</v>
      </c>
      <c r="SJM645" t="s">
        <v>8150</v>
      </c>
      <c r="SJN645">
        <v>43025</v>
      </c>
      <c r="SJQ645" t="s">
        <v>8150</v>
      </c>
      <c r="SJR645">
        <v>43025</v>
      </c>
      <c r="SJU645" t="s">
        <v>8150</v>
      </c>
      <c r="SJV645">
        <v>43025</v>
      </c>
      <c r="SJY645" t="s">
        <v>8150</v>
      </c>
      <c r="SJZ645">
        <v>43025</v>
      </c>
      <c r="SKC645" t="s">
        <v>8150</v>
      </c>
      <c r="SKD645">
        <v>43025</v>
      </c>
      <c r="SKG645" t="s">
        <v>8150</v>
      </c>
      <c r="SKH645">
        <v>43025</v>
      </c>
      <c r="SKK645" t="s">
        <v>8150</v>
      </c>
      <c r="SKL645">
        <v>43025</v>
      </c>
      <c r="SKO645" t="s">
        <v>8150</v>
      </c>
      <c r="SKP645">
        <v>43025</v>
      </c>
      <c r="SKS645" t="s">
        <v>8150</v>
      </c>
      <c r="SKT645">
        <v>43025</v>
      </c>
      <c r="SKW645" t="s">
        <v>8150</v>
      </c>
      <c r="SKX645">
        <v>43025</v>
      </c>
      <c r="SLA645" t="s">
        <v>8150</v>
      </c>
      <c r="SLB645">
        <v>43025</v>
      </c>
      <c r="SLE645" t="s">
        <v>8150</v>
      </c>
      <c r="SLF645">
        <v>43025</v>
      </c>
      <c r="SLI645" t="s">
        <v>8150</v>
      </c>
      <c r="SLJ645">
        <v>43025</v>
      </c>
      <c r="SLM645" t="s">
        <v>8150</v>
      </c>
      <c r="SLN645">
        <v>43025</v>
      </c>
      <c r="SLQ645" t="s">
        <v>8150</v>
      </c>
      <c r="SLR645">
        <v>43025</v>
      </c>
      <c r="SLU645" t="s">
        <v>8150</v>
      </c>
      <c r="SLV645">
        <v>43025</v>
      </c>
      <c r="SLY645" t="s">
        <v>8150</v>
      </c>
      <c r="SLZ645">
        <v>43025</v>
      </c>
      <c r="SMC645" t="s">
        <v>8150</v>
      </c>
      <c r="SMD645">
        <v>43025</v>
      </c>
      <c r="SMG645" t="s">
        <v>8150</v>
      </c>
      <c r="SMH645">
        <v>43025</v>
      </c>
      <c r="SMK645" t="s">
        <v>8150</v>
      </c>
      <c r="SML645">
        <v>43025</v>
      </c>
      <c r="SMO645" t="s">
        <v>8150</v>
      </c>
      <c r="SMP645">
        <v>43025</v>
      </c>
      <c r="SMS645" t="s">
        <v>8150</v>
      </c>
      <c r="SMT645">
        <v>43025</v>
      </c>
      <c r="SMW645" t="s">
        <v>8150</v>
      </c>
      <c r="SMX645">
        <v>43025</v>
      </c>
      <c r="SNA645" t="s">
        <v>8150</v>
      </c>
      <c r="SNB645">
        <v>43025</v>
      </c>
      <c r="SNE645" t="s">
        <v>8150</v>
      </c>
      <c r="SNF645">
        <v>43025</v>
      </c>
      <c r="SNI645" t="s">
        <v>8150</v>
      </c>
      <c r="SNJ645">
        <v>43025</v>
      </c>
      <c r="SNM645" t="s">
        <v>8150</v>
      </c>
      <c r="SNN645">
        <v>43025</v>
      </c>
      <c r="SNQ645" t="s">
        <v>8150</v>
      </c>
      <c r="SNR645">
        <v>43025</v>
      </c>
      <c r="SNU645" t="s">
        <v>8150</v>
      </c>
      <c r="SNV645">
        <v>43025</v>
      </c>
      <c r="SNY645" t="s">
        <v>8150</v>
      </c>
      <c r="SNZ645">
        <v>43025</v>
      </c>
      <c r="SOC645" t="s">
        <v>8150</v>
      </c>
      <c r="SOD645">
        <v>43025</v>
      </c>
      <c r="SOG645" t="s">
        <v>8150</v>
      </c>
      <c r="SOH645">
        <v>43025</v>
      </c>
      <c r="SOK645" t="s">
        <v>8150</v>
      </c>
      <c r="SOL645">
        <v>43025</v>
      </c>
      <c r="SOO645" t="s">
        <v>8150</v>
      </c>
      <c r="SOP645">
        <v>43025</v>
      </c>
      <c r="SOS645" t="s">
        <v>8150</v>
      </c>
      <c r="SOT645">
        <v>43025</v>
      </c>
      <c r="SOW645" t="s">
        <v>8150</v>
      </c>
      <c r="SOX645">
        <v>43025</v>
      </c>
      <c r="SPA645" t="s">
        <v>8150</v>
      </c>
      <c r="SPB645">
        <v>43025</v>
      </c>
      <c r="SPE645" t="s">
        <v>8150</v>
      </c>
      <c r="SPF645">
        <v>43025</v>
      </c>
      <c r="SPI645" t="s">
        <v>8150</v>
      </c>
      <c r="SPJ645">
        <v>43025</v>
      </c>
      <c r="SPM645" t="s">
        <v>8150</v>
      </c>
      <c r="SPN645">
        <v>43025</v>
      </c>
      <c r="SPQ645" t="s">
        <v>8150</v>
      </c>
      <c r="SPR645">
        <v>43025</v>
      </c>
      <c r="SPU645" t="s">
        <v>8150</v>
      </c>
      <c r="SPV645">
        <v>43025</v>
      </c>
      <c r="SPY645" t="s">
        <v>8150</v>
      </c>
      <c r="SPZ645">
        <v>43025</v>
      </c>
      <c r="SQC645" t="s">
        <v>8150</v>
      </c>
      <c r="SQD645">
        <v>43025</v>
      </c>
      <c r="SQG645" t="s">
        <v>8150</v>
      </c>
      <c r="SQH645">
        <v>43025</v>
      </c>
      <c r="SQK645" t="s">
        <v>8150</v>
      </c>
      <c r="SQL645">
        <v>43025</v>
      </c>
      <c r="SQO645" t="s">
        <v>8150</v>
      </c>
      <c r="SQP645">
        <v>43025</v>
      </c>
      <c r="SQS645" t="s">
        <v>8150</v>
      </c>
      <c r="SQT645">
        <v>43025</v>
      </c>
      <c r="SQW645" t="s">
        <v>8150</v>
      </c>
      <c r="SQX645">
        <v>43025</v>
      </c>
      <c r="SRA645" t="s">
        <v>8150</v>
      </c>
      <c r="SRB645">
        <v>43025</v>
      </c>
      <c r="SRE645" t="s">
        <v>8150</v>
      </c>
      <c r="SRF645">
        <v>43025</v>
      </c>
      <c r="SRI645" t="s">
        <v>8150</v>
      </c>
      <c r="SRJ645">
        <v>43025</v>
      </c>
      <c r="SRM645" t="s">
        <v>8150</v>
      </c>
      <c r="SRN645">
        <v>43025</v>
      </c>
      <c r="SRQ645" t="s">
        <v>8150</v>
      </c>
      <c r="SRR645">
        <v>43025</v>
      </c>
      <c r="SRU645" t="s">
        <v>8150</v>
      </c>
      <c r="SRV645">
        <v>43025</v>
      </c>
      <c r="SRY645" t="s">
        <v>8150</v>
      </c>
      <c r="SRZ645">
        <v>43025</v>
      </c>
      <c r="SSC645" t="s">
        <v>8150</v>
      </c>
      <c r="SSD645">
        <v>43025</v>
      </c>
      <c r="SSG645" t="s">
        <v>8150</v>
      </c>
      <c r="SSH645">
        <v>43025</v>
      </c>
      <c r="SSK645" t="s">
        <v>8150</v>
      </c>
      <c r="SSL645">
        <v>43025</v>
      </c>
      <c r="SSO645" t="s">
        <v>8150</v>
      </c>
      <c r="SSP645">
        <v>43025</v>
      </c>
      <c r="SSS645" t="s">
        <v>8150</v>
      </c>
      <c r="SST645">
        <v>43025</v>
      </c>
      <c r="SSW645" t="s">
        <v>8150</v>
      </c>
      <c r="SSX645">
        <v>43025</v>
      </c>
      <c r="STA645" t="s">
        <v>8150</v>
      </c>
      <c r="STB645">
        <v>43025</v>
      </c>
      <c r="STE645" t="s">
        <v>8150</v>
      </c>
      <c r="STF645">
        <v>43025</v>
      </c>
      <c r="STI645" t="s">
        <v>8150</v>
      </c>
      <c r="STJ645">
        <v>43025</v>
      </c>
      <c r="STM645" t="s">
        <v>8150</v>
      </c>
      <c r="STN645">
        <v>43025</v>
      </c>
      <c r="STQ645" t="s">
        <v>8150</v>
      </c>
      <c r="STR645">
        <v>43025</v>
      </c>
      <c r="STU645" t="s">
        <v>8150</v>
      </c>
      <c r="STV645">
        <v>43025</v>
      </c>
      <c r="STY645" t="s">
        <v>8150</v>
      </c>
      <c r="STZ645">
        <v>43025</v>
      </c>
      <c r="SUC645" t="s">
        <v>8150</v>
      </c>
      <c r="SUD645">
        <v>43025</v>
      </c>
      <c r="SUG645" t="s">
        <v>8150</v>
      </c>
      <c r="SUH645">
        <v>43025</v>
      </c>
      <c r="SUK645" t="s">
        <v>8150</v>
      </c>
      <c r="SUL645">
        <v>43025</v>
      </c>
      <c r="SUO645" t="s">
        <v>8150</v>
      </c>
      <c r="SUP645">
        <v>43025</v>
      </c>
      <c r="SUS645" t="s">
        <v>8150</v>
      </c>
      <c r="SUT645">
        <v>43025</v>
      </c>
      <c r="SUW645" t="s">
        <v>8150</v>
      </c>
      <c r="SUX645">
        <v>43025</v>
      </c>
      <c r="SVA645" t="s">
        <v>8150</v>
      </c>
      <c r="SVB645">
        <v>43025</v>
      </c>
      <c r="SVE645" t="s">
        <v>8150</v>
      </c>
      <c r="SVF645">
        <v>43025</v>
      </c>
      <c r="SVI645" t="s">
        <v>8150</v>
      </c>
      <c r="SVJ645">
        <v>43025</v>
      </c>
      <c r="SVM645" t="s">
        <v>8150</v>
      </c>
      <c r="SVN645">
        <v>43025</v>
      </c>
      <c r="SVQ645" t="s">
        <v>8150</v>
      </c>
      <c r="SVR645">
        <v>43025</v>
      </c>
      <c r="SVU645" t="s">
        <v>8150</v>
      </c>
      <c r="SVV645">
        <v>43025</v>
      </c>
      <c r="SVY645" t="s">
        <v>8150</v>
      </c>
      <c r="SVZ645">
        <v>43025</v>
      </c>
      <c r="SWC645" t="s">
        <v>8150</v>
      </c>
      <c r="SWD645">
        <v>43025</v>
      </c>
      <c r="SWG645" t="s">
        <v>8150</v>
      </c>
      <c r="SWH645">
        <v>43025</v>
      </c>
      <c r="SWK645" t="s">
        <v>8150</v>
      </c>
      <c r="SWL645">
        <v>43025</v>
      </c>
      <c r="SWO645" t="s">
        <v>8150</v>
      </c>
      <c r="SWP645">
        <v>43025</v>
      </c>
      <c r="SWS645" t="s">
        <v>8150</v>
      </c>
      <c r="SWT645">
        <v>43025</v>
      </c>
      <c r="SWW645" t="s">
        <v>8150</v>
      </c>
      <c r="SWX645">
        <v>43025</v>
      </c>
      <c r="SXA645" t="s">
        <v>8150</v>
      </c>
      <c r="SXB645">
        <v>43025</v>
      </c>
      <c r="SXE645" t="s">
        <v>8150</v>
      </c>
      <c r="SXF645">
        <v>43025</v>
      </c>
      <c r="SXI645" t="s">
        <v>8150</v>
      </c>
      <c r="SXJ645">
        <v>43025</v>
      </c>
      <c r="SXM645" t="s">
        <v>8150</v>
      </c>
      <c r="SXN645">
        <v>43025</v>
      </c>
      <c r="SXQ645" t="s">
        <v>8150</v>
      </c>
      <c r="SXR645">
        <v>43025</v>
      </c>
      <c r="SXU645" t="s">
        <v>8150</v>
      </c>
      <c r="SXV645">
        <v>43025</v>
      </c>
      <c r="SXY645" t="s">
        <v>8150</v>
      </c>
      <c r="SXZ645">
        <v>43025</v>
      </c>
      <c r="SYC645" t="s">
        <v>8150</v>
      </c>
      <c r="SYD645">
        <v>43025</v>
      </c>
      <c r="SYG645" t="s">
        <v>8150</v>
      </c>
      <c r="SYH645">
        <v>43025</v>
      </c>
      <c r="SYK645" t="s">
        <v>8150</v>
      </c>
      <c r="SYL645">
        <v>43025</v>
      </c>
      <c r="SYO645" t="s">
        <v>8150</v>
      </c>
      <c r="SYP645">
        <v>43025</v>
      </c>
      <c r="SYS645" t="s">
        <v>8150</v>
      </c>
      <c r="SYT645">
        <v>43025</v>
      </c>
      <c r="SYW645" t="s">
        <v>8150</v>
      </c>
      <c r="SYX645">
        <v>43025</v>
      </c>
      <c r="SZA645" t="s">
        <v>8150</v>
      </c>
      <c r="SZB645">
        <v>43025</v>
      </c>
      <c r="SZE645" t="s">
        <v>8150</v>
      </c>
      <c r="SZF645">
        <v>43025</v>
      </c>
      <c r="SZI645" t="s">
        <v>8150</v>
      </c>
      <c r="SZJ645">
        <v>43025</v>
      </c>
      <c r="SZM645" t="s">
        <v>8150</v>
      </c>
      <c r="SZN645">
        <v>43025</v>
      </c>
      <c r="SZQ645" t="s">
        <v>8150</v>
      </c>
      <c r="SZR645">
        <v>43025</v>
      </c>
      <c r="SZU645" t="s">
        <v>8150</v>
      </c>
      <c r="SZV645">
        <v>43025</v>
      </c>
      <c r="SZY645" t="s">
        <v>8150</v>
      </c>
      <c r="SZZ645">
        <v>43025</v>
      </c>
      <c r="TAC645" t="s">
        <v>8150</v>
      </c>
      <c r="TAD645">
        <v>43025</v>
      </c>
      <c r="TAG645" t="s">
        <v>8150</v>
      </c>
      <c r="TAH645">
        <v>43025</v>
      </c>
      <c r="TAK645" t="s">
        <v>8150</v>
      </c>
      <c r="TAL645">
        <v>43025</v>
      </c>
      <c r="TAO645" t="s">
        <v>8150</v>
      </c>
      <c r="TAP645">
        <v>43025</v>
      </c>
      <c r="TAS645" t="s">
        <v>8150</v>
      </c>
      <c r="TAT645">
        <v>43025</v>
      </c>
      <c r="TAW645" t="s">
        <v>8150</v>
      </c>
      <c r="TAX645">
        <v>43025</v>
      </c>
      <c r="TBA645" t="s">
        <v>8150</v>
      </c>
      <c r="TBB645">
        <v>43025</v>
      </c>
      <c r="TBE645" t="s">
        <v>8150</v>
      </c>
      <c r="TBF645">
        <v>43025</v>
      </c>
      <c r="TBI645" t="s">
        <v>8150</v>
      </c>
      <c r="TBJ645">
        <v>43025</v>
      </c>
      <c r="TBM645" t="s">
        <v>8150</v>
      </c>
      <c r="TBN645">
        <v>43025</v>
      </c>
      <c r="TBQ645" t="s">
        <v>8150</v>
      </c>
      <c r="TBR645">
        <v>43025</v>
      </c>
      <c r="TBU645" t="s">
        <v>8150</v>
      </c>
      <c r="TBV645">
        <v>43025</v>
      </c>
      <c r="TBY645" t="s">
        <v>8150</v>
      </c>
      <c r="TBZ645">
        <v>43025</v>
      </c>
      <c r="TCC645" t="s">
        <v>8150</v>
      </c>
      <c r="TCD645">
        <v>43025</v>
      </c>
      <c r="TCG645" t="s">
        <v>8150</v>
      </c>
      <c r="TCH645">
        <v>43025</v>
      </c>
      <c r="TCK645" t="s">
        <v>8150</v>
      </c>
      <c r="TCL645">
        <v>43025</v>
      </c>
      <c r="TCO645" t="s">
        <v>8150</v>
      </c>
      <c r="TCP645">
        <v>43025</v>
      </c>
      <c r="TCS645" t="s">
        <v>8150</v>
      </c>
      <c r="TCT645">
        <v>43025</v>
      </c>
      <c r="TCW645" t="s">
        <v>8150</v>
      </c>
      <c r="TCX645">
        <v>43025</v>
      </c>
      <c r="TDA645" t="s">
        <v>8150</v>
      </c>
      <c r="TDB645">
        <v>43025</v>
      </c>
      <c r="TDE645" t="s">
        <v>8150</v>
      </c>
      <c r="TDF645">
        <v>43025</v>
      </c>
      <c r="TDI645" t="s">
        <v>8150</v>
      </c>
      <c r="TDJ645">
        <v>43025</v>
      </c>
      <c r="TDM645" t="s">
        <v>8150</v>
      </c>
      <c r="TDN645">
        <v>43025</v>
      </c>
      <c r="TDQ645" t="s">
        <v>8150</v>
      </c>
      <c r="TDR645">
        <v>43025</v>
      </c>
      <c r="TDU645" t="s">
        <v>8150</v>
      </c>
      <c r="TDV645">
        <v>43025</v>
      </c>
      <c r="TDY645" t="s">
        <v>8150</v>
      </c>
      <c r="TDZ645">
        <v>43025</v>
      </c>
      <c r="TEC645" t="s">
        <v>8150</v>
      </c>
      <c r="TED645">
        <v>43025</v>
      </c>
      <c r="TEG645" t="s">
        <v>8150</v>
      </c>
      <c r="TEH645">
        <v>43025</v>
      </c>
      <c r="TEK645" t="s">
        <v>8150</v>
      </c>
      <c r="TEL645">
        <v>43025</v>
      </c>
      <c r="TEO645" t="s">
        <v>8150</v>
      </c>
      <c r="TEP645">
        <v>43025</v>
      </c>
      <c r="TES645" t="s">
        <v>8150</v>
      </c>
      <c r="TET645">
        <v>43025</v>
      </c>
      <c r="TEW645" t="s">
        <v>8150</v>
      </c>
      <c r="TEX645">
        <v>43025</v>
      </c>
      <c r="TFA645" t="s">
        <v>8150</v>
      </c>
      <c r="TFB645">
        <v>43025</v>
      </c>
      <c r="TFE645" t="s">
        <v>8150</v>
      </c>
      <c r="TFF645">
        <v>43025</v>
      </c>
      <c r="TFI645" t="s">
        <v>8150</v>
      </c>
      <c r="TFJ645">
        <v>43025</v>
      </c>
      <c r="TFM645" t="s">
        <v>8150</v>
      </c>
      <c r="TFN645">
        <v>43025</v>
      </c>
      <c r="TFQ645" t="s">
        <v>8150</v>
      </c>
      <c r="TFR645">
        <v>43025</v>
      </c>
      <c r="TFU645" t="s">
        <v>8150</v>
      </c>
      <c r="TFV645">
        <v>43025</v>
      </c>
      <c r="TFY645" t="s">
        <v>8150</v>
      </c>
      <c r="TFZ645">
        <v>43025</v>
      </c>
      <c r="TGC645" t="s">
        <v>8150</v>
      </c>
      <c r="TGD645">
        <v>43025</v>
      </c>
      <c r="TGG645" t="s">
        <v>8150</v>
      </c>
      <c r="TGH645">
        <v>43025</v>
      </c>
      <c r="TGK645" t="s">
        <v>8150</v>
      </c>
      <c r="TGL645">
        <v>43025</v>
      </c>
      <c r="TGO645" t="s">
        <v>8150</v>
      </c>
      <c r="TGP645">
        <v>43025</v>
      </c>
      <c r="TGS645" t="s">
        <v>8150</v>
      </c>
      <c r="TGT645">
        <v>43025</v>
      </c>
      <c r="TGW645" t="s">
        <v>8150</v>
      </c>
      <c r="TGX645">
        <v>43025</v>
      </c>
      <c r="THA645" t="s">
        <v>8150</v>
      </c>
      <c r="THB645">
        <v>43025</v>
      </c>
      <c r="THE645" t="s">
        <v>8150</v>
      </c>
      <c r="THF645">
        <v>43025</v>
      </c>
      <c r="THI645" t="s">
        <v>8150</v>
      </c>
      <c r="THJ645">
        <v>43025</v>
      </c>
      <c r="THM645" t="s">
        <v>8150</v>
      </c>
      <c r="THN645">
        <v>43025</v>
      </c>
      <c r="THQ645" t="s">
        <v>8150</v>
      </c>
      <c r="THR645">
        <v>43025</v>
      </c>
      <c r="THU645" t="s">
        <v>8150</v>
      </c>
      <c r="THV645">
        <v>43025</v>
      </c>
      <c r="THY645" t="s">
        <v>8150</v>
      </c>
      <c r="THZ645">
        <v>43025</v>
      </c>
      <c r="TIC645" t="s">
        <v>8150</v>
      </c>
      <c r="TID645">
        <v>43025</v>
      </c>
      <c r="TIG645" t="s">
        <v>8150</v>
      </c>
      <c r="TIH645">
        <v>43025</v>
      </c>
      <c r="TIK645" t="s">
        <v>8150</v>
      </c>
      <c r="TIL645">
        <v>43025</v>
      </c>
      <c r="TIO645" t="s">
        <v>8150</v>
      </c>
      <c r="TIP645">
        <v>43025</v>
      </c>
      <c r="TIS645" t="s">
        <v>8150</v>
      </c>
      <c r="TIT645">
        <v>43025</v>
      </c>
      <c r="TIW645" t="s">
        <v>8150</v>
      </c>
      <c r="TIX645">
        <v>43025</v>
      </c>
      <c r="TJA645" t="s">
        <v>8150</v>
      </c>
      <c r="TJB645">
        <v>43025</v>
      </c>
      <c r="TJE645" t="s">
        <v>8150</v>
      </c>
      <c r="TJF645">
        <v>43025</v>
      </c>
      <c r="TJI645" t="s">
        <v>8150</v>
      </c>
      <c r="TJJ645">
        <v>43025</v>
      </c>
      <c r="TJM645" t="s">
        <v>8150</v>
      </c>
      <c r="TJN645">
        <v>43025</v>
      </c>
      <c r="TJQ645" t="s">
        <v>8150</v>
      </c>
      <c r="TJR645">
        <v>43025</v>
      </c>
      <c r="TJU645" t="s">
        <v>8150</v>
      </c>
      <c r="TJV645">
        <v>43025</v>
      </c>
      <c r="TJY645" t="s">
        <v>8150</v>
      </c>
      <c r="TJZ645">
        <v>43025</v>
      </c>
      <c r="TKC645" t="s">
        <v>8150</v>
      </c>
      <c r="TKD645">
        <v>43025</v>
      </c>
      <c r="TKG645" t="s">
        <v>8150</v>
      </c>
      <c r="TKH645">
        <v>43025</v>
      </c>
      <c r="TKK645" t="s">
        <v>8150</v>
      </c>
      <c r="TKL645">
        <v>43025</v>
      </c>
      <c r="TKO645" t="s">
        <v>8150</v>
      </c>
      <c r="TKP645">
        <v>43025</v>
      </c>
      <c r="TKS645" t="s">
        <v>8150</v>
      </c>
      <c r="TKT645">
        <v>43025</v>
      </c>
      <c r="TKW645" t="s">
        <v>8150</v>
      </c>
      <c r="TKX645">
        <v>43025</v>
      </c>
      <c r="TLA645" t="s">
        <v>8150</v>
      </c>
      <c r="TLB645">
        <v>43025</v>
      </c>
      <c r="TLE645" t="s">
        <v>8150</v>
      </c>
      <c r="TLF645">
        <v>43025</v>
      </c>
      <c r="TLI645" t="s">
        <v>8150</v>
      </c>
      <c r="TLJ645">
        <v>43025</v>
      </c>
      <c r="TLM645" t="s">
        <v>8150</v>
      </c>
      <c r="TLN645">
        <v>43025</v>
      </c>
      <c r="TLQ645" t="s">
        <v>8150</v>
      </c>
      <c r="TLR645">
        <v>43025</v>
      </c>
      <c r="TLU645" t="s">
        <v>8150</v>
      </c>
      <c r="TLV645">
        <v>43025</v>
      </c>
      <c r="TLY645" t="s">
        <v>8150</v>
      </c>
      <c r="TLZ645">
        <v>43025</v>
      </c>
      <c r="TMC645" t="s">
        <v>8150</v>
      </c>
      <c r="TMD645">
        <v>43025</v>
      </c>
      <c r="TMG645" t="s">
        <v>8150</v>
      </c>
      <c r="TMH645">
        <v>43025</v>
      </c>
      <c r="TMK645" t="s">
        <v>8150</v>
      </c>
      <c r="TML645">
        <v>43025</v>
      </c>
      <c r="TMO645" t="s">
        <v>8150</v>
      </c>
      <c r="TMP645">
        <v>43025</v>
      </c>
      <c r="TMS645" t="s">
        <v>8150</v>
      </c>
      <c r="TMT645">
        <v>43025</v>
      </c>
      <c r="TMW645" t="s">
        <v>8150</v>
      </c>
      <c r="TMX645">
        <v>43025</v>
      </c>
      <c r="TNA645" t="s">
        <v>8150</v>
      </c>
      <c r="TNB645">
        <v>43025</v>
      </c>
      <c r="TNE645" t="s">
        <v>8150</v>
      </c>
      <c r="TNF645">
        <v>43025</v>
      </c>
      <c r="TNI645" t="s">
        <v>8150</v>
      </c>
      <c r="TNJ645">
        <v>43025</v>
      </c>
      <c r="TNM645" t="s">
        <v>8150</v>
      </c>
      <c r="TNN645">
        <v>43025</v>
      </c>
      <c r="TNQ645" t="s">
        <v>8150</v>
      </c>
      <c r="TNR645">
        <v>43025</v>
      </c>
      <c r="TNU645" t="s">
        <v>8150</v>
      </c>
      <c r="TNV645">
        <v>43025</v>
      </c>
      <c r="TNY645" t="s">
        <v>8150</v>
      </c>
      <c r="TNZ645">
        <v>43025</v>
      </c>
      <c r="TOC645" t="s">
        <v>8150</v>
      </c>
      <c r="TOD645">
        <v>43025</v>
      </c>
      <c r="TOG645" t="s">
        <v>8150</v>
      </c>
      <c r="TOH645">
        <v>43025</v>
      </c>
      <c r="TOK645" t="s">
        <v>8150</v>
      </c>
      <c r="TOL645">
        <v>43025</v>
      </c>
      <c r="TOO645" t="s">
        <v>8150</v>
      </c>
      <c r="TOP645">
        <v>43025</v>
      </c>
      <c r="TOS645" t="s">
        <v>8150</v>
      </c>
      <c r="TOT645">
        <v>43025</v>
      </c>
      <c r="TOW645" t="s">
        <v>8150</v>
      </c>
      <c r="TOX645">
        <v>43025</v>
      </c>
      <c r="TPA645" t="s">
        <v>8150</v>
      </c>
      <c r="TPB645">
        <v>43025</v>
      </c>
      <c r="TPE645" t="s">
        <v>8150</v>
      </c>
      <c r="TPF645">
        <v>43025</v>
      </c>
      <c r="TPI645" t="s">
        <v>8150</v>
      </c>
      <c r="TPJ645">
        <v>43025</v>
      </c>
      <c r="TPM645" t="s">
        <v>8150</v>
      </c>
      <c r="TPN645">
        <v>43025</v>
      </c>
      <c r="TPQ645" t="s">
        <v>8150</v>
      </c>
      <c r="TPR645">
        <v>43025</v>
      </c>
      <c r="TPU645" t="s">
        <v>8150</v>
      </c>
      <c r="TPV645">
        <v>43025</v>
      </c>
      <c r="TPY645" t="s">
        <v>8150</v>
      </c>
      <c r="TPZ645">
        <v>43025</v>
      </c>
      <c r="TQC645" t="s">
        <v>8150</v>
      </c>
      <c r="TQD645">
        <v>43025</v>
      </c>
      <c r="TQG645" t="s">
        <v>8150</v>
      </c>
      <c r="TQH645">
        <v>43025</v>
      </c>
      <c r="TQK645" t="s">
        <v>8150</v>
      </c>
      <c r="TQL645">
        <v>43025</v>
      </c>
      <c r="TQO645" t="s">
        <v>8150</v>
      </c>
      <c r="TQP645">
        <v>43025</v>
      </c>
      <c r="TQS645" t="s">
        <v>8150</v>
      </c>
      <c r="TQT645">
        <v>43025</v>
      </c>
      <c r="TQW645" t="s">
        <v>8150</v>
      </c>
      <c r="TQX645">
        <v>43025</v>
      </c>
      <c r="TRA645" t="s">
        <v>8150</v>
      </c>
      <c r="TRB645">
        <v>43025</v>
      </c>
      <c r="TRE645" t="s">
        <v>8150</v>
      </c>
      <c r="TRF645">
        <v>43025</v>
      </c>
      <c r="TRI645" t="s">
        <v>8150</v>
      </c>
      <c r="TRJ645">
        <v>43025</v>
      </c>
      <c r="TRM645" t="s">
        <v>8150</v>
      </c>
      <c r="TRN645">
        <v>43025</v>
      </c>
      <c r="TRQ645" t="s">
        <v>8150</v>
      </c>
      <c r="TRR645">
        <v>43025</v>
      </c>
      <c r="TRU645" t="s">
        <v>8150</v>
      </c>
      <c r="TRV645">
        <v>43025</v>
      </c>
      <c r="TRY645" t="s">
        <v>8150</v>
      </c>
      <c r="TRZ645">
        <v>43025</v>
      </c>
      <c r="TSC645" t="s">
        <v>8150</v>
      </c>
      <c r="TSD645">
        <v>43025</v>
      </c>
      <c r="TSG645" t="s">
        <v>8150</v>
      </c>
      <c r="TSH645">
        <v>43025</v>
      </c>
      <c r="TSK645" t="s">
        <v>8150</v>
      </c>
      <c r="TSL645">
        <v>43025</v>
      </c>
      <c r="TSO645" t="s">
        <v>8150</v>
      </c>
      <c r="TSP645">
        <v>43025</v>
      </c>
      <c r="TSS645" t="s">
        <v>8150</v>
      </c>
      <c r="TST645">
        <v>43025</v>
      </c>
      <c r="TSW645" t="s">
        <v>8150</v>
      </c>
      <c r="TSX645">
        <v>43025</v>
      </c>
      <c r="TTA645" t="s">
        <v>8150</v>
      </c>
      <c r="TTB645">
        <v>43025</v>
      </c>
      <c r="TTE645" t="s">
        <v>8150</v>
      </c>
      <c r="TTF645">
        <v>43025</v>
      </c>
      <c r="TTI645" t="s">
        <v>8150</v>
      </c>
      <c r="TTJ645">
        <v>43025</v>
      </c>
      <c r="TTM645" t="s">
        <v>8150</v>
      </c>
      <c r="TTN645">
        <v>43025</v>
      </c>
      <c r="TTQ645" t="s">
        <v>8150</v>
      </c>
      <c r="TTR645">
        <v>43025</v>
      </c>
      <c r="TTU645" t="s">
        <v>8150</v>
      </c>
      <c r="TTV645">
        <v>43025</v>
      </c>
      <c r="TTY645" t="s">
        <v>8150</v>
      </c>
      <c r="TTZ645">
        <v>43025</v>
      </c>
      <c r="TUC645" t="s">
        <v>8150</v>
      </c>
      <c r="TUD645">
        <v>43025</v>
      </c>
      <c r="TUG645" t="s">
        <v>8150</v>
      </c>
      <c r="TUH645">
        <v>43025</v>
      </c>
      <c r="TUK645" t="s">
        <v>8150</v>
      </c>
      <c r="TUL645">
        <v>43025</v>
      </c>
      <c r="TUO645" t="s">
        <v>8150</v>
      </c>
      <c r="TUP645">
        <v>43025</v>
      </c>
      <c r="TUS645" t="s">
        <v>8150</v>
      </c>
      <c r="TUT645">
        <v>43025</v>
      </c>
      <c r="TUW645" t="s">
        <v>8150</v>
      </c>
      <c r="TUX645">
        <v>43025</v>
      </c>
      <c r="TVA645" t="s">
        <v>8150</v>
      </c>
      <c r="TVB645">
        <v>43025</v>
      </c>
      <c r="TVE645" t="s">
        <v>8150</v>
      </c>
      <c r="TVF645">
        <v>43025</v>
      </c>
      <c r="TVI645" t="s">
        <v>8150</v>
      </c>
      <c r="TVJ645">
        <v>43025</v>
      </c>
      <c r="TVM645" t="s">
        <v>8150</v>
      </c>
      <c r="TVN645">
        <v>43025</v>
      </c>
      <c r="TVQ645" t="s">
        <v>8150</v>
      </c>
      <c r="TVR645">
        <v>43025</v>
      </c>
      <c r="TVU645" t="s">
        <v>8150</v>
      </c>
      <c r="TVV645">
        <v>43025</v>
      </c>
      <c r="TVY645" t="s">
        <v>8150</v>
      </c>
      <c r="TVZ645">
        <v>43025</v>
      </c>
      <c r="TWC645" t="s">
        <v>8150</v>
      </c>
      <c r="TWD645">
        <v>43025</v>
      </c>
      <c r="TWG645" t="s">
        <v>8150</v>
      </c>
      <c r="TWH645">
        <v>43025</v>
      </c>
      <c r="TWK645" t="s">
        <v>8150</v>
      </c>
      <c r="TWL645">
        <v>43025</v>
      </c>
      <c r="TWO645" t="s">
        <v>8150</v>
      </c>
      <c r="TWP645">
        <v>43025</v>
      </c>
      <c r="TWS645" t="s">
        <v>8150</v>
      </c>
      <c r="TWT645">
        <v>43025</v>
      </c>
      <c r="TWW645" t="s">
        <v>8150</v>
      </c>
      <c r="TWX645">
        <v>43025</v>
      </c>
      <c r="TXA645" t="s">
        <v>8150</v>
      </c>
      <c r="TXB645">
        <v>43025</v>
      </c>
      <c r="TXE645" t="s">
        <v>8150</v>
      </c>
      <c r="TXF645">
        <v>43025</v>
      </c>
      <c r="TXI645" t="s">
        <v>8150</v>
      </c>
      <c r="TXJ645">
        <v>43025</v>
      </c>
      <c r="TXM645" t="s">
        <v>8150</v>
      </c>
      <c r="TXN645">
        <v>43025</v>
      </c>
      <c r="TXQ645" t="s">
        <v>8150</v>
      </c>
      <c r="TXR645">
        <v>43025</v>
      </c>
      <c r="TXU645" t="s">
        <v>8150</v>
      </c>
      <c r="TXV645">
        <v>43025</v>
      </c>
      <c r="TXY645" t="s">
        <v>8150</v>
      </c>
      <c r="TXZ645">
        <v>43025</v>
      </c>
      <c r="TYC645" t="s">
        <v>8150</v>
      </c>
      <c r="TYD645">
        <v>43025</v>
      </c>
      <c r="TYG645" t="s">
        <v>8150</v>
      </c>
      <c r="TYH645">
        <v>43025</v>
      </c>
      <c r="TYK645" t="s">
        <v>8150</v>
      </c>
      <c r="TYL645">
        <v>43025</v>
      </c>
      <c r="TYO645" t="s">
        <v>8150</v>
      </c>
      <c r="TYP645">
        <v>43025</v>
      </c>
      <c r="TYS645" t="s">
        <v>8150</v>
      </c>
      <c r="TYT645">
        <v>43025</v>
      </c>
      <c r="TYW645" t="s">
        <v>8150</v>
      </c>
      <c r="TYX645">
        <v>43025</v>
      </c>
      <c r="TZA645" t="s">
        <v>8150</v>
      </c>
      <c r="TZB645">
        <v>43025</v>
      </c>
      <c r="TZE645" t="s">
        <v>8150</v>
      </c>
      <c r="TZF645">
        <v>43025</v>
      </c>
      <c r="TZI645" t="s">
        <v>8150</v>
      </c>
      <c r="TZJ645">
        <v>43025</v>
      </c>
      <c r="TZM645" t="s">
        <v>8150</v>
      </c>
      <c r="TZN645">
        <v>43025</v>
      </c>
      <c r="TZQ645" t="s">
        <v>8150</v>
      </c>
      <c r="TZR645">
        <v>43025</v>
      </c>
      <c r="TZU645" t="s">
        <v>8150</v>
      </c>
      <c r="TZV645">
        <v>43025</v>
      </c>
      <c r="TZY645" t="s">
        <v>8150</v>
      </c>
      <c r="TZZ645">
        <v>43025</v>
      </c>
      <c r="UAC645" t="s">
        <v>8150</v>
      </c>
      <c r="UAD645">
        <v>43025</v>
      </c>
      <c r="UAG645" t="s">
        <v>8150</v>
      </c>
      <c r="UAH645">
        <v>43025</v>
      </c>
      <c r="UAK645" t="s">
        <v>8150</v>
      </c>
      <c r="UAL645">
        <v>43025</v>
      </c>
      <c r="UAO645" t="s">
        <v>8150</v>
      </c>
      <c r="UAP645">
        <v>43025</v>
      </c>
      <c r="UAS645" t="s">
        <v>8150</v>
      </c>
      <c r="UAT645">
        <v>43025</v>
      </c>
      <c r="UAW645" t="s">
        <v>8150</v>
      </c>
      <c r="UAX645">
        <v>43025</v>
      </c>
      <c r="UBA645" t="s">
        <v>8150</v>
      </c>
      <c r="UBB645">
        <v>43025</v>
      </c>
      <c r="UBE645" t="s">
        <v>8150</v>
      </c>
      <c r="UBF645">
        <v>43025</v>
      </c>
      <c r="UBI645" t="s">
        <v>8150</v>
      </c>
      <c r="UBJ645">
        <v>43025</v>
      </c>
      <c r="UBM645" t="s">
        <v>8150</v>
      </c>
      <c r="UBN645">
        <v>43025</v>
      </c>
      <c r="UBQ645" t="s">
        <v>8150</v>
      </c>
      <c r="UBR645">
        <v>43025</v>
      </c>
      <c r="UBU645" t="s">
        <v>8150</v>
      </c>
      <c r="UBV645">
        <v>43025</v>
      </c>
      <c r="UBY645" t="s">
        <v>8150</v>
      </c>
      <c r="UBZ645">
        <v>43025</v>
      </c>
      <c r="UCC645" t="s">
        <v>8150</v>
      </c>
      <c r="UCD645">
        <v>43025</v>
      </c>
      <c r="UCG645" t="s">
        <v>8150</v>
      </c>
      <c r="UCH645">
        <v>43025</v>
      </c>
      <c r="UCK645" t="s">
        <v>8150</v>
      </c>
      <c r="UCL645">
        <v>43025</v>
      </c>
      <c r="UCO645" t="s">
        <v>8150</v>
      </c>
      <c r="UCP645">
        <v>43025</v>
      </c>
      <c r="UCS645" t="s">
        <v>8150</v>
      </c>
      <c r="UCT645">
        <v>43025</v>
      </c>
      <c r="UCW645" t="s">
        <v>8150</v>
      </c>
      <c r="UCX645">
        <v>43025</v>
      </c>
      <c r="UDA645" t="s">
        <v>8150</v>
      </c>
      <c r="UDB645">
        <v>43025</v>
      </c>
      <c r="UDE645" t="s">
        <v>8150</v>
      </c>
      <c r="UDF645">
        <v>43025</v>
      </c>
      <c r="UDI645" t="s">
        <v>8150</v>
      </c>
      <c r="UDJ645">
        <v>43025</v>
      </c>
      <c r="UDM645" t="s">
        <v>8150</v>
      </c>
      <c r="UDN645">
        <v>43025</v>
      </c>
      <c r="UDQ645" t="s">
        <v>8150</v>
      </c>
      <c r="UDR645">
        <v>43025</v>
      </c>
      <c r="UDU645" t="s">
        <v>8150</v>
      </c>
      <c r="UDV645">
        <v>43025</v>
      </c>
      <c r="UDY645" t="s">
        <v>8150</v>
      </c>
      <c r="UDZ645">
        <v>43025</v>
      </c>
      <c r="UEC645" t="s">
        <v>8150</v>
      </c>
      <c r="UED645">
        <v>43025</v>
      </c>
      <c r="UEG645" t="s">
        <v>8150</v>
      </c>
      <c r="UEH645">
        <v>43025</v>
      </c>
      <c r="UEK645" t="s">
        <v>8150</v>
      </c>
      <c r="UEL645">
        <v>43025</v>
      </c>
      <c r="UEO645" t="s">
        <v>8150</v>
      </c>
      <c r="UEP645">
        <v>43025</v>
      </c>
      <c r="UES645" t="s">
        <v>8150</v>
      </c>
      <c r="UET645">
        <v>43025</v>
      </c>
      <c r="UEW645" t="s">
        <v>8150</v>
      </c>
      <c r="UEX645">
        <v>43025</v>
      </c>
      <c r="UFA645" t="s">
        <v>8150</v>
      </c>
      <c r="UFB645">
        <v>43025</v>
      </c>
      <c r="UFE645" t="s">
        <v>8150</v>
      </c>
      <c r="UFF645">
        <v>43025</v>
      </c>
      <c r="UFI645" t="s">
        <v>8150</v>
      </c>
      <c r="UFJ645">
        <v>43025</v>
      </c>
      <c r="UFM645" t="s">
        <v>8150</v>
      </c>
      <c r="UFN645">
        <v>43025</v>
      </c>
      <c r="UFQ645" t="s">
        <v>8150</v>
      </c>
      <c r="UFR645">
        <v>43025</v>
      </c>
      <c r="UFU645" t="s">
        <v>8150</v>
      </c>
      <c r="UFV645">
        <v>43025</v>
      </c>
      <c r="UFY645" t="s">
        <v>8150</v>
      </c>
      <c r="UFZ645">
        <v>43025</v>
      </c>
      <c r="UGC645" t="s">
        <v>8150</v>
      </c>
      <c r="UGD645">
        <v>43025</v>
      </c>
      <c r="UGG645" t="s">
        <v>8150</v>
      </c>
      <c r="UGH645">
        <v>43025</v>
      </c>
      <c r="UGK645" t="s">
        <v>8150</v>
      </c>
      <c r="UGL645">
        <v>43025</v>
      </c>
      <c r="UGO645" t="s">
        <v>8150</v>
      </c>
      <c r="UGP645">
        <v>43025</v>
      </c>
      <c r="UGS645" t="s">
        <v>8150</v>
      </c>
      <c r="UGT645">
        <v>43025</v>
      </c>
      <c r="UGW645" t="s">
        <v>8150</v>
      </c>
      <c r="UGX645">
        <v>43025</v>
      </c>
      <c r="UHA645" t="s">
        <v>8150</v>
      </c>
      <c r="UHB645">
        <v>43025</v>
      </c>
      <c r="UHE645" t="s">
        <v>8150</v>
      </c>
      <c r="UHF645">
        <v>43025</v>
      </c>
      <c r="UHI645" t="s">
        <v>8150</v>
      </c>
      <c r="UHJ645">
        <v>43025</v>
      </c>
      <c r="UHM645" t="s">
        <v>8150</v>
      </c>
      <c r="UHN645">
        <v>43025</v>
      </c>
      <c r="UHQ645" t="s">
        <v>8150</v>
      </c>
      <c r="UHR645">
        <v>43025</v>
      </c>
      <c r="UHU645" t="s">
        <v>8150</v>
      </c>
      <c r="UHV645">
        <v>43025</v>
      </c>
      <c r="UHY645" t="s">
        <v>8150</v>
      </c>
      <c r="UHZ645">
        <v>43025</v>
      </c>
      <c r="UIC645" t="s">
        <v>8150</v>
      </c>
      <c r="UID645">
        <v>43025</v>
      </c>
      <c r="UIG645" t="s">
        <v>8150</v>
      </c>
      <c r="UIH645">
        <v>43025</v>
      </c>
      <c r="UIK645" t="s">
        <v>8150</v>
      </c>
      <c r="UIL645">
        <v>43025</v>
      </c>
      <c r="UIO645" t="s">
        <v>8150</v>
      </c>
      <c r="UIP645">
        <v>43025</v>
      </c>
      <c r="UIS645" t="s">
        <v>8150</v>
      </c>
      <c r="UIT645">
        <v>43025</v>
      </c>
      <c r="UIW645" t="s">
        <v>8150</v>
      </c>
      <c r="UIX645">
        <v>43025</v>
      </c>
      <c r="UJA645" t="s">
        <v>8150</v>
      </c>
      <c r="UJB645">
        <v>43025</v>
      </c>
      <c r="UJE645" t="s">
        <v>8150</v>
      </c>
      <c r="UJF645">
        <v>43025</v>
      </c>
      <c r="UJI645" t="s">
        <v>8150</v>
      </c>
      <c r="UJJ645">
        <v>43025</v>
      </c>
      <c r="UJM645" t="s">
        <v>8150</v>
      </c>
      <c r="UJN645">
        <v>43025</v>
      </c>
      <c r="UJQ645" t="s">
        <v>8150</v>
      </c>
      <c r="UJR645">
        <v>43025</v>
      </c>
      <c r="UJU645" t="s">
        <v>8150</v>
      </c>
      <c r="UJV645">
        <v>43025</v>
      </c>
      <c r="UJY645" t="s">
        <v>8150</v>
      </c>
      <c r="UJZ645">
        <v>43025</v>
      </c>
      <c r="UKC645" t="s">
        <v>8150</v>
      </c>
      <c r="UKD645">
        <v>43025</v>
      </c>
      <c r="UKG645" t="s">
        <v>8150</v>
      </c>
      <c r="UKH645">
        <v>43025</v>
      </c>
      <c r="UKK645" t="s">
        <v>8150</v>
      </c>
      <c r="UKL645">
        <v>43025</v>
      </c>
      <c r="UKO645" t="s">
        <v>8150</v>
      </c>
      <c r="UKP645">
        <v>43025</v>
      </c>
      <c r="UKS645" t="s">
        <v>8150</v>
      </c>
      <c r="UKT645">
        <v>43025</v>
      </c>
      <c r="UKW645" t="s">
        <v>8150</v>
      </c>
      <c r="UKX645">
        <v>43025</v>
      </c>
      <c r="ULA645" t="s">
        <v>8150</v>
      </c>
      <c r="ULB645">
        <v>43025</v>
      </c>
      <c r="ULE645" t="s">
        <v>8150</v>
      </c>
      <c r="ULF645">
        <v>43025</v>
      </c>
      <c r="ULI645" t="s">
        <v>8150</v>
      </c>
      <c r="ULJ645">
        <v>43025</v>
      </c>
      <c r="ULM645" t="s">
        <v>8150</v>
      </c>
      <c r="ULN645">
        <v>43025</v>
      </c>
      <c r="ULQ645" t="s">
        <v>8150</v>
      </c>
      <c r="ULR645">
        <v>43025</v>
      </c>
      <c r="ULU645" t="s">
        <v>8150</v>
      </c>
      <c r="ULV645">
        <v>43025</v>
      </c>
      <c r="ULY645" t="s">
        <v>8150</v>
      </c>
      <c r="ULZ645">
        <v>43025</v>
      </c>
      <c r="UMC645" t="s">
        <v>8150</v>
      </c>
      <c r="UMD645">
        <v>43025</v>
      </c>
      <c r="UMG645" t="s">
        <v>8150</v>
      </c>
      <c r="UMH645">
        <v>43025</v>
      </c>
      <c r="UMK645" t="s">
        <v>8150</v>
      </c>
      <c r="UML645">
        <v>43025</v>
      </c>
      <c r="UMO645" t="s">
        <v>8150</v>
      </c>
      <c r="UMP645">
        <v>43025</v>
      </c>
      <c r="UMS645" t="s">
        <v>8150</v>
      </c>
      <c r="UMT645">
        <v>43025</v>
      </c>
      <c r="UMW645" t="s">
        <v>8150</v>
      </c>
      <c r="UMX645">
        <v>43025</v>
      </c>
      <c r="UNA645" t="s">
        <v>8150</v>
      </c>
      <c r="UNB645">
        <v>43025</v>
      </c>
      <c r="UNE645" t="s">
        <v>8150</v>
      </c>
      <c r="UNF645">
        <v>43025</v>
      </c>
      <c r="UNI645" t="s">
        <v>8150</v>
      </c>
      <c r="UNJ645">
        <v>43025</v>
      </c>
      <c r="UNM645" t="s">
        <v>8150</v>
      </c>
      <c r="UNN645">
        <v>43025</v>
      </c>
      <c r="UNQ645" t="s">
        <v>8150</v>
      </c>
      <c r="UNR645">
        <v>43025</v>
      </c>
      <c r="UNU645" t="s">
        <v>8150</v>
      </c>
      <c r="UNV645">
        <v>43025</v>
      </c>
      <c r="UNY645" t="s">
        <v>8150</v>
      </c>
      <c r="UNZ645">
        <v>43025</v>
      </c>
      <c r="UOC645" t="s">
        <v>8150</v>
      </c>
      <c r="UOD645">
        <v>43025</v>
      </c>
      <c r="UOG645" t="s">
        <v>8150</v>
      </c>
      <c r="UOH645">
        <v>43025</v>
      </c>
      <c r="UOK645" t="s">
        <v>8150</v>
      </c>
      <c r="UOL645">
        <v>43025</v>
      </c>
      <c r="UOO645" t="s">
        <v>8150</v>
      </c>
      <c r="UOP645">
        <v>43025</v>
      </c>
      <c r="UOS645" t="s">
        <v>8150</v>
      </c>
      <c r="UOT645">
        <v>43025</v>
      </c>
      <c r="UOW645" t="s">
        <v>8150</v>
      </c>
      <c r="UOX645">
        <v>43025</v>
      </c>
      <c r="UPA645" t="s">
        <v>8150</v>
      </c>
      <c r="UPB645">
        <v>43025</v>
      </c>
      <c r="UPE645" t="s">
        <v>8150</v>
      </c>
      <c r="UPF645">
        <v>43025</v>
      </c>
      <c r="UPI645" t="s">
        <v>8150</v>
      </c>
      <c r="UPJ645">
        <v>43025</v>
      </c>
      <c r="UPM645" t="s">
        <v>8150</v>
      </c>
      <c r="UPN645">
        <v>43025</v>
      </c>
      <c r="UPQ645" t="s">
        <v>8150</v>
      </c>
      <c r="UPR645">
        <v>43025</v>
      </c>
      <c r="UPU645" t="s">
        <v>8150</v>
      </c>
      <c r="UPV645">
        <v>43025</v>
      </c>
      <c r="UPY645" t="s">
        <v>8150</v>
      </c>
      <c r="UPZ645">
        <v>43025</v>
      </c>
      <c r="UQC645" t="s">
        <v>8150</v>
      </c>
      <c r="UQD645">
        <v>43025</v>
      </c>
      <c r="UQG645" t="s">
        <v>8150</v>
      </c>
      <c r="UQH645">
        <v>43025</v>
      </c>
      <c r="UQK645" t="s">
        <v>8150</v>
      </c>
      <c r="UQL645">
        <v>43025</v>
      </c>
      <c r="UQO645" t="s">
        <v>8150</v>
      </c>
      <c r="UQP645">
        <v>43025</v>
      </c>
      <c r="UQS645" t="s">
        <v>8150</v>
      </c>
      <c r="UQT645">
        <v>43025</v>
      </c>
      <c r="UQW645" t="s">
        <v>8150</v>
      </c>
      <c r="UQX645">
        <v>43025</v>
      </c>
      <c r="URA645" t="s">
        <v>8150</v>
      </c>
      <c r="URB645">
        <v>43025</v>
      </c>
      <c r="URE645" t="s">
        <v>8150</v>
      </c>
      <c r="URF645">
        <v>43025</v>
      </c>
      <c r="URI645" t="s">
        <v>8150</v>
      </c>
      <c r="URJ645">
        <v>43025</v>
      </c>
      <c r="URM645" t="s">
        <v>8150</v>
      </c>
      <c r="URN645">
        <v>43025</v>
      </c>
      <c r="URQ645" t="s">
        <v>8150</v>
      </c>
      <c r="URR645">
        <v>43025</v>
      </c>
      <c r="URU645" t="s">
        <v>8150</v>
      </c>
      <c r="URV645">
        <v>43025</v>
      </c>
      <c r="URY645" t="s">
        <v>8150</v>
      </c>
      <c r="URZ645">
        <v>43025</v>
      </c>
      <c r="USC645" t="s">
        <v>8150</v>
      </c>
      <c r="USD645">
        <v>43025</v>
      </c>
      <c r="USG645" t="s">
        <v>8150</v>
      </c>
      <c r="USH645">
        <v>43025</v>
      </c>
      <c r="USK645" t="s">
        <v>8150</v>
      </c>
      <c r="USL645">
        <v>43025</v>
      </c>
      <c r="USO645" t="s">
        <v>8150</v>
      </c>
      <c r="USP645">
        <v>43025</v>
      </c>
      <c r="USS645" t="s">
        <v>8150</v>
      </c>
      <c r="UST645">
        <v>43025</v>
      </c>
      <c r="USW645" t="s">
        <v>8150</v>
      </c>
      <c r="USX645">
        <v>43025</v>
      </c>
      <c r="UTA645" t="s">
        <v>8150</v>
      </c>
      <c r="UTB645">
        <v>43025</v>
      </c>
      <c r="UTE645" t="s">
        <v>8150</v>
      </c>
      <c r="UTF645">
        <v>43025</v>
      </c>
      <c r="UTI645" t="s">
        <v>8150</v>
      </c>
      <c r="UTJ645">
        <v>43025</v>
      </c>
      <c r="UTM645" t="s">
        <v>8150</v>
      </c>
      <c r="UTN645">
        <v>43025</v>
      </c>
      <c r="UTQ645" t="s">
        <v>8150</v>
      </c>
      <c r="UTR645">
        <v>43025</v>
      </c>
      <c r="UTU645" t="s">
        <v>8150</v>
      </c>
      <c r="UTV645">
        <v>43025</v>
      </c>
      <c r="UTY645" t="s">
        <v>8150</v>
      </c>
      <c r="UTZ645">
        <v>43025</v>
      </c>
      <c r="UUC645" t="s">
        <v>8150</v>
      </c>
      <c r="UUD645">
        <v>43025</v>
      </c>
      <c r="UUG645" t="s">
        <v>8150</v>
      </c>
      <c r="UUH645">
        <v>43025</v>
      </c>
      <c r="UUK645" t="s">
        <v>8150</v>
      </c>
      <c r="UUL645">
        <v>43025</v>
      </c>
      <c r="UUO645" t="s">
        <v>8150</v>
      </c>
      <c r="UUP645">
        <v>43025</v>
      </c>
      <c r="UUS645" t="s">
        <v>8150</v>
      </c>
      <c r="UUT645">
        <v>43025</v>
      </c>
      <c r="UUW645" t="s">
        <v>8150</v>
      </c>
      <c r="UUX645">
        <v>43025</v>
      </c>
      <c r="UVA645" t="s">
        <v>8150</v>
      </c>
      <c r="UVB645">
        <v>43025</v>
      </c>
      <c r="UVE645" t="s">
        <v>8150</v>
      </c>
      <c r="UVF645">
        <v>43025</v>
      </c>
      <c r="UVI645" t="s">
        <v>8150</v>
      </c>
      <c r="UVJ645">
        <v>43025</v>
      </c>
      <c r="UVM645" t="s">
        <v>8150</v>
      </c>
      <c r="UVN645">
        <v>43025</v>
      </c>
      <c r="UVQ645" t="s">
        <v>8150</v>
      </c>
      <c r="UVR645">
        <v>43025</v>
      </c>
      <c r="UVU645" t="s">
        <v>8150</v>
      </c>
      <c r="UVV645">
        <v>43025</v>
      </c>
      <c r="UVY645" t="s">
        <v>8150</v>
      </c>
      <c r="UVZ645">
        <v>43025</v>
      </c>
      <c r="UWC645" t="s">
        <v>8150</v>
      </c>
      <c r="UWD645">
        <v>43025</v>
      </c>
      <c r="UWG645" t="s">
        <v>8150</v>
      </c>
      <c r="UWH645">
        <v>43025</v>
      </c>
      <c r="UWK645" t="s">
        <v>8150</v>
      </c>
      <c r="UWL645">
        <v>43025</v>
      </c>
      <c r="UWO645" t="s">
        <v>8150</v>
      </c>
      <c r="UWP645">
        <v>43025</v>
      </c>
      <c r="UWS645" t="s">
        <v>8150</v>
      </c>
      <c r="UWT645">
        <v>43025</v>
      </c>
      <c r="UWW645" t="s">
        <v>8150</v>
      </c>
      <c r="UWX645">
        <v>43025</v>
      </c>
      <c r="UXA645" t="s">
        <v>8150</v>
      </c>
      <c r="UXB645">
        <v>43025</v>
      </c>
      <c r="UXE645" t="s">
        <v>8150</v>
      </c>
      <c r="UXF645">
        <v>43025</v>
      </c>
      <c r="UXI645" t="s">
        <v>8150</v>
      </c>
      <c r="UXJ645">
        <v>43025</v>
      </c>
      <c r="UXM645" t="s">
        <v>8150</v>
      </c>
      <c r="UXN645">
        <v>43025</v>
      </c>
      <c r="UXQ645" t="s">
        <v>8150</v>
      </c>
      <c r="UXR645">
        <v>43025</v>
      </c>
      <c r="UXU645" t="s">
        <v>8150</v>
      </c>
      <c r="UXV645">
        <v>43025</v>
      </c>
      <c r="UXY645" t="s">
        <v>8150</v>
      </c>
      <c r="UXZ645">
        <v>43025</v>
      </c>
      <c r="UYC645" t="s">
        <v>8150</v>
      </c>
      <c r="UYD645">
        <v>43025</v>
      </c>
      <c r="UYG645" t="s">
        <v>8150</v>
      </c>
      <c r="UYH645">
        <v>43025</v>
      </c>
      <c r="UYK645" t="s">
        <v>8150</v>
      </c>
      <c r="UYL645">
        <v>43025</v>
      </c>
      <c r="UYO645" t="s">
        <v>8150</v>
      </c>
      <c r="UYP645">
        <v>43025</v>
      </c>
      <c r="UYS645" t="s">
        <v>8150</v>
      </c>
      <c r="UYT645">
        <v>43025</v>
      </c>
      <c r="UYW645" t="s">
        <v>8150</v>
      </c>
      <c r="UYX645">
        <v>43025</v>
      </c>
      <c r="UZA645" t="s">
        <v>8150</v>
      </c>
      <c r="UZB645">
        <v>43025</v>
      </c>
      <c r="UZE645" t="s">
        <v>8150</v>
      </c>
      <c r="UZF645">
        <v>43025</v>
      </c>
      <c r="UZI645" t="s">
        <v>8150</v>
      </c>
      <c r="UZJ645">
        <v>43025</v>
      </c>
      <c r="UZM645" t="s">
        <v>8150</v>
      </c>
      <c r="UZN645">
        <v>43025</v>
      </c>
      <c r="UZQ645" t="s">
        <v>8150</v>
      </c>
      <c r="UZR645">
        <v>43025</v>
      </c>
      <c r="UZU645" t="s">
        <v>8150</v>
      </c>
      <c r="UZV645">
        <v>43025</v>
      </c>
      <c r="UZY645" t="s">
        <v>8150</v>
      </c>
      <c r="UZZ645">
        <v>43025</v>
      </c>
      <c r="VAC645" t="s">
        <v>8150</v>
      </c>
      <c r="VAD645">
        <v>43025</v>
      </c>
      <c r="VAG645" t="s">
        <v>8150</v>
      </c>
      <c r="VAH645">
        <v>43025</v>
      </c>
      <c r="VAK645" t="s">
        <v>8150</v>
      </c>
      <c r="VAL645">
        <v>43025</v>
      </c>
      <c r="VAO645" t="s">
        <v>8150</v>
      </c>
      <c r="VAP645">
        <v>43025</v>
      </c>
      <c r="VAS645" t="s">
        <v>8150</v>
      </c>
      <c r="VAT645">
        <v>43025</v>
      </c>
      <c r="VAW645" t="s">
        <v>8150</v>
      </c>
      <c r="VAX645">
        <v>43025</v>
      </c>
      <c r="VBA645" t="s">
        <v>8150</v>
      </c>
      <c r="VBB645">
        <v>43025</v>
      </c>
      <c r="VBE645" t="s">
        <v>8150</v>
      </c>
      <c r="VBF645">
        <v>43025</v>
      </c>
      <c r="VBI645" t="s">
        <v>8150</v>
      </c>
      <c r="VBJ645">
        <v>43025</v>
      </c>
      <c r="VBM645" t="s">
        <v>8150</v>
      </c>
      <c r="VBN645">
        <v>43025</v>
      </c>
      <c r="VBQ645" t="s">
        <v>8150</v>
      </c>
      <c r="VBR645">
        <v>43025</v>
      </c>
      <c r="VBU645" t="s">
        <v>8150</v>
      </c>
      <c r="VBV645">
        <v>43025</v>
      </c>
      <c r="VBY645" t="s">
        <v>8150</v>
      </c>
      <c r="VBZ645">
        <v>43025</v>
      </c>
      <c r="VCC645" t="s">
        <v>8150</v>
      </c>
      <c r="VCD645">
        <v>43025</v>
      </c>
      <c r="VCG645" t="s">
        <v>8150</v>
      </c>
      <c r="VCH645">
        <v>43025</v>
      </c>
      <c r="VCK645" t="s">
        <v>8150</v>
      </c>
      <c r="VCL645">
        <v>43025</v>
      </c>
      <c r="VCO645" t="s">
        <v>8150</v>
      </c>
      <c r="VCP645">
        <v>43025</v>
      </c>
      <c r="VCS645" t="s">
        <v>8150</v>
      </c>
      <c r="VCT645">
        <v>43025</v>
      </c>
      <c r="VCW645" t="s">
        <v>8150</v>
      </c>
      <c r="VCX645">
        <v>43025</v>
      </c>
      <c r="VDA645" t="s">
        <v>8150</v>
      </c>
      <c r="VDB645">
        <v>43025</v>
      </c>
      <c r="VDE645" t="s">
        <v>8150</v>
      </c>
      <c r="VDF645">
        <v>43025</v>
      </c>
      <c r="VDI645" t="s">
        <v>8150</v>
      </c>
      <c r="VDJ645">
        <v>43025</v>
      </c>
      <c r="VDM645" t="s">
        <v>8150</v>
      </c>
      <c r="VDN645">
        <v>43025</v>
      </c>
      <c r="VDQ645" t="s">
        <v>8150</v>
      </c>
      <c r="VDR645">
        <v>43025</v>
      </c>
      <c r="VDU645" t="s">
        <v>8150</v>
      </c>
      <c r="VDV645">
        <v>43025</v>
      </c>
      <c r="VDY645" t="s">
        <v>8150</v>
      </c>
      <c r="VDZ645">
        <v>43025</v>
      </c>
      <c r="VEC645" t="s">
        <v>8150</v>
      </c>
      <c r="VED645">
        <v>43025</v>
      </c>
      <c r="VEG645" t="s">
        <v>8150</v>
      </c>
      <c r="VEH645">
        <v>43025</v>
      </c>
      <c r="VEK645" t="s">
        <v>8150</v>
      </c>
      <c r="VEL645">
        <v>43025</v>
      </c>
      <c r="VEO645" t="s">
        <v>8150</v>
      </c>
      <c r="VEP645">
        <v>43025</v>
      </c>
      <c r="VES645" t="s">
        <v>8150</v>
      </c>
      <c r="VET645">
        <v>43025</v>
      </c>
      <c r="VEW645" t="s">
        <v>8150</v>
      </c>
      <c r="VEX645">
        <v>43025</v>
      </c>
      <c r="VFA645" t="s">
        <v>8150</v>
      </c>
      <c r="VFB645">
        <v>43025</v>
      </c>
      <c r="VFE645" t="s">
        <v>8150</v>
      </c>
      <c r="VFF645">
        <v>43025</v>
      </c>
      <c r="VFI645" t="s">
        <v>8150</v>
      </c>
      <c r="VFJ645">
        <v>43025</v>
      </c>
      <c r="VFM645" t="s">
        <v>8150</v>
      </c>
      <c r="VFN645">
        <v>43025</v>
      </c>
      <c r="VFQ645" t="s">
        <v>8150</v>
      </c>
      <c r="VFR645">
        <v>43025</v>
      </c>
      <c r="VFU645" t="s">
        <v>8150</v>
      </c>
      <c r="VFV645">
        <v>43025</v>
      </c>
      <c r="VFY645" t="s">
        <v>8150</v>
      </c>
      <c r="VFZ645">
        <v>43025</v>
      </c>
      <c r="VGC645" t="s">
        <v>8150</v>
      </c>
      <c r="VGD645">
        <v>43025</v>
      </c>
      <c r="VGG645" t="s">
        <v>8150</v>
      </c>
      <c r="VGH645">
        <v>43025</v>
      </c>
      <c r="VGK645" t="s">
        <v>8150</v>
      </c>
      <c r="VGL645">
        <v>43025</v>
      </c>
      <c r="VGO645" t="s">
        <v>8150</v>
      </c>
      <c r="VGP645">
        <v>43025</v>
      </c>
      <c r="VGS645" t="s">
        <v>8150</v>
      </c>
      <c r="VGT645">
        <v>43025</v>
      </c>
      <c r="VGW645" t="s">
        <v>8150</v>
      </c>
      <c r="VGX645">
        <v>43025</v>
      </c>
      <c r="VHA645" t="s">
        <v>8150</v>
      </c>
      <c r="VHB645">
        <v>43025</v>
      </c>
      <c r="VHE645" t="s">
        <v>8150</v>
      </c>
      <c r="VHF645">
        <v>43025</v>
      </c>
      <c r="VHI645" t="s">
        <v>8150</v>
      </c>
      <c r="VHJ645">
        <v>43025</v>
      </c>
      <c r="VHM645" t="s">
        <v>8150</v>
      </c>
      <c r="VHN645">
        <v>43025</v>
      </c>
      <c r="VHQ645" t="s">
        <v>8150</v>
      </c>
      <c r="VHR645">
        <v>43025</v>
      </c>
      <c r="VHU645" t="s">
        <v>8150</v>
      </c>
      <c r="VHV645">
        <v>43025</v>
      </c>
      <c r="VHY645" t="s">
        <v>8150</v>
      </c>
      <c r="VHZ645">
        <v>43025</v>
      </c>
      <c r="VIC645" t="s">
        <v>8150</v>
      </c>
      <c r="VID645">
        <v>43025</v>
      </c>
      <c r="VIG645" t="s">
        <v>8150</v>
      </c>
      <c r="VIH645">
        <v>43025</v>
      </c>
      <c r="VIK645" t="s">
        <v>8150</v>
      </c>
      <c r="VIL645">
        <v>43025</v>
      </c>
      <c r="VIO645" t="s">
        <v>8150</v>
      </c>
      <c r="VIP645">
        <v>43025</v>
      </c>
      <c r="VIS645" t="s">
        <v>8150</v>
      </c>
      <c r="VIT645">
        <v>43025</v>
      </c>
      <c r="VIW645" t="s">
        <v>8150</v>
      </c>
      <c r="VIX645">
        <v>43025</v>
      </c>
      <c r="VJA645" t="s">
        <v>8150</v>
      </c>
      <c r="VJB645">
        <v>43025</v>
      </c>
      <c r="VJE645" t="s">
        <v>8150</v>
      </c>
      <c r="VJF645">
        <v>43025</v>
      </c>
      <c r="VJI645" t="s">
        <v>8150</v>
      </c>
      <c r="VJJ645">
        <v>43025</v>
      </c>
      <c r="VJM645" t="s">
        <v>8150</v>
      </c>
      <c r="VJN645">
        <v>43025</v>
      </c>
      <c r="VJQ645" t="s">
        <v>8150</v>
      </c>
      <c r="VJR645">
        <v>43025</v>
      </c>
      <c r="VJU645" t="s">
        <v>8150</v>
      </c>
      <c r="VJV645">
        <v>43025</v>
      </c>
      <c r="VJY645" t="s">
        <v>8150</v>
      </c>
      <c r="VJZ645">
        <v>43025</v>
      </c>
      <c r="VKC645" t="s">
        <v>8150</v>
      </c>
      <c r="VKD645">
        <v>43025</v>
      </c>
      <c r="VKG645" t="s">
        <v>8150</v>
      </c>
      <c r="VKH645">
        <v>43025</v>
      </c>
      <c r="VKK645" t="s">
        <v>8150</v>
      </c>
      <c r="VKL645">
        <v>43025</v>
      </c>
      <c r="VKO645" t="s">
        <v>8150</v>
      </c>
      <c r="VKP645">
        <v>43025</v>
      </c>
      <c r="VKS645" t="s">
        <v>8150</v>
      </c>
      <c r="VKT645">
        <v>43025</v>
      </c>
      <c r="VKW645" t="s">
        <v>8150</v>
      </c>
      <c r="VKX645">
        <v>43025</v>
      </c>
      <c r="VLA645" t="s">
        <v>8150</v>
      </c>
      <c r="VLB645">
        <v>43025</v>
      </c>
      <c r="VLE645" t="s">
        <v>8150</v>
      </c>
      <c r="VLF645">
        <v>43025</v>
      </c>
      <c r="VLI645" t="s">
        <v>8150</v>
      </c>
      <c r="VLJ645">
        <v>43025</v>
      </c>
      <c r="VLM645" t="s">
        <v>8150</v>
      </c>
      <c r="VLN645">
        <v>43025</v>
      </c>
      <c r="VLQ645" t="s">
        <v>8150</v>
      </c>
      <c r="VLR645">
        <v>43025</v>
      </c>
      <c r="VLU645" t="s">
        <v>8150</v>
      </c>
      <c r="VLV645">
        <v>43025</v>
      </c>
      <c r="VLY645" t="s">
        <v>8150</v>
      </c>
      <c r="VLZ645">
        <v>43025</v>
      </c>
      <c r="VMC645" t="s">
        <v>8150</v>
      </c>
      <c r="VMD645">
        <v>43025</v>
      </c>
      <c r="VMG645" t="s">
        <v>8150</v>
      </c>
      <c r="VMH645">
        <v>43025</v>
      </c>
      <c r="VMK645" t="s">
        <v>8150</v>
      </c>
      <c r="VML645">
        <v>43025</v>
      </c>
      <c r="VMO645" t="s">
        <v>8150</v>
      </c>
      <c r="VMP645">
        <v>43025</v>
      </c>
      <c r="VMS645" t="s">
        <v>8150</v>
      </c>
      <c r="VMT645">
        <v>43025</v>
      </c>
      <c r="VMW645" t="s">
        <v>8150</v>
      </c>
      <c r="VMX645">
        <v>43025</v>
      </c>
      <c r="VNA645" t="s">
        <v>8150</v>
      </c>
      <c r="VNB645">
        <v>43025</v>
      </c>
      <c r="VNE645" t="s">
        <v>8150</v>
      </c>
      <c r="VNF645">
        <v>43025</v>
      </c>
      <c r="VNI645" t="s">
        <v>8150</v>
      </c>
      <c r="VNJ645">
        <v>43025</v>
      </c>
      <c r="VNM645" t="s">
        <v>8150</v>
      </c>
      <c r="VNN645">
        <v>43025</v>
      </c>
      <c r="VNQ645" t="s">
        <v>8150</v>
      </c>
      <c r="VNR645">
        <v>43025</v>
      </c>
      <c r="VNU645" t="s">
        <v>8150</v>
      </c>
      <c r="VNV645">
        <v>43025</v>
      </c>
      <c r="VNY645" t="s">
        <v>8150</v>
      </c>
      <c r="VNZ645">
        <v>43025</v>
      </c>
      <c r="VOC645" t="s">
        <v>8150</v>
      </c>
      <c r="VOD645">
        <v>43025</v>
      </c>
      <c r="VOG645" t="s">
        <v>8150</v>
      </c>
      <c r="VOH645">
        <v>43025</v>
      </c>
      <c r="VOK645" t="s">
        <v>8150</v>
      </c>
      <c r="VOL645">
        <v>43025</v>
      </c>
      <c r="VOO645" t="s">
        <v>8150</v>
      </c>
      <c r="VOP645">
        <v>43025</v>
      </c>
      <c r="VOS645" t="s">
        <v>8150</v>
      </c>
      <c r="VOT645">
        <v>43025</v>
      </c>
      <c r="VOW645" t="s">
        <v>8150</v>
      </c>
      <c r="VOX645">
        <v>43025</v>
      </c>
      <c r="VPA645" t="s">
        <v>8150</v>
      </c>
      <c r="VPB645">
        <v>43025</v>
      </c>
      <c r="VPE645" t="s">
        <v>8150</v>
      </c>
      <c r="VPF645">
        <v>43025</v>
      </c>
      <c r="VPI645" t="s">
        <v>8150</v>
      </c>
      <c r="VPJ645">
        <v>43025</v>
      </c>
      <c r="VPM645" t="s">
        <v>8150</v>
      </c>
      <c r="VPN645">
        <v>43025</v>
      </c>
      <c r="VPQ645" t="s">
        <v>8150</v>
      </c>
      <c r="VPR645">
        <v>43025</v>
      </c>
      <c r="VPU645" t="s">
        <v>8150</v>
      </c>
      <c r="VPV645">
        <v>43025</v>
      </c>
      <c r="VPY645" t="s">
        <v>8150</v>
      </c>
      <c r="VPZ645">
        <v>43025</v>
      </c>
      <c r="VQC645" t="s">
        <v>8150</v>
      </c>
      <c r="VQD645">
        <v>43025</v>
      </c>
      <c r="VQG645" t="s">
        <v>8150</v>
      </c>
      <c r="VQH645">
        <v>43025</v>
      </c>
      <c r="VQK645" t="s">
        <v>8150</v>
      </c>
      <c r="VQL645">
        <v>43025</v>
      </c>
      <c r="VQO645" t="s">
        <v>8150</v>
      </c>
      <c r="VQP645">
        <v>43025</v>
      </c>
      <c r="VQS645" t="s">
        <v>8150</v>
      </c>
      <c r="VQT645">
        <v>43025</v>
      </c>
      <c r="VQW645" t="s">
        <v>8150</v>
      </c>
      <c r="VQX645">
        <v>43025</v>
      </c>
      <c r="VRA645" t="s">
        <v>8150</v>
      </c>
      <c r="VRB645">
        <v>43025</v>
      </c>
      <c r="VRE645" t="s">
        <v>8150</v>
      </c>
      <c r="VRF645">
        <v>43025</v>
      </c>
      <c r="VRI645" t="s">
        <v>8150</v>
      </c>
      <c r="VRJ645">
        <v>43025</v>
      </c>
      <c r="VRM645" t="s">
        <v>8150</v>
      </c>
      <c r="VRN645">
        <v>43025</v>
      </c>
      <c r="VRQ645" t="s">
        <v>8150</v>
      </c>
      <c r="VRR645">
        <v>43025</v>
      </c>
      <c r="VRU645" t="s">
        <v>8150</v>
      </c>
      <c r="VRV645">
        <v>43025</v>
      </c>
      <c r="VRY645" t="s">
        <v>8150</v>
      </c>
      <c r="VRZ645">
        <v>43025</v>
      </c>
      <c r="VSC645" t="s">
        <v>8150</v>
      </c>
      <c r="VSD645">
        <v>43025</v>
      </c>
      <c r="VSG645" t="s">
        <v>8150</v>
      </c>
      <c r="VSH645">
        <v>43025</v>
      </c>
      <c r="VSK645" t="s">
        <v>8150</v>
      </c>
      <c r="VSL645">
        <v>43025</v>
      </c>
      <c r="VSO645" t="s">
        <v>8150</v>
      </c>
      <c r="VSP645">
        <v>43025</v>
      </c>
      <c r="VSS645" t="s">
        <v>8150</v>
      </c>
      <c r="VST645">
        <v>43025</v>
      </c>
      <c r="VSW645" t="s">
        <v>8150</v>
      </c>
      <c r="VSX645">
        <v>43025</v>
      </c>
      <c r="VTA645" t="s">
        <v>8150</v>
      </c>
      <c r="VTB645">
        <v>43025</v>
      </c>
      <c r="VTE645" t="s">
        <v>8150</v>
      </c>
      <c r="VTF645">
        <v>43025</v>
      </c>
      <c r="VTI645" t="s">
        <v>8150</v>
      </c>
      <c r="VTJ645">
        <v>43025</v>
      </c>
      <c r="VTM645" t="s">
        <v>8150</v>
      </c>
      <c r="VTN645">
        <v>43025</v>
      </c>
      <c r="VTQ645" t="s">
        <v>8150</v>
      </c>
      <c r="VTR645">
        <v>43025</v>
      </c>
      <c r="VTU645" t="s">
        <v>8150</v>
      </c>
      <c r="VTV645">
        <v>43025</v>
      </c>
      <c r="VTY645" t="s">
        <v>8150</v>
      </c>
      <c r="VTZ645">
        <v>43025</v>
      </c>
      <c r="VUC645" t="s">
        <v>8150</v>
      </c>
      <c r="VUD645">
        <v>43025</v>
      </c>
      <c r="VUG645" t="s">
        <v>8150</v>
      </c>
      <c r="VUH645">
        <v>43025</v>
      </c>
      <c r="VUK645" t="s">
        <v>8150</v>
      </c>
      <c r="VUL645">
        <v>43025</v>
      </c>
      <c r="VUO645" t="s">
        <v>8150</v>
      </c>
      <c r="VUP645">
        <v>43025</v>
      </c>
      <c r="VUS645" t="s">
        <v>8150</v>
      </c>
      <c r="VUT645">
        <v>43025</v>
      </c>
      <c r="VUW645" t="s">
        <v>8150</v>
      </c>
      <c r="VUX645">
        <v>43025</v>
      </c>
      <c r="VVA645" t="s">
        <v>8150</v>
      </c>
      <c r="VVB645">
        <v>43025</v>
      </c>
      <c r="VVE645" t="s">
        <v>8150</v>
      </c>
      <c r="VVF645">
        <v>43025</v>
      </c>
      <c r="VVI645" t="s">
        <v>8150</v>
      </c>
      <c r="VVJ645">
        <v>43025</v>
      </c>
      <c r="VVM645" t="s">
        <v>8150</v>
      </c>
      <c r="VVN645">
        <v>43025</v>
      </c>
      <c r="VVQ645" t="s">
        <v>8150</v>
      </c>
      <c r="VVR645">
        <v>43025</v>
      </c>
      <c r="VVU645" t="s">
        <v>8150</v>
      </c>
      <c r="VVV645">
        <v>43025</v>
      </c>
      <c r="VVY645" t="s">
        <v>8150</v>
      </c>
      <c r="VVZ645">
        <v>43025</v>
      </c>
      <c r="VWC645" t="s">
        <v>8150</v>
      </c>
      <c r="VWD645">
        <v>43025</v>
      </c>
      <c r="VWG645" t="s">
        <v>8150</v>
      </c>
      <c r="VWH645">
        <v>43025</v>
      </c>
      <c r="VWK645" t="s">
        <v>8150</v>
      </c>
      <c r="VWL645">
        <v>43025</v>
      </c>
      <c r="VWO645" t="s">
        <v>8150</v>
      </c>
      <c r="VWP645">
        <v>43025</v>
      </c>
      <c r="VWS645" t="s">
        <v>8150</v>
      </c>
      <c r="VWT645">
        <v>43025</v>
      </c>
      <c r="VWW645" t="s">
        <v>8150</v>
      </c>
      <c r="VWX645">
        <v>43025</v>
      </c>
      <c r="VXA645" t="s">
        <v>8150</v>
      </c>
      <c r="VXB645">
        <v>43025</v>
      </c>
      <c r="VXE645" t="s">
        <v>8150</v>
      </c>
      <c r="VXF645">
        <v>43025</v>
      </c>
      <c r="VXI645" t="s">
        <v>8150</v>
      </c>
      <c r="VXJ645">
        <v>43025</v>
      </c>
      <c r="VXM645" t="s">
        <v>8150</v>
      </c>
      <c r="VXN645">
        <v>43025</v>
      </c>
      <c r="VXQ645" t="s">
        <v>8150</v>
      </c>
      <c r="VXR645">
        <v>43025</v>
      </c>
      <c r="VXU645" t="s">
        <v>8150</v>
      </c>
      <c r="VXV645">
        <v>43025</v>
      </c>
      <c r="VXY645" t="s">
        <v>8150</v>
      </c>
      <c r="VXZ645">
        <v>43025</v>
      </c>
      <c r="VYC645" t="s">
        <v>8150</v>
      </c>
      <c r="VYD645">
        <v>43025</v>
      </c>
      <c r="VYG645" t="s">
        <v>8150</v>
      </c>
      <c r="VYH645">
        <v>43025</v>
      </c>
      <c r="VYK645" t="s">
        <v>8150</v>
      </c>
      <c r="VYL645">
        <v>43025</v>
      </c>
      <c r="VYO645" t="s">
        <v>8150</v>
      </c>
      <c r="VYP645">
        <v>43025</v>
      </c>
      <c r="VYS645" t="s">
        <v>8150</v>
      </c>
      <c r="VYT645">
        <v>43025</v>
      </c>
      <c r="VYW645" t="s">
        <v>8150</v>
      </c>
      <c r="VYX645">
        <v>43025</v>
      </c>
      <c r="VZA645" t="s">
        <v>8150</v>
      </c>
      <c r="VZB645">
        <v>43025</v>
      </c>
      <c r="VZE645" t="s">
        <v>8150</v>
      </c>
      <c r="VZF645">
        <v>43025</v>
      </c>
      <c r="VZI645" t="s">
        <v>8150</v>
      </c>
      <c r="VZJ645">
        <v>43025</v>
      </c>
      <c r="VZM645" t="s">
        <v>8150</v>
      </c>
      <c r="VZN645">
        <v>43025</v>
      </c>
      <c r="VZQ645" t="s">
        <v>8150</v>
      </c>
      <c r="VZR645">
        <v>43025</v>
      </c>
      <c r="VZU645" t="s">
        <v>8150</v>
      </c>
      <c r="VZV645">
        <v>43025</v>
      </c>
      <c r="VZY645" t="s">
        <v>8150</v>
      </c>
      <c r="VZZ645">
        <v>43025</v>
      </c>
      <c r="WAC645" t="s">
        <v>8150</v>
      </c>
      <c r="WAD645">
        <v>43025</v>
      </c>
      <c r="WAG645" t="s">
        <v>8150</v>
      </c>
      <c r="WAH645">
        <v>43025</v>
      </c>
      <c r="WAK645" t="s">
        <v>8150</v>
      </c>
      <c r="WAL645">
        <v>43025</v>
      </c>
      <c r="WAO645" t="s">
        <v>8150</v>
      </c>
      <c r="WAP645">
        <v>43025</v>
      </c>
      <c r="WAS645" t="s">
        <v>8150</v>
      </c>
      <c r="WAT645">
        <v>43025</v>
      </c>
      <c r="WAW645" t="s">
        <v>8150</v>
      </c>
      <c r="WAX645">
        <v>43025</v>
      </c>
      <c r="WBA645" t="s">
        <v>8150</v>
      </c>
      <c r="WBB645">
        <v>43025</v>
      </c>
      <c r="WBE645" t="s">
        <v>8150</v>
      </c>
      <c r="WBF645">
        <v>43025</v>
      </c>
      <c r="WBI645" t="s">
        <v>8150</v>
      </c>
      <c r="WBJ645">
        <v>43025</v>
      </c>
      <c r="WBM645" t="s">
        <v>8150</v>
      </c>
      <c r="WBN645">
        <v>43025</v>
      </c>
      <c r="WBQ645" t="s">
        <v>8150</v>
      </c>
      <c r="WBR645">
        <v>43025</v>
      </c>
      <c r="WBU645" t="s">
        <v>8150</v>
      </c>
      <c r="WBV645">
        <v>43025</v>
      </c>
      <c r="WBY645" t="s">
        <v>8150</v>
      </c>
      <c r="WBZ645">
        <v>43025</v>
      </c>
      <c r="WCC645" t="s">
        <v>8150</v>
      </c>
      <c r="WCD645">
        <v>43025</v>
      </c>
      <c r="WCG645" t="s">
        <v>8150</v>
      </c>
      <c r="WCH645">
        <v>43025</v>
      </c>
      <c r="WCK645" t="s">
        <v>8150</v>
      </c>
      <c r="WCL645">
        <v>43025</v>
      </c>
      <c r="WCO645" t="s">
        <v>8150</v>
      </c>
      <c r="WCP645">
        <v>43025</v>
      </c>
      <c r="WCS645" t="s">
        <v>8150</v>
      </c>
      <c r="WCT645">
        <v>43025</v>
      </c>
      <c r="WCW645" t="s">
        <v>8150</v>
      </c>
      <c r="WCX645">
        <v>43025</v>
      </c>
      <c r="WDA645" t="s">
        <v>8150</v>
      </c>
      <c r="WDB645">
        <v>43025</v>
      </c>
      <c r="WDE645" t="s">
        <v>8150</v>
      </c>
      <c r="WDF645">
        <v>43025</v>
      </c>
      <c r="WDI645" t="s">
        <v>8150</v>
      </c>
      <c r="WDJ645">
        <v>43025</v>
      </c>
      <c r="WDM645" t="s">
        <v>8150</v>
      </c>
      <c r="WDN645">
        <v>43025</v>
      </c>
      <c r="WDQ645" t="s">
        <v>8150</v>
      </c>
      <c r="WDR645">
        <v>43025</v>
      </c>
      <c r="WDU645" t="s">
        <v>8150</v>
      </c>
      <c r="WDV645">
        <v>43025</v>
      </c>
      <c r="WDY645" t="s">
        <v>8150</v>
      </c>
      <c r="WDZ645">
        <v>43025</v>
      </c>
      <c r="WEC645" t="s">
        <v>8150</v>
      </c>
      <c r="WED645">
        <v>43025</v>
      </c>
      <c r="WEG645" t="s">
        <v>8150</v>
      </c>
      <c r="WEH645">
        <v>43025</v>
      </c>
      <c r="WEK645" t="s">
        <v>8150</v>
      </c>
      <c r="WEL645">
        <v>43025</v>
      </c>
      <c r="WEO645" t="s">
        <v>8150</v>
      </c>
      <c r="WEP645">
        <v>43025</v>
      </c>
      <c r="WES645" t="s">
        <v>8150</v>
      </c>
      <c r="WET645">
        <v>43025</v>
      </c>
      <c r="WEW645" t="s">
        <v>8150</v>
      </c>
      <c r="WEX645">
        <v>43025</v>
      </c>
      <c r="WFA645" t="s">
        <v>8150</v>
      </c>
      <c r="WFB645">
        <v>43025</v>
      </c>
      <c r="WFE645" t="s">
        <v>8150</v>
      </c>
      <c r="WFF645">
        <v>43025</v>
      </c>
      <c r="WFI645" t="s">
        <v>8150</v>
      </c>
      <c r="WFJ645">
        <v>43025</v>
      </c>
      <c r="WFM645" t="s">
        <v>8150</v>
      </c>
      <c r="WFN645">
        <v>43025</v>
      </c>
      <c r="WFQ645" t="s">
        <v>8150</v>
      </c>
      <c r="WFR645">
        <v>43025</v>
      </c>
      <c r="WFU645" t="s">
        <v>8150</v>
      </c>
      <c r="WFV645">
        <v>43025</v>
      </c>
      <c r="WFY645" t="s">
        <v>8150</v>
      </c>
      <c r="WFZ645">
        <v>43025</v>
      </c>
      <c r="WGC645" t="s">
        <v>8150</v>
      </c>
      <c r="WGD645">
        <v>43025</v>
      </c>
      <c r="WGG645" t="s">
        <v>8150</v>
      </c>
      <c r="WGH645">
        <v>43025</v>
      </c>
      <c r="WGK645" t="s">
        <v>8150</v>
      </c>
      <c r="WGL645">
        <v>43025</v>
      </c>
      <c r="WGO645" t="s">
        <v>8150</v>
      </c>
      <c r="WGP645">
        <v>43025</v>
      </c>
      <c r="WGS645" t="s">
        <v>8150</v>
      </c>
      <c r="WGT645">
        <v>43025</v>
      </c>
      <c r="WGW645" t="s">
        <v>8150</v>
      </c>
      <c r="WGX645">
        <v>43025</v>
      </c>
      <c r="WHA645" t="s">
        <v>8150</v>
      </c>
      <c r="WHB645">
        <v>43025</v>
      </c>
      <c r="WHE645" t="s">
        <v>8150</v>
      </c>
      <c r="WHF645">
        <v>43025</v>
      </c>
      <c r="WHI645" t="s">
        <v>8150</v>
      </c>
      <c r="WHJ645">
        <v>43025</v>
      </c>
      <c r="WHM645" t="s">
        <v>8150</v>
      </c>
      <c r="WHN645">
        <v>43025</v>
      </c>
      <c r="WHQ645" t="s">
        <v>8150</v>
      </c>
      <c r="WHR645">
        <v>43025</v>
      </c>
      <c r="WHU645" t="s">
        <v>8150</v>
      </c>
      <c r="WHV645">
        <v>43025</v>
      </c>
      <c r="WHY645" t="s">
        <v>8150</v>
      </c>
      <c r="WHZ645">
        <v>43025</v>
      </c>
      <c r="WIC645" t="s">
        <v>8150</v>
      </c>
      <c r="WID645">
        <v>43025</v>
      </c>
      <c r="WIG645" t="s">
        <v>8150</v>
      </c>
      <c r="WIH645">
        <v>43025</v>
      </c>
      <c r="WIK645" t="s">
        <v>8150</v>
      </c>
      <c r="WIL645">
        <v>43025</v>
      </c>
      <c r="WIO645" t="s">
        <v>8150</v>
      </c>
      <c r="WIP645">
        <v>43025</v>
      </c>
      <c r="WIS645" t="s">
        <v>8150</v>
      </c>
      <c r="WIT645">
        <v>43025</v>
      </c>
      <c r="WIW645" t="s">
        <v>8150</v>
      </c>
      <c r="WIX645">
        <v>43025</v>
      </c>
      <c r="WJA645" t="s">
        <v>8150</v>
      </c>
      <c r="WJB645">
        <v>43025</v>
      </c>
      <c r="WJE645" t="s">
        <v>8150</v>
      </c>
      <c r="WJF645">
        <v>43025</v>
      </c>
      <c r="WJI645" t="s">
        <v>8150</v>
      </c>
      <c r="WJJ645">
        <v>43025</v>
      </c>
      <c r="WJM645" t="s">
        <v>8150</v>
      </c>
      <c r="WJN645">
        <v>43025</v>
      </c>
      <c r="WJQ645" t="s">
        <v>8150</v>
      </c>
      <c r="WJR645">
        <v>43025</v>
      </c>
      <c r="WJU645" t="s">
        <v>8150</v>
      </c>
      <c r="WJV645">
        <v>43025</v>
      </c>
      <c r="WJY645" t="s">
        <v>8150</v>
      </c>
      <c r="WJZ645">
        <v>43025</v>
      </c>
      <c r="WKC645" t="s">
        <v>8150</v>
      </c>
      <c r="WKD645">
        <v>43025</v>
      </c>
      <c r="WKG645" t="s">
        <v>8150</v>
      </c>
      <c r="WKH645">
        <v>43025</v>
      </c>
      <c r="WKK645" t="s">
        <v>8150</v>
      </c>
      <c r="WKL645">
        <v>43025</v>
      </c>
      <c r="WKO645" t="s">
        <v>8150</v>
      </c>
      <c r="WKP645">
        <v>43025</v>
      </c>
      <c r="WKS645" t="s">
        <v>8150</v>
      </c>
      <c r="WKT645">
        <v>43025</v>
      </c>
      <c r="WKW645" t="s">
        <v>8150</v>
      </c>
      <c r="WKX645">
        <v>43025</v>
      </c>
      <c r="WLA645" t="s">
        <v>8150</v>
      </c>
      <c r="WLB645">
        <v>43025</v>
      </c>
      <c r="WLE645" t="s">
        <v>8150</v>
      </c>
      <c r="WLF645">
        <v>43025</v>
      </c>
      <c r="WLI645" t="s">
        <v>8150</v>
      </c>
      <c r="WLJ645">
        <v>43025</v>
      </c>
      <c r="WLM645" t="s">
        <v>8150</v>
      </c>
      <c r="WLN645">
        <v>43025</v>
      </c>
      <c r="WLQ645" t="s">
        <v>8150</v>
      </c>
      <c r="WLR645">
        <v>43025</v>
      </c>
      <c r="WLU645" t="s">
        <v>8150</v>
      </c>
      <c r="WLV645">
        <v>43025</v>
      </c>
      <c r="WLY645" t="s">
        <v>8150</v>
      </c>
      <c r="WLZ645">
        <v>43025</v>
      </c>
      <c r="WMC645" t="s">
        <v>8150</v>
      </c>
      <c r="WMD645">
        <v>43025</v>
      </c>
      <c r="WMG645" t="s">
        <v>8150</v>
      </c>
      <c r="WMH645">
        <v>43025</v>
      </c>
      <c r="WMK645" t="s">
        <v>8150</v>
      </c>
      <c r="WML645">
        <v>43025</v>
      </c>
      <c r="WMO645" t="s">
        <v>8150</v>
      </c>
      <c r="WMP645">
        <v>43025</v>
      </c>
      <c r="WMS645" t="s">
        <v>8150</v>
      </c>
      <c r="WMT645">
        <v>43025</v>
      </c>
      <c r="WMW645" t="s">
        <v>8150</v>
      </c>
      <c r="WMX645">
        <v>43025</v>
      </c>
      <c r="WNA645" t="s">
        <v>8150</v>
      </c>
      <c r="WNB645">
        <v>43025</v>
      </c>
      <c r="WNE645" t="s">
        <v>8150</v>
      </c>
      <c r="WNF645">
        <v>43025</v>
      </c>
      <c r="WNI645" t="s">
        <v>8150</v>
      </c>
      <c r="WNJ645">
        <v>43025</v>
      </c>
      <c r="WNM645" t="s">
        <v>8150</v>
      </c>
      <c r="WNN645">
        <v>43025</v>
      </c>
      <c r="WNQ645" t="s">
        <v>8150</v>
      </c>
      <c r="WNR645">
        <v>43025</v>
      </c>
      <c r="WNU645" t="s">
        <v>8150</v>
      </c>
      <c r="WNV645">
        <v>43025</v>
      </c>
      <c r="WNY645" t="s">
        <v>8150</v>
      </c>
      <c r="WNZ645">
        <v>43025</v>
      </c>
      <c r="WOC645" t="s">
        <v>8150</v>
      </c>
      <c r="WOD645">
        <v>43025</v>
      </c>
      <c r="WOG645" t="s">
        <v>8150</v>
      </c>
      <c r="WOH645">
        <v>43025</v>
      </c>
      <c r="WOK645" t="s">
        <v>8150</v>
      </c>
      <c r="WOL645">
        <v>43025</v>
      </c>
      <c r="WOO645" t="s">
        <v>8150</v>
      </c>
      <c r="WOP645">
        <v>43025</v>
      </c>
      <c r="WOS645" t="s">
        <v>8150</v>
      </c>
      <c r="WOT645">
        <v>43025</v>
      </c>
      <c r="WOW645" t="s">
        <v>8150</v>
      </c>
      <c r="WOX645">
        <v>43025</v>
      </c>
      <c r="WPA645" t="s">
        <v>8150</v>
      </c>
      <c r="WPB645">
        <v>43025</v>
      </c>
      <c r="WPE645" t="s">
        <v>8150</v>
      </c>
      <c r="WPF645">
        <v>43025</v>
      </c>
      <c r="WPI645" t="s">
        <v>8150</v>
      </c>
      <c r="WPJ645">
        <v>43025</v>
      </c>
      <c r="WPM645" t="s">
        <v>8150</v>
      </c>
      <c r="WPN645">
        <v>43025</v>
      </c>
      <c r="WPQ645" t="s">
        <v>8150</v>
      </c>
      <c r="WPR645">
        <v>43025</v>
      </c>
      <c r="WPU645" t="s">
        <v>8150</v>
      </c>
      <c r="WPV645">
        <v>43025</v>
      </c>
      <c r="WPY645" t="s">
        <v>8150</v>
      </c>
      <c r="WPZ645">
        <v>43025</v>
      </c>
      <c r="WQC645" t="s">
        <v>8150</v>
      </c>
      <c r="WQD645">
        <v>43025</v>
      </c>
      <c r="WQG645" t="s">
        <v>8150</v>
      </c>
      <c r="WQH645">
        <v>43025</v>
      </c>
      <c r="WQK645" t="s">
        <v>8150</v>
      </c>
      <c r="WQL645">
        <v>43025</v>
      </c>
      <c r="WQO645" t="s">
        <v>8150</v>
      </c>
      <c r="WQP645">
        <v>43025</v>
      </c>
      <c r="WQS645" t="s">
        <v>8150</v>
      </c>
      <c r="WQT645">
        <v>43025</v>
      </c>
      <c r="WQW645" t="s">
        <v>8150</v>
      </c>
      <c r="WQX645">
        <v>43025</v>
      </c>
      <c r="WRA645" t="s">
        <v>8150</v>
      </c>
      <c r="WRB645">
        <v>43025</v>
      </c>
      <c r="WRE645" t="s">
        <v>8150</v>
      </c>
      <c r="WRF645">
        <v>43025</v>
      </c>
      <c r="WRI645" t="s">
        <v>8150</v>
      </c>
      <c r="WRJ645">
        <v>43025</v>
      </c>
      <c r="WRM645" t="s">
        <v>8150</v>
      </c>
      <c r="WRN645">
        <v>43025</v>
      </c>
      <c r="WRQ645" t="s">
        <v>8150</v>
      </c>
      <c r="WRR645">
        <v>43025</v>
      </c>
      <c r="WRU645" t="s">
        <v>8150</v>
      </c>
      <c r="WRV645">
        <v>43025</v>
      </c>
      <c r="WRY645" t="s">
        <v>8150</v>
      </c>
      <c r="WRZ645">
        <v>43025</v>
      </c>
      <c r="WSC645" t="s">
        <v>8150</v>
      </c>
      <c r="WSD645">
        <v>43025</v>
      </c>
      <c r="WSG645" t="s">
        <v>8150</v>
      </c>
      <c r="WSH645">
        <v>43025</v>
      </c>
      <c r="WSK645" t="s">
        <v>8150</v>
      </c>
      <c r="WSL645">
        <v>43025</v>
      </c>
      <c r="WSO645" t="s">
        <v>8150</v>
      </c>
      <c r="WSP645">
        <v>43025</v>
      </c>
      <c r="WSS645" t="s">
        <v>8150</v>
      </c>
      <c r="WST645">
        <v>43025</v>
      </c>
      <c r="WSW645" t="s">
        <v>8150</v>
      </c>
      <c r="WSX645">
        <v>43025</v>
      </c>
      <c r="WTA645" t="s">
        <v>8150</v>
      </c>
      <c r="WTB645">
        <v>43025</v>
      </c>
      <c r="WTE645" t="s">
        <v>8150</v>
      </c>
      <c r="WTF645">
        <v>43025</v>
      </c>
      <c r="WTI645" t="s">
        <v>8150</v>
      </c>
      <c r="WTJ645">
        <v>43025</v>
      </c>
      <c r="WTM645" t="s">
        <v>8150</v>
      </c>
      <c r="WTN645">
        <v>43025</v>
      </c>
      <c r="WTQ645" t="s">
        <v>8150</v>
      </c>
      <c r="WTR645">
        <v>43025</v>
      </c>
      <c r="WTU645" t="s">
        <v>8150</v>
      </c>
      <c r="WTV645">
        <v>43025</v>
      </c>
      <c r="WTY645" t="s">
        <v>8150</v>
      </c>
      <c r="WTZ645">
        <v>43025</v>
      </c>
      <c r="WUC645" t="s">
        <v>8150</v>
      </c>
      <c r="WUD645">
        <v>43025</v>
      </c>
      <c r="WUG645" t="s">
        <v>8150</v>
      </c>
      <c r="WUH645">
        <v>43025</v>
      </c>
      <c r="WUK645" t="s">
        <v>8150</v>
      </c>
      <c r="WUL645">
        <v>43025</v>
      </c>
      <c r="WUO645" t="s">
        <v>8150</v>
      </c>
      <c r="WUP645">
        <v>43025</v>
      </c>
      <c r="WUS645" t="s">
        <v>8150</v>
      </c>
      <c r="WUT645">
        <v>43025</v>
      </c>
      <c r="WUW645" t="s">
        <v>8150</v>
      </c>
      <c r="WUX645">
        <v>43025</v>
      </c>
      <c r="WVA645" t="s">
        <v>8150</v>
      </c>
      <c r="WVB645">
        <v>43025</v>
      </c>
      <c r="WVE645" t="s">
        <v>8150</v>
      </c>
      <c r="WVF645">
        <v>43025</v>
      </c>
      <c r="WVI645" t="s">
        <v>8150</v>
      </c>
      <c r="WVJ645">
        <v>43025</v>
      </c>
      <c r="WVM645" t="s">
        <v>8150</v>
      </c>
      <c r="WVN645">
        <v>43025</v>
      </c>
      <c r="WVQ645" t="s">
        <v>8150</v>
      </c>
      <c r="WVR645">
        <v>43025</v>
      </c>
      <c r="WVU645" t="s">
        <v>8150</v>
      </c>
      <c r="WVV645">
        <v>43025</v>
      </c>
      <c r="WVY645" t="s">
        <v>8150</v>
      </c>
      <c r="WVZ645">
        <v>43025</v>
      </c>
      <c r="WWC645" t="s">
        <v>8150</v>
      </c>
      <c r="WWD645">
        <v>43025</v>
      </c>
      <c r="WWG645" t="s">
        <v>8150</v>
      </c>
      <c r="WWH645">
        <v>43025</v>
      </c>
      <c r="WWK645" t="s">
        <v>8150</v>
      </c>
      <c r="WWL645">
        <v>43025</v>
      </c>
      <c r="WWO645" t="s">
        <v>8150</v>
      </c>
      <c r="WWP645">
        <v>43025</v>
      </c>
      <c r="WWS645" t="s">
        <v>8150</v>
      </c>
      <c r="WWT645">
        <v>43025</v>
      </c>
      <c r="WWW645" t="s">
        <v>8150</v>
      </c>
      <c r="WWX645">
        <v>43025</v>
      </c>
      <c r="WXA645" t="s">
        <v>8150</v>
      </c>
      <c r="WXB645">
        <v>43025</v>
      </c>
      <c r="WXE645" t="s">
        <v>8150</v>
      </c>
      <c r="WXF645">
        <v>43025</v>
      </c>
      <c r="WXI645" t="s">
        <v>8150</v>
      </c>
      <c r="WXJ645">
        <v>43025</v>
      </c>
      <c r="WXM645" t="s">
        <v>8150</v>
      </c>
      <c r="WXN645">
        <v>43025</v>
      </c>
      <c r="WXQ645" t="s">
        <v>8150</v>
      </c>
      <c r="WXR645">
        <v>43025</v>
      </c>
      <c r="WXU645" t="s">
        <v>8150</v>
      </c>
      <c r="WXV645">
        <v>43025</v>
      </c>
      <c r="WXY645" t="s">
        <v>8150</v>
      </c>
      <c r="WXZ645">
        <v>43025</v>
      </c>
      <c r="WYC645" t="s">
        <v>8150</v>
      </c>
      <c r="WYD645">
        <v>43025</v>
      </c>
      <c r="WYG645" t="s">
        <v>8150</v>
      </c>
      <c r="WYH645">
        <v>43025</v>
      </c>
      <c r="WYK645" t="s">
        <v>8150</v>
      </c>
      <c r="WYL645">
        <v>43025</v>
      </c>
      <c r="WYO645" t="s">
        <v>8150</v>
      </c>
      <c r="WYP645">
        <v>43025</v>
      </c>
      <c r="WYS645" t="s">
        <v>8150</v>
      </c>
      <c r="WYT645">
        <v>43025</v>
      </c>
      <c r="WYW645" t="s">
        <v>8150</v>
      </c>
      <c r="WYX645">
        <v>43025</v>
      </c>
      <c r="WZA645" t="s">
        <v>8150</v>
      </c>
      <c r="WZB645">
        <v>43025</v>
      </c>
      <c r="WZE645" t="s">
        <v>8150</v>
      </c>
      <c r="WZF645">
        <v>43025</v>
      </c>
      <c r="WZI645" t="s">
        <v>8150</v>
      </c>
      <c r="WZJ645">
        <v>43025</v>
      </c>
      <c r="WZM645" t="s">
        <v>8150</v>
      </c>
      <c r="WZN645">
        <v>43025</v>
      </c>
      <c r="WZQ645" t="s">
        <v>8150</v>
      </c>
      <c r="WZR645">
        <v>43025</v>
      </c>
      <c r="WZU645" t="s">
        <v>8150</v>
      </c>
      <c r="WZV645">
        <v>43025</v>
      </c>
      <c r="WZY645" t="s">
        <v>8150</v>
      </c>
      <c r="WZZ645">
        <v>43025</v>
      </c>
      <c r="XAC645" t="s">
        <v>8150</v>
      </c>
      <c r="XAD645">
        <v>43025</v>
      </c>
      <c r="XAG645" t="s">
        <v>8150</v>
      </c>
      <c r="XAH645">
        <v>43025</v>
      </c>
      <c r="XAK645" t="s">
        <v>8150</v>
      </c>
      <c r="XAL645">
        <v>43025</v>
      </c>
      <c r="XAO645" t="s">
        <v>8150</v>
      </c>
      <c r="XAP645">
        <v>43025</v>
      </c>
      <c r="XAS645" t="s">
        <v>8150</v>
      </c>
      <c r="XAT645">
        <v>43025</v>
      </c>
      <c r="XAW645" t="s">
        <v>8150</v>
      </c>
      <c r="XAX645">
        <v>43025</v>
      </c>
      <c r="XBA645" t="s">
        <v>8150</v>
      </c>
      <c r="XBB645">
        <v>43025</v>
      </c>
      <c r="XBE645" t="s">
        <v>8150</v>
      </c>
      <c r="XBF645">
        <v>43025</v>
      </c>
      <c r="XBI645" t="s">
        <v>8150</v>
      </c>
      <c r="XBJ645">
        <v>43025</v>
      </c>
      <c r="XBM645" t="s">
        <v>8150</v>
      </c>
      <c r="XBN645">
        <v>43025</v>
      </c>
      <c r="XBQ645" t="s">
        <v>8150</v>
      </c>
      <c r="XBR645">
        <v>43025</v>
      </c>
      <c r="XBU645" t="s">
        <v>8150</v>
      </c>
      <c r="XBV645">
        <v>43025</v>
      </c>
      <c r="XBY645" t="s">
        <v>8150</v>
      </c>
      <c r="XBZ645">
        <v>43025</v>
      </c>
      <c r="XCC645" t="s">
        <v>8150</v>
      </c>
      <c r="XCD645">
        <v>43025</v>
      </c>
      <c r="XCG645" t="s">
        <v>8150</v>
      </c>
      <c r="XCH645">
        <v>43025</v>
      </c>
      <c r="XCK645" t="s">
        <v>8150</v>
      </c>
      <c r="XCL645">
        <v>43025</v>
      </c>
      <c r="XCO645" t="s">
        <v>8150</v>
      </c>
      <c r="XCP645">
        <v>43025</v>
      </c>
      <c r="XCS645" t="s">
        <v>8150</v>
      </c>
      <c r="XCT645">
        <v>43025</v>
      </c>
      <c r="XCW645" t="s">
        <v>8150</v>
      </c>
      <c r="XCX645">
        <v>43025</v>
      </c>
      <c r="XDA645" t="s">
        <v>8150</v>
      </c>
      <c r="XDB645">
        <v>43025</v>
      </c>
      <c r="XDE645" t="s">
        <v>8150</v>
      </c>
      <c r="XDF645">
        <v>43025</v>
      </c>
      <c r="XDI645" t="s">
        <v>8150</v>
      </c>
      <c r="XDJ645">
        <v>43025</v>
      </c>
      <c r="XDM645" t="s">
        <v>8150</v>
      </c>
      <c r="XDN645">
        <v>43025</v>
      </c>
      <c r="XDQ645" t="s">
        <v>8150</v>
      </c>
      <c r="XDR645">
        <v>43025</v>
      </c>
      <c r="XDU645" t="s">
        <v>8150</v>
      </c>
      <c r="XDV645">
        <v>43025</v>
      </c>
      <c r="XDY645" t="s">
        <v>8150</v>
      </c>
      <c r="XDZ645">
        <v>43025</v>
      </c>
      <c r="XEC645" t="s">
        <v>8150</v>
      </c>
      <c r="XED645">
        <v>43025</v>
      </c>
      <c r="XEG645" t="s">
        <v>8150</v>
      </c>
      <c r="XEH645">
        <v>43025</v>
      </c>
      <c r="XEK645" t="s">
        <v>8150</v>
      </c>
      <c r="XEL645">
        <v>43025</v>
      </c>
      <c r="XEO645" t="s">
        <v>8150</v>
      </c>
      <c r="XEP645">
        <v>43025</v>
      </c>
      <c r="XES645" t="s">
        <v>8150</v>
      </c>
      <c r="XET645">
        <v>43025</v>
      </c>
      <c r="XEW645" t="s">
        <v>8150</v>
      </c>
      <c r="XEX645">
        <v>43025</v>
      </c>
      <c r="XFA645" t="s">
        <v>8150</v>
      </c>
      <c r="XFB645">
        <v>43025</v>
      </c>
    </row>
    <row r="646" spans="1:1022 1025:2046 2049:3070 3073:4094 4097:5118 5121:6142 6145:7166 7169:8190 8193:9214 9217:10238 10241:11262 11265:12286 12289:13310 13313:14334 14337:15358 15361:16382" x14ac:dyDescent="0.35">
      <c r="A646" s="3596" t="s">
        <v>8189</v>
      </c>
      <c r="B646" s="3161" t="s">
        <v>8190</v>
      </c>
      <c r="C646" s="3161" t="s">
        <v>8221</v>
      </c>
      <c r="D646" s="3161" t="s">
        <v>8111</v>
      </c>
    </row>
    <row r="647" spans="1:1022 1025:2046 2049:3070 3073:4094 4097:5118 5121:6142 6145:7166 7169:8190 8193:9214 9217:10238 10241:11262 11265:12286 12289:13310 13313:14334 14337:15358 15361:16382" x14ac:dyDescent="0.35">
      <c r="A647" s="3597"/>
      <c r="B647" s="3161" t="s">
        <v>8190</v>
      </c>
      <c r="C647" s="3161" t="s">
        <v>8222</v>
      </c>
      <c r="D647" s="3161" t="s">
        <v>8111</v>
      </c>
    </row>
    <row r="648" spans="1:1022 1025:2046 2049:3070 3073:4094 4097:5118 5121:6142 6145:7166 7169:8190 8193:9214 9217:10238 10241:11262 11265:12286 12289:13310 13313:14334 14337:15358 15361:16382" x14ac:dyDescent="0.35">
      <c r="A648" s="3598" t="s">
        <v>8223</v>
      </c>
      <c r="B648" s="3161" t="s">
        <v>8195</v>
      </c>
      <c r="C648" s="3161" t="s">
        <v>8224</v>
      </c>
      <c r="D648" s="3161" t="s">
        <v>8111</v>
      </c>
    </row>
    <row r="649" spans="1:1022 1025:2046 2049:3070 3073:4094 4097:5118 5121:6142 6145:7166 7169:8190 8193:9214 9217:10238 10241:11262 11265:12286 12289:13310 13313:14334 14337:15358 15361:16382" x14ac:dyDescent="0.35">
      <c r="A649" s="3596" t="s">
        <v>8189</v>
      </c>
      <c r="B649" s="3161" t="s">
        <v>8190</v>
      </c>
      <c r="C649" s="3161" t="s">
        <v>8228</v>
      </c>
      <c r="D649" s="3161" t="s">
        <v>8111</v>
      </c>
    </row>
    <row r="650" spans="1:1022 1025:2046 2049:3070 3073:4094 4097:5118 5121:6142 6145:7166 7169:8190 8193:9214 9217:10238 10241:11262 11265:12286 12289:13310 13313:14334 14337:15358 15361:16382" x14ac:dyDescent="0.35">
      <c r="A650" s="3598" t="s">
        <v>8229</v>
      </c>
      <c r="B650" s="3161" t="s">
        <v>8195</v>
      </c>
      <c r="C650" s="3161" t="s">
        <v>8230</v>
      </c>
      <c r="D650" s="3161" t="s">
        <v>8111</v>
      </c>
    </row>
    <row r="651" spans="1:1022 1025:2046 2049:3070 3073:4094 4097:5118 5121:6142 6145:7166 7169:8190 8193:9214 9217:10238 10241:11262 11265:12286 12289:13310 13313:14334 14337:15358 15361:16382" x14ac:dyDescent="0.35">
      <c r="A651" s="3596" t="s">
        <v>8189</v>
      </c>
      <c r="B651" s="3161" t="s">
        <v>8190</v>
      </c>
      <c r="C651" s="3161" t="s">
        <v>8231</v>
      </c>
      <c r="D651" s="3161" t="s">
        <v>8111</v>
      </c>
    </row>
    <row r="652" spans="1:1022 1025:2046 2049:3070 3073:4094 4097:5118 5121:6142 6145:7166 7169:8190 8193:9214 9217:10238 10241:11262 11265:12286 12289:13310 13313:14334 14337:15358 15361:16382" x14ac:dyDescent="0.35">
      <c r="A652" s="3597"/>
      <c r="B652" s="3161" t="s">
        <v>8190</v>
      </c>
      <c r="C652" s="3161" t="s">
        <v>8232</v>
      </c>
      <c r="D652" s="3161" t="s">
        <v>8111</v>
      </c>
    </row>
    <row r="653" spans="1:1022 1025:2046 2049:3070 3073:4094 4097:5118 5121:6142 6145:7166 7169:8190 8193:9214 9217:10238 10241:11262 11265:12286 12289:13310 13313:14334 14337:15358 15361:16382" x14ac:dyDescent="0.35">
      <c r="A653" s="3597"/>
      <c r="B653" s="3161" t="s">
        <v>8190</v>
      </c>
      <c r="C653" s="3161" t="s">
        <v>8233</v>
      </c>
      <c r="D653" s="3161" t="s">
        <v>8111</v>
      </c>
    </row>
    <row r="654" spans="1:1022 1025:2046 2049:3070 3073:4094 4097:5118 5121:6142 6145:7166 7169:8190 8193:9214 9217:10238 10241:11262 11265:12286 12289:13310 13313:14334 14337:15358 15361:16382" x14ac:dyDescent="0.35">
      <c r="A654" s="3598" t="s">
        <v>8234</v>
      </c>
      <c r="B654" s="3161" t="s">
        <v>8195</v>
      </c>
      <c r="C654" s="3161" t="s">
        <v>8235</v>
      </c>
      <c r="D654" s="3161" t="s">
        <v>8111</v>
      </c>
    </row>
    <row r="655" spans="1:1022 1025:2046 2049:3070 3073:4094 4097:5118 5121:6142 6145:7166 7169:8190 8193:9214 9217:10238 10241:11262 11265:12286 12289:13310 13313:14334 14337:15358 15361:16382" x14ac:dyDescent="0.35">
      <c r="A655" s="3596" t="s">
        <v>8189</v>
      </c>
      <c r="B655" s="3161" t="s">
        <v>7001</v>
      </c>
      <c r="C655" s="3161" t="s">
        <v>8236</v>
      </c>
      <c r="D655" s="3161" t="s">
        <v>8111</v>
      </c>
    </row>
    <row r="656" spans="1:1022 1025:2046 2049:3070 3073:4094 4097:5118 5121:6142 6145:7166 7169:8190 8193:9214 9217:10238 10241:11262 11265:12286 12289:13310 13313:14334 14337:15358 15361:16382" x14ac:dyDescent="0.35">
      <c r="A656" s="3597"/>
      <c r="B656" s="3161" t="s">
        <v>8195</v>
      </c>
      <c r="C656" s="3161" t="s">
        <v>8237</v>
      </c>
      <c r="D656" s="3161" t="s">
        <v>8111</v>
      </c>
    </row>
    <row r="657" spans="1:4" x14ac:dyDescent="0.35">
      <c r="A657" s="3597"/>
      <c r="B657" s="3161" t="s">
        <v>8195</v>
      </c>
      <c r="C657" s="3161" t="s">
        <v>8238</v>
      </c>
      <c r="D657" s="3161" t="s">
        <v>8111</v>
      </c>
    </row>
    <row r="658" spans="1:4" x14ac:dyDescent="0.35">
      <c r="A658" s="3597"/>
      <c r="B658" s="3161" t="s">
        <v>8195</v>
      </c>
      <c r="C658" s="3161" t="s">
        <v>8239</v>
      </c>
      <c r="D658" s="3161" t="s">
        <v>8111</v>
      </c>
    </row>
    <row r="659" spans="1:4" x14ac:dyDescent="0.35">
      <c r="A659" s="3598" t="s">
        <v>8240</v>
      </c>
      <c r="B659" s="3161" t="s">
        <v>8195</v>
      </c>
      <c r="C659" s="3161" t="s">
        <v>8241</v>
      </c>
      <c r="D659" s="3161" t="s">
        <v>8111</v>
      </c>
    </row>
    <row r="660" spans="1:4" x14ac:dyDescent="0.35">
      <c r="A660" s="3596" t="s">
        <v>8189</v>
      </c>
      <c r="B660" s="3161" t="s">
        <v>8190</v>
      </c>
      <c r="C660" s="3161" t="s">
        <v>8242</v>
      </c>
      <c r="D660" s="3161" t="s">
        <v>8111</v>
      </c>
    </row>
    <row r="661" spans="1:4" x14ac:dyDescent="0.35">
      <c r="A661" s="3597"/>
      <c r="B661" s="3161" t="s">
        <v>8192</v>
      </c>
      <c r="C661" s="3161" t="s">
        <v>8243</v>
      </c>
      <c r="D661" s="3161" t="s">
        <v>8111</v>
      </c>
    </row>
    <row r="662" spans="1:4" x14ac:dyDescent="0.35">
      <c r="A662" s="3597"/>
      <c r="B662" s="3161" t="s">
        <v>8195</v>
      </c>
      <c r="C662" s="3161" t="s">
        <v>8244</v>
      </c>
      <c r="D662" s="3161" t="s">
        <v>8111</v>
      </c>
    </row>
    <row r="663" spans="1:4" x14ac:dyDescent="0.35">
      <c r="A663" s="3597"/>
      <c r="B663" s="3161" t="s">
        <v>8195</v>
      </c>
      <c r="C663" s="3161" t="s">
        <v>8245</v>
      </c>
      <c r="D663" s="3161" t="s">
        <v>8111</v>
      </c>
    </row>
    <row r="664" spans="1:4" x14ac:dyDescent="0.35">
      <c r="A664" s="3598" t="s">
        <v>8246</v>
      </c>
      <c r="B664" s="3161" t="s">
        <v>8195</v>
      </c>
      <c r="C664" s="3161" t="s">
        <v>8247</v>
      </c>
      <c r="D664" s="3161" t="s">
        <v>8111</v>
      </c>
    </row>
    <row r="665" spans="1:4" x14ac:dyDescent="0.35">
      <c r="A665" s="3598" t="s">
        <v>8258</v>
      </c>
      <c r="B665" s="3161"/>
      <c r="C665" s="3161"/>
      <c r="D665" s="3161" t="s">
        <v>8111</v>
      </c>
    </row>
    <row r="666" spans="1:4" x14ac:dyDescent="0.35">
      <c r="A666" s="3684" t="s">
        <v>8305</v>
      </c>
      <c r="B666" s="3161"/>
      <c r="C666" s="3161"/>
      <c r="D666" s="3161" t="s">
        <v>8111</v>
      </c>
    </row>
    <row r="667" spans="1:4" x14ac:dyDescent="0.35">
      <c r="A667" s="3684" t="s">
        <v>8306</v>
      </c>
      <c r="B667" s="3161"/>
      <c r="C667" s="3161"/>
      <c r="D667" s="3161" t="s">
        <v>8111</v>
      </c>
    </row>
    <row r="668" spans="1:4" x14ac:dyDescent="0.35">
      <c r="A668" s="3684" t="s">
        <v>8307</v>
      </c>
      <c r="B668" s="3161"/>
      <c r="C668" s="3161"/>
      <c r="D668" s="3161" t="s">
        <v>8111</v>
      </c>
    </row>
    <row r="669" spans="1:4" x14ac:dyDescent="0.35">
      <c r="A669" s="3684" t="s">
        <v>8308</v>
      </c>
      <c r="B669" s="3161"/>
      <c r="C669" s="3161"/>
      <c r="D669" s="3161" t="s">
        <v>8111</v>
      </c>
    </row>
    <row r="670" spans="1:4" x14ac:dyDescent="0.35">
      <c r="A670" s="3684" t="s">
        <v>8309</v>
      </c>
      <c r="B670" s="3161"/>
      <c r="C670" s="3161"/>
      <c r="D670" s="3161" t="s">
        <v>8111</v>
      </c>
    </row>
    <row r="671" spans="1:4" x14ac:dyDescent="0.35">
      <c r="A671" s="3684" t="s">
        <v>8310</v>
      </c>
      <c r="B671" s="3161"/>
      <c r="C671" s="3161"/>
      <c r="D671" s="3161" t="s">
        <v>8111</v>
      </c>
    </row>
    <row r="672" spans="1:4" x14ac:dyDescent="0.35">
      <c r="A672" s="3684" t="s">
        <v>8311</v>
      </c>
      <c r="B672" s="3161"/>
      <c r="C672" s="3161"/>
      <c r="D672" s="3161" t="s">
        <v>8111</v>
      </c>
    </row>
    <row r="673" spans="1:4" x14ac:dyDescent="0.35">
      <c r="A673" s="3684" t="s">
        <v>8312</v>
      </c>
      <c r="B673" s="3161"/>
      <c r="C673" s="3161"/>
      <c r="D673" s="3161" t="s">
        <v>8111</v>
      </c>
    </row>
    <row r="674" spans="1:4" x14ac:dyDescent="0.35">
      <c r="A674" s="3684" t="s">
        <v>8313</v>
      </c>
      <c r="B674" s="3161"/>
      <c r="C674" s="3161"/>
      <c r="D674" s="3161" t="s">
        <v>8111</v>
      </c>
    </row>
    <row r="675" spans="1:4" x14ac:dyDescent="0.35">
      <c r="A675" s="3684" t="s">
        <v>8314</v>
      </c>
      <c r="B675" s="3161"/>
      <c r="C675" s="3161"/>
      <c r="D675" s="3161" t="s">
        <v>8111</v>
      </c>
    </row>
    <row r="676" spans="1:4" x14ac:dyDescent="0.35">
      <c r="A676" s="3542" t="s">
        <v>8177</v>
      </c>
      <c r="B676" s="3646">
        <v>43042</v>
      </c>
      <c r="C676" s="3161"/>
      <c r="D676" s="3161"/>
    </row>
    <row r="677" spans="1:4" x14ac:dyDescent="0.35">
      <c r="A677" s="3318" t="s">
        <v>8184</v>
      </c>
      <c r="B677" s="3319" t="s">
        <v>2396</v>
      </c>
      <c r="C677" s="3161" t="s">
        <v>8183</v>
      </c>
      <c r="D677" s="3161" t="s">
        <v>7809</v>
      </c>
    </row>
    <row r="678" spans="1:4" ht="25.5" x14ac:dyDescent="0.35">
      <c r="A678" s="3549" t="s">
        <v>6972</v>
      </c>
      <c r="B678" s="3319" t="s">
        <v>6894</v>
      </c>
      <c r="C678" s="3161" t="s">
        <v>8255</v>
      </c>
      <c r="D678" s="3325" t="s">
        <v>8180</v>
      </c>
    </row>
    <row r="679" spans="1:4" ht="25.5" x14ac:dyDescent="0.35">
      <c r="A679" s="3550"/>
      <c r="B679" s="3319" t="s">
        <v>6894</v>
      </c>
      <c r="C679" s="3161" t="s">
        <v>8181</v>
      </c>
      <c r="D679" s="3013"/>
    </row>
    <row r="680" spans="1:4" ht="25.5" x14ac:dyDescent="0.35">
      <c r="A680" s="3551"/>
      <c r="B680" s="3319" t="s">
        <v>6894</v>
      </c>
      <c r="C680" s="3161" t="s">
        <v>8182</v>
      </c>
      <c r="D680" s="3016"/>
    </row>
    <row r="681" spans="1:4" x14ac:dyDescent="0.35">
      <c r="A681" s="3318" t="s">
        <v>6972</v>
      </c>
      <c r="B681" s="3319" t="s">
        <v>6894</v>
      </c>
      <c r="C681" s="3161" t="s">
        <v>8259</v>
      </c>
      <c r="D681" s="3161"/>
    </row>
    <row r="682" spans="1:4" x14ac:dyDescent="0.35">
      <c r="A682" s="3318" t="s">
        <v>6972</v>
      </c>
      <c r="B682" s="3319" t="s">
        <v>6894</v>
      </c>
      <c r="C682" s="3161" t="s">
        <v>8262</v>
      </c>
      <c r="D682" s="3161" t="s">
        <v>8258</v>
      </c>
    </row>
    <row r="683" spans="1:4" ht="25.5" x14ac:dyDescent="0.35">
      <c r="A683" s="3318" t="s">
        <v>6972</v>
      </c>
      <c r="B683" s="3319" t="s">
        <v>6894</v>
      </c>
      <c r="C683" s="3161" t="s">
        <v>8317</v>
      </c>
      <c r="D683" s="3161" t="s">
        <v>8315</v>
      </c>
    </row>
    <row r="684" spans="1:4" ht="76.5" x14ac:dyDescent="0.35">
      <c r="A684" s="3318" t="s">
        <v>6972</v>
      </c>
      <c r="B684" s="3319" t="s">
        <v>6894</v>
      </c>
      <c r="C684" s="3161" t="s">
        <v>8348</v>
      </c>
      <c r="D684" s="3161" t="s">
        <v>8315</v>
      </c>
    </row>
    <row r="685" spans="1:4" ht="76.5" x14ac:dyDescent="0.35">
      <c r="A685" s="3318" t="s">
        <v>6972</v>
      </c>
      <c r="B685" s="3319" t="s">
        <v>6894</v>
      </c>
      <c r="C685" s="3161" t="s">
        <v>8185</v>
      </c>
      <c r="D685" s="3161" t="s">
        <v>8176</v>
      </c>
    </row>
    <row r="686" spans="1:4" x14ac:dyDescent="0.35">
      <c r="A686" s="3665" t="s">
        <v>8186</v>
      </c>
      <c r="B686" s="3319" t="s">
        <v>7187</v>
      </c>
      <c r="C686" s="3161" t="s">
        <v>8275</v>
      </c>
      <c r="D686" s="3325" t="s">
        <v>8178</v>
      </c>
    </row>
    <row r="687" spans="1:4" x14ac:dyDescent="0.35">
      <c r="A687" s="3666"/>
      <c r="B687" s="3319" t="s">
        <v>7789</v>
      </c>
      <c r="C687" s="3161" t="s">
        <v>8277</v>
      </c>
      <c r="D687" s="2903"/>
    </row>
    <row r="688" spans="1:4" x14ac:dyDescent="0.35">
      <c r="A688" s="3318" t="s">
        <v>8287</v>
      </c>
      <c r="B688" s="3319" t="s">
        <v>8288</v>
      </c>
      <c r="C688" s="3161" t="s">
        <v>8316</v>
      </c>
      <c r="D688" s="3161"/>
    </row>
    <row r="689" spans="1:4" x14ac:dyDescent="0.35">
      <c r="A689" s="3866" t="s">
        <v>6972</v>
      </c>
      <c r="B689" s="3319" t="s">
        <v>7546</v>
      </c>
      <c r="C689" s="3161" t="s">
        <v>8322</v>
      </c>
      <c r="D689" s="3863" t="s">
        <v>8326</v>
      </c>
    </row>
    <row r="690" spans="1:4" x14ac:dyDescent="0.35">
      <c r="A690" s="3867"/>
      <c r="B690" s="3319" t="s">
        <v>7546</v>
      </c>
      <c r="C690" s="3161" t="s">
        <v>8323</v>
      </c>
      <c r="D690" s="3864"/>
    </row>
    <row r="691" spans="1:4" x14ac:dyDescent="0.35">
      <c r="A691" s="3867"/>
      <c r="B691" s="3319" t="s">
        <v>7546</v>
      </c>
      <c r="C691" s="3161" t="s">
        <v>8324</v>
      </c>
      <c r="D691" s="3864"/>
    </row>
    <row r="692" spans="1:4" x14ac:dyDescent="0.35">
      <c r="A692" s="3867"/>
      <c r="B692" s="3319" t="s">
        <v>7546</v>
      </c>
      <c r="C692" s="3161" t="s">
        <v>8328</v>
      </c>
      <c r="D692" s="3864"/>
    </row>
    <row r="693" spans="1:4" x14ac:dyDescent="0.35">
      <c r="A693" s="3867"/>
      <c r="B693" s="3319" t="s">
        <v>7546</v>
      </c>
      <c r="C693" s="3161" t="s">
        <v>8329</v>
      </c>
      <c r="D693" s="3864"/>
    </row>
    <row r="694" spans="1:4" x14ac:dyDescent="0.35">
      <c r="A694" s="3867"/>
      <c r="B694" s="3319" t="s">
        <v>7546</v>
      </c>
      <c r="C694" s="3161" t="s">
        <v>8330</v>
      </c>
      <c r="D694" s="3864"/>
    </row>
    <row r="695" spans="1:4" x14ac:dyDescent="0.35">
      <c r="A695" s="3867"/>
      <c r="B695" s="3319" t="s">
        <v>7546</v>
      </c>
      <c r="C695" s="3161" t="s">
        <v>8331</v>
      </c>
      <c r="D695" s="3864"/>
    </row>
    <row r="696" spans="1:4" x14ac:dyDescent="0.35">
      <c r="A696" s="3868"/>
      <c r="B696" s="3319" t="s">
        <v>6898</v>
      </c>
      <c r="C696" s="3161" t="s">
        <v>8325</v>
      </c>
      <c r="D696" s="3865"/>
    </row>
    <row r="697" spans="1:4" ht="127.5" x14ac:dyDescent="0.35">
      <c r="A697" s="3760" t="s">
        <v>8343</v>
      </c>
      <c r="B697" s="3761" t="s">
        <v>7394</v>
      </c>
      <c r="C697" s="3762" t="s">
        <v>8342</v>
      </c>
      <c r="D697" s="3762"/>
    </row>
    <row r="698" spans="1:4" x14ac:dyDescent="0.35">
      <c r="A698" s="3318"/>
      <c r="B698" s="3319" t="s">
        <v>7396</v>
      </c>
      <c r="C698" s="3161" t="s">
        <v>8335</v>
      </c>
      <c r="D698" s="3161"/>
    </row>
    <row r="699" spans="1:4" ht="25.5" x14ac:dyDescent="0.35">
      <c r="A699" s="3318"/>
      <c r="B699" s="3319" t="s">
        <v>6883</v>
      </c>
      <c r="C699" s="3161" t="s">
        <v>8344</v>
      </c>
      <c r="D699" s="3161"/>
    </row>
    <row r="700" spans="1:4" x14ac:dyDescent="0.35">
      <c r="A700" s="3542" t="s">
        <v>8338</v>
      </c>
      <c r="B700" s="3646">
        <v>43042</v>
      </c>
      <c r="C700" s="3161"/>
      <c r="D700" s="3161"/>
    </row>
    <row r="701" spans="1:4" x14ac:dyDescent="0.35">
      <c r="A701" s="3318" t="s">
        <v>8184</v>
      </c>
      <c r="B701" s="3319" t="s">
        <v>6900</v>
      </c>
      <c r="C701" s="3161" t="s">
        <v>8339</v>
      </c>
      <c r="D701" s="3161" t="s">
        <v>7809</v>
      </c>
    </row>
    <row r="702" spans="1:4" x14ac:dyDescent="0.35">
      <c r="A702" s="3318"/>
      <c r="B702" s="3319" t="s">
        <v>6894</v>
      </c>
      <c r="C702" s="3161" t="s">
        <v>8346</v>
      </c>
      <c r="D702" s="3161" t="s">
        <v>7809</v>
      </c>
    </row>
    <row r="703" spans="1:4" ht="127.5" x14ac:dyDescent="0.35">
      <c r="A703" s="3318"/>
      <c r="B703" s="3319" t="s">
        <v>7141</v>
      </c>
      <c r="C703" s="3161" t="s">
        <v>8350</v>
      </c>
      <c r="D703" s="3161"/>
    </row>
    <row r="704" spans="1:4" ht="127.5" x14ac:dyDescent="0.35">
      <c r="A704" s="3318"/>
      <c r="B704" s="3319" t="s">
        <v>7141</v>
      </c>
      <c r="C704" s="3161" t="s">
        <v>8351</v>
      </c>
      <c r="D704" s="3161"/>
    </row>
    <row r="705" spans="1:4" x14ac:dyDescent="0.35">
      <c r="A705" s="3318"/>
      <c r="B705" s="3319" t="s">
        <v>6877</v>
      </c>
      <c r="C705" s="3161" t="s">
        <v>8345</v>
      </c>
      <c r="D705" s="3161" t="s">
        <v>7809</v>
      </c>
    </row>
    <row r="706" spans="1:4" x14ac:dyDescent="0.35">
      <c r="A706" s="3318"/>
      <c r="B706" s="3319" t="s">
        <v>6883</v>
      </c>
      <c r="C706" s="3161" t="s">
        <v>8347</v>
      </c>
      <c r="D706" s="3161"/>
    </row>
    <row r="707" spans="1:4" x14ac:dyDescent="0.35">
      <c r="A707" s="3542" t="s">
        <v>8353</v>
      </c>
      <c r="B707" s="3646">
        <v>43053</v>
      </c>
      <c r="C707" s="3161"/>
      <c r="D707" s="3161"/>
    </row>
    <row r="708" spans="1:4" ht="63.75" x14ac:dyDescent="0.35">
      <c r="A708" s="3318"/>
      <c r="B708" s="3319"/>
      <c r="C708" s="3161" t="s">
        <v>8352</v>
      </c>
      <c r="D708" s="3161"/>
    </row>
    <row r="709" spans="1:4" x14ac:dyDescent="0.35">
      <c r="A709" s="3318"/>
      <c r="B709" s="3319" t="s">
        <v>6877</v>
      </c>
      <c r="C709" s="3161" t="s">
        <v>8354</v>
      </c>
      <c r="D709" s="3161"/>
    </row>
    <row r="710" spans="1:4" x14ac:dyDescent="0.35">
      <c r="A710" s="3318"/>
      <c r="B710" s="3319" t="s">
        <v>6900</v>
      </c>
      <c r="C710" s="3161" t="s">
        <v>8355</v>
      </c>
      <c r="D710" s="3161" t="s">
        <v>7069</v>
      </c>
    </row>
    <row r="711" spans="1:4" x14ac:dyDescent="0.35">
      <c r="A711" s="3318"/>
      <c r="B711" s="3319" t="s">
        <v>7743</v>
      </c>
      <c r="C711" s="3161" t="s">
        <v>8356</v>
      </c>
      <c r="D711" s="3161"/>
    </row>
    <row r="712" spans="1:4" x14ac:dyDescent="0.35">
      <c r="A712" s="3318"/>
      <c r="B712" s="3319" t="s">
        <v>7546</v>
      </c>
      <c r="C712" s="3161" t="s">
        <v>8357</v>
      </c>
      <c r="D712" s="3161"/>
    </row>
    <row r="713" spans="1:4" x14ac:dyDescent="0.35">
      <c r="A713" s="3318"/>
      <c r="B713" s="3319" t="s">
        <v>6893</v>
      </c>
      <c r="C713" s="3161" t="s">
        <v>8358</v>
      </c>
      <c r="D713" s="3161" t="s">
        <v>7069</v>
      </c>
    </row>
    <row r="714" spans="1:4" x14ac:dyDescent="0.35">
      <c r="A714" s="3318"/>
      <c r="B714" s="3319" t="s">
        <v>6893</v>
      </c>
      <c r="C714" s="3161" t="s">
        <v>8359</v>
      </c>
      <c r="D714" s="3161" t="s">
        <v>7069</v>
      </c>
    </row>
    <row r="715" spans="1:4" x14ac:dyDescent="0.35">
      <c r="A715" s="3318"/>
      <c r="B715" s="3319" t="s">
        <v>6894</v>
      </c>
      <c r="C715" s="3161" t="s">
        <v>8362</v>
      </c>
      <c r="D715" s="3161" t="s">
        <v>7069</v>
      </c>
    </row>
    <row r="716" spans="1:4" x14ac:dyDescent="0.35">
      <c r="A716" s="3318"/>
      <c r="B716" s="3319" t="s">
        <v>7396</v>
      </c>
      <c r="C716" s="3161" t="s">
        <v>8361</v>
      </c>
      <c r="D716" s="3161" t="s">
        <v>7069</v>
      </c>
    </row>
    <row r="717" spans="1:4" x14ac:dyDescent="0.35">
      <c r="A717" s="3318"/>
      <c r="B717" s="3319" t="s">
        <v>7396</v>
      </c>
      <c r="C717" s="3161" t="s">
        <v>8360</v>
      </c>
      <c r="D717" s="3161" t="s">
        <v>7069</v>
      </c>
    </row>
    <row r="718" spans="1:4" x14ac:dyDescent="0.35">
      <c r="A718" s="3318"/>
      <c r="B718" s="3319" t="s">
        <v>8365</v>
      </c>
      <c r="C718" s="3161" t="s">
        <v>8366</v>
      </c>
      <c r="D718" s="3161"/>
    </row>
    <row r="719" spans="1:4" x14ac:dyDescent="0.35">
      <c r="A719" s="3318"/>
      <c r="B719" s="3319" t="s">
        <v>7545</v>
      </c>
      <c r="C719" s="3161" t="s">
        <v>8367</v>
      </c>
      <c r="D719" s="3161" t="s">
        <v>7069</v>
      </c>
    </row>
    <row r="720" spans="1:4" x14ac:dyDescent="0.35">
      <c r="A720" s="3318"/>
      <c r="B720" s="3319" t="s">
        <v>7039</v>
      </c>
      <c r="C720" s="3161" t="s">
        <v>8372</v>
      </c>
      <c r="D720" s="3161" t="s">
        <v>7069</v>
      </c>
    </row>
    <row r="721" spans="1:4" x14ac:dyDescent="0.35">
      <c r="A721" s="3318"/>
      <c r="B721" s="3319" t="s">
        <v>7039</v>
      </c>
      <c r="C721" s="3161" t="s">
        <v>8373</v>
      </c>
      <c r="D721" s="3161" t="s">
        <v>7069</v>
      </c>
    </row>
    <row r="722" spans="1:4" x14ac:dyDescent="0.35">
      <c r="A722" s="3318"/>
      <c r="B722" s="3319" t="s">
        <v>7002</v>
      </c>
      <c r="C722" s="3161" t="s">
        <v>8374</v>
      </c>
      <c r="D722" s="3161" t="s">
        <v>7069</v>
      </c>
    </row>
    <row r="723" spans="1:4" x14ac:dyDescent="0.35">
      <c r="A723" s="3318"/>
      <c r="B723" s="3319" t="s">
        <v>7784</v>
      </c>
      <c r="C723" s="3161" t="s">
        <v>8375</v>
      </c>
      <c r="D723" s="3161"/>
    </row>
    <row r="724" spans="1:4" x14ac:dyDescent="0.35">
      <c r="A724" s="3542" t="s">
        <v>8391</v>
      </c>
      <c r="B724" s="3646">
        <v>43054</v>
      </c>
      <c r="C724" s="3161"/>
      <c r="D724" s="3161"/>
    </row>
    <row r="725" spans="1:4" ht="25.5" x14ac:dyDescent="0.35">
      <c r="A725" s="3318" t="s">
        <v>8189</v>
      </c>
      <c r="B725" s="3319" t="s">
        <v>8204</v>
      </c>
      <c r="C725" s="3161" t="s">
        <v>8394</v>
      </c>
      <c r="D725" s="3161" t="s">
        <v>7809</v>
      </c>
    </row>
    <row r="726" spans="1:4" x14ac:dyDescent="0.35">
      <c r="A726" s="3318" t="s">
        <v>8189</v>
      </c>
      <c r="B726" s="3319" t="s">
        <v>7968</v>
      </c>
      <c r="C726" s="3161" t="s">
        <v>8392</v>
      </c>
      <c r="D726" s="3161" t="s">
        <v>7809</v>
      </c>
    </row>
    <row r="727" spans="1:4" x14ac:dyDescent="0.35">
      <c r="A727" s="3318" t="s">
        <v>8189</v>
      </c>
      <c r="B727" s="3319" t="s">
        <v>8195</v>
      </c>
      <c r="C727" s="3161" t="s">
        <v>8395</v>
      </c>
      <c r="D727" s="3161" t="s">
        <v>7809</v>
      </c>
    </row>
    <row r="728" spans="1:4" x14ac:dyDescent="0.35">
      <c r="A728" s="3318" t="s">
        <v>8189</v>
      </c>
      <c r="B728" s="3319" t="s">
        <v>7001</v>
      </c>
      <c r="C728" s="3161" t="s">
        <v>8417</v>
      </c>
      <c r="D728" s="3161" t="s">
        <v>7809</v>
      </c>
    </row>
    <row r="729" spans="1:4" x14ac:dyDescent="0.35">
      <c r="A729" s="3318" t="s">
        <v>8189</v>
      </c>
      <c r="B729" s="3319" t="s">
        <v>7001</v>
      </c>
      <c r="C729" s="3161" t="s">
        <v>8416</v>
      </c>
      <c r="D729" s="3161" t="s">
        <v>7809</v>
      </c>
    </row>
    <row r="730" spans="1:4" x14ac:dyDescent="0.35">
      <c r="A730" s="3318" t="s">
        <v>8189</v>
      </c>
      <c r="B730" s="3319" t="s">
        <v>7039</v>
      </c>
      <c r="C730" s="3161" t="s">
        <v>8417</v>
      </c>
      <c r="D730" s="3161" t="s">
        <v>7809</v>
      </c>
    </row>
    <row r="731" spans="1:4" ht="25.5" x14ac:dyDescent="0.35">
      <c r="A731" s="3318" t="s">
        <v>8189</v>
      </c>
      <c r="B731" s="3319" t="s">
        <v>7039</v>
      </c>
      <c r="C731" s="3161" t="s">
        <v>8418</v>
      </c>
      <c r="D731" s="3161" t="s">
        <v>7809</v>
      </c>
    </row>
    <row r="732" spans="1:4" x14ac:dyDescent="0.35">
      <c r="A732" s="3318" t="s">
        <v>8189</v>
      </c>
      <c r="B732" s="3319" t="s">
        <v>7000</v>
      </c>
      <c r="C732" s="3161" t="s">
        <v>8422</v>
      </c>
      <c r="D732" s="3161" t="s">
        <v>7809</v>
      </c>
    </row>
    <row r="733" spans="1:4" x14ac:dyDescent="0.35">
      <c r="A733" s="3318" t="s">
        <v>8189</v>
      </c>
      <c r="B733" s="3319" t="s">
        <v>7000</v>
      </c>
      <c r="C733" s="3161" t="s">
        <v>8423</v>
      </c>
      <c r="D733" s="3161" t="s">
        <v>7809</v>
      </c>
    </row>
    <row r="734" spans="1:4" x14ac:dyDescent="0.35">
      <c r="A734" s="3318" t="s">
        <v>8189</v>
      </c>
      <c r="B734" s="3319" t="s">
        <v>7039</v>
      </c>
      <c r="C734" s="3161" t="s">
        <v>8422</v>
      </c>
      <c r="D734" s="3161" t="s">
        <v>7809</v>
      </c>
    </row>
    <row r="735" spans="1:4" x14ac:dyDescent="0.35">
      <c r="A735" s="3318" t="s">
        <v>8189</v>
      </c>
      <c r="B735" s="3319" t="s">
        <v>7039</v>
      </c>
      <c r="C735" s="3161" t="s">
        <v>8424</v>
      </c>
      <c r="D735" s="3161" t="s">
        <v>7809</v>
      </c>
    </row>
    <row r="736" spans="1:4" x14ac:dyDescent="0.35">
      <c r="A736" s="3318" t="s">
        <v>8189</v>
      </c>
      <c r="B736" s="3319" t="s">
        <v>8204</v>
      </c>
      <c r="C736" s="3161" t="s">
        <v>8436</v>
      </c>
      <c r="D736" s="3161" t="s">
        <v>7809</v>
      </c>
    </row>
    <row r="737" spans="1:4" x14ac:dyDescent="0.35">
      <c r="A737" s="3318" t="s">
        <v>8189</v>
      </c>
      <c r="B737" s="3319" t="s">
        <v>8204</v>
      </c>
      <c r="C737" s="3161" t="s">
        <v>8437</v>
      </c>
      <c r="D737" s="3161" t="s">
        <v>7809</v>
      </c>
    </row>
    <row r="738" spans="1:4" x14ac:dyDescent="0.35">
      <c r="A738" s="3318" t="s">
        <v>8189</v>
      </c>
      <c r="B738" s="3319" t="s">
        <v>7039</v>
      </c>
      <c r="C738" s="3161" t="s">
        <v>8436</v>
      </c>
      <c r="D738" s="3161" t="s">
        <v>7809</v>
      </c>
    </row>
    <row r="739" spans="1:4" x14ac:dyDescent="0.35">
      <c r="A739" s="3318" t="s">
        <v>8189</v>
      </c>
      <c r="B739" s="3319" t="s">
        <v>7039</v>
      </c>
      <c r="C739" s="3161" t="s">
        <v>8438</v>
      </c>
      <c r="D739" s="3161" t="s">
        <v>7809</v>
      </c>
    </row>
    <row r="740" spans="1:4" x14ac:dyDescent="0.35">
      <c r="A740" s="3318" t="s">
        <v>8189</v>
      </c>
      <c r="B740" s="3319" t="s">
        <v>7968</v>
      </c>
      <c r="C740" s="3161" t="s">
        <v>8451</v>
      </c>
      <c r="D740" s="3161" t="s">
        <v>7809</v>
      </c>
    </row>
    <row r="741" spans="1:4" x14ac:dyDescent="0.35">
      <c r="A741" s="3318" t="s">
        <v>8189</v>
      </c>
      <c r="B741" s="3319" t="s">
        <v>7039</v>
      </c>
      <c r="C741" s="3161" t="s">
        <v>8451</v>
      </c>
      <c r="D741" s="3161" t="s">
        <v>7809</v>
      </c>
    </row>
    <row r="742" spans="1:4" x14ac:dyDescent="0.35">
      <c r="A742" s="3318" t="s">
        <v>8189</v>
      </c>
      <c r="B742" s="3319" t="s">
        <v>7039</v>
      </c>
      <c r="C742" s="3161" t="s">
        <v>8454</v>
      </c>
      <c r="D742" s="3161" t="s">
        <v>7809</v>
      </c>
    </row>
    <row r="743" spans="1:4" x14ac:dyDescent="0.35">
      <c r="A743" s="3542" t="s">
        <v>8458</v>
      </c>
      <c r="B743" s="3646">
        <v>43055</v>
      </c>
      <c r="C743" s="3161"/>
      <c r="D743" s="3161"/>
    </row>
    <row r="744" spans="1:4" ht="127.5" x14ac:dyDescent="0.35">
      <c r="A744" s="3318" t="s">
        <v>8457</v>
      </c>
      <c r="B744" s="3319" t="s">
        <v>6894</v>
      </c>
      <c r="C744" s="3161" t="s">
        <v>8467</v>
      </c>
      <c r="D744" s="3161"/>
    </row>
    <row r="745" spans="1:4" ht="38.25" x14ac:dyDescent="0.35">
      <c r="A745" s="3818" t="s">
        <v>6987</v>
      </c>
      <c r="B745" s="3319" t="s">
        <v>6895</v>
      </c>
      <c r="C745" s="3161" t="s">
        <v>8456</v>
      </c>
      <c r="D745" s="3161"/>
    </row>
    <row r="746" spans="1:4" x14ac:dyDescent="0.35">
      <c r="A746" s="3318" t="s">
        <v>8189</v>
      </c>
      <c r="B746" s="3319" t="s">
        <v>8204</v>
      </c>
      <c r="C746" s="3161" t="s">
        <v>8464</v>
      </c>
      <c r="D746" s="3161" t="s">
        <v>7809</v>
      </c>
    </row>
    <row r="747" spans="1:4" ht="25.5" x14ac:dyDescent="0.35">
      <c r="A747" s="3318" t="s">
        <v>8189</v>
      </c>
      <c r="B747" s="3319" t="s">
        <v>8195</v>
      </c>
      <c r="C747" s="3161" t="s">
        <v>8466</v>
      </c>
      <c r="D747" s="3161" t="s">
        <v>7809</v>
      </c>
    </row>
    <row r="748" spans="1:4" x14ac:dyDescent="0.35">
      <c r="A748" s="3542" t="s">
        <v>8468</v>
      </c>
      <c r="B748" s="3646">
        <v>43056</v>
      </c>
      <c r="C748" s="3161"/>
      <c r="D748" s="3161"/>
    </row>
    <row r="749" spans="1:4" ht="51" x14ac:dyDescent="0.35">
      <c r="A749" s="3818" t="s">
        <v>6987</v>
      </c>
      <c r="B749" s="3319" t="s">
        <v>6895</v>
      </c>
      <c r="C749" s="3161" t="s">
        <v>8488</v>
      </c>
      <c r="D749" s="3161"/>
    </row>
    <row r="750" spans="1:4" ht="51" x14ac:dyDescent="0.35">
      <c r="A750" s="3318"/>
      <c r="B750" s="3823" t="s">
        <v>7546</v>
      </c>
      <c r="C750" s="3161" t="s">
        <v>8487</v>
      </c>
      <c r="D750" s="3320"/>
    </row>
    <row r="751" spans="1:4" x14ac:dyDescent="0.35">
      <c r="A751" s="3542" t="s">
        <v>8469</v>
      </c>
      <c r="B751" s="3646">
        <v>43059</v>
      </c>
      <c r="C751" s="3161"/>
      <c r="D751" s="3161"/>
    </row>
    <row r="752" spans="1:4" x14ac:dyDescent="0.35">
      <c r="A752" s="3318"/>
      <c r="B752" s="3824"/>
      <c r="C752" s="3161" t="s">
        <v>8470</v>
      </c>
      <c r="D752" s="3320"/>
    </row>
    <row r="753" spans="1:4" x14ac:dyDescent="0.35">
      <c r="A753" s="3542" t="s">
        <v>8471</v>
      </c>
      <c r="B753" s="3646">
        <v>43068</v>
      </c>
      <c r="C753" s="3161"/>
      <c r="D753" s="3161"/>
    </row>
    <row r="754" spans="1:4" x14ac:dyDescent="0.35">
      <c r="A754" s="3318"/>
      <c r="B754" s="3825"/>
      <c r="C754" s="3161" t="s">
        <v>8472</v>
      </c>
      <c r="D754" s="3320"/>
    </row>
    <row r="755" spans="1:4" x14ac:dyDescent="0.35">
      <c r="A755" s="3318"/>
      <c r="B755" s="3826"/>
      <c r="C755" s="3161" t="s">
        <v>8473</v>
      </c>
      <c r="D755" s="3320"/>
    </row>
    <row r="756" spans="1:4" ht="25.5" x14ac:dyDescent="0.35">
      <c r="A756" s="3318" t="s">
        <v>8475</v>
      </c>
      <c r="B756" s="3827" t="s">
        <v>7039</v>
      </c>
      <c r="C756" s="3161" t="s">
        <v>8477</v>
      </c>
      <c r="D756" s="3161" t="s">
        <v>8476</v>
      </c>
    </row>
    <row r="757" spans="1:4" ht="25.5" x14ac:dyDescent="0.35">
      <c r="A757" s="3318" t="s">
        <v>8475</v>
      </c>
      <c r="B757" s="3827" t="s">
        <v>7001</v>
      </c>
      <c r="C757" s="3161" t="s">
        <v>8480</v>
      </c>
      <c r="D757" s="3161" t="s">
        <v>8478</v>
      </c>
    </row>
    <row r="758" spans="1:4" x14ac:dyDescent="0.35">
      <c r="A758" s="3318" t="s">
        <v>8475</v>
      </c>
      <c r="B758" s="3827" t="s">
        <v>8204</v>
      </c>
      <c r="C758" s="3831" t="s">
        <v>8481</v>
      </c>
      <c r="D758" s="3161" t="s">
        <v>8479</v>
      </c>
    </row>
    <row r="759" spans="1:4" x14ac:dyDescent="0.35">
      <c r="A759" s="3542" t="s">
        <v>8482</v>
      </c>
      <c r="B759" s="3646">
        <v>43069</v>
      </c>
      <c r="C759" s="3161"/>
      <c r="D759" s="3161"/>
    </row>
    <row r="760" spans="1:4" ht="51" x14ac:dyDescent="0.35">
      <c r="A760" s="3318" t="s">
        <v>8475</v>
      </c>
      <c r="B760" s="3828" t="s">
        <v>7039</v>
      </c>
      <c r="C760" s="3831" t="s">
        <v>8483</v>
      </c>
      <c r="D760" s="3161" t="s">
        <v>8479</v>
      </c>
    </row>
    <row r="761" spans="1:4" ht="51" x14ac:dyDescent="0.35">
      <c r="A761" s="3318" t="s">
        <v>8475</v>
      </c>
      <c r="B761" s="3828" t="s">
        <v>7001</v>
      </c>
      <c r="C761" s="3161" t="s">
        <v>8493</v>
      </c>
      <c r="D761" s="3161" t="s">
        <v>8484</v>
      </c>
    </row>
    <row r="762" spans="1:4" ht="63.75" x14ac:dyDescent="0.35">
      <c r="A762" s="3318" t="s">
        <v>8486</v>
      </c>
      <c r="B762" s="3828" t="s">
        <v>7546</v>
      </c>
      <c r="C762" s="3161" t="s">
        <v>8489</v>
      </c>
      <c r="D762" s="3161" t="s">
        <v>8490</v>
      </c>
    </row>
    <row r="763" spans="1:4" x14ac:dyDescent="0.35">
      <c r="A763" s="3542" t="s">
        <v>8491</v>
      </c>
      <c r="B763" s="3646">
        <v>43075</v>
      </c>
      <c r="C763" s="3161"/>
      <c r="D763" s="3161"/>
    </row>
    <row r="764" spans="1:4" ht="38.25" x14ac:dyDescent="0.35">
      <c r="A764" s="3318" t="s">
        <v>8475</v>
      </c>
      <c r="B764" s="3833" t="s">
        <v>7001</v>
      </c>
      <c r="C764" s="3831" t="s">
        <v>8494</v>
      </c>
      <c r="D764" s="3161" t="s">
        <v>8492</v>
      </c>
    </row>
    <row r="765" spans="1:4" ht="25.5" x14ac:dyDescent="0.35">
      <c r="A765" s="3318" t="s">
        <v>8486</v>
      </c>
      <c r="B765" s="3834" t="s">
        <v>7039</v>
      </c>
      <c r="C765" s="3320" t="s">
        <v>8508</v>
      </c>
      <c r="D765" s="3320" t="s">
        <v>8509</v>
      </c>
    </row>
    <row r="766" spans="1:4" ht="38.25" x14ac:dyDescent="0.35">
      <c r="A766" s="3318" t="s">
        <v>8486</v>
      </c>
      <c r="B766" s="3834" t="s">
        <v>7968</v>
      </c>
      <c r="C766" s="3161" t="s">
        <v>8510</v>
      </c>
      <c r="D766" s="3161" t="s">
        <v>8213</v>
      </c>
    </row>
    <row r="767" spans="1:4" ht="229.5" x14ac:dyDescent="0.35">
      <c r="A767" s="3318" t="s">
        <v>6972</v>
      </c>
      <c r="B767" s="3834" t="s">
        <v>8511</v>
      </c>
      <c r="C767" s="3161" t="s">
        <v>8512</v>
      </c>
      <c r="D767" s="3161" t="s">
        <v>8513</v>
      </c>
    </row>
    <row r="768" spans="1:4" x14ac:dyDescent="0.35">
      <c r="A768" s="3318"/>
      <c r="B768" s="3836" t="s">
        <v>6897</v>
      </c>
      <c r="C768" s="3161" t="s">
        <v>8514</v>
      </c>
      <c r="D768" s="3320"/>
    </row>
    <row r="769" spans="1:4" x14ac:dyDescent="0.35">
      <c r="A769" s="3318"/>
      <c r="B769" s="3844" t="s">
        <v>7141</v>
      </c>
      <c r="C769" s="3320" t="s">
        <v>8515</v>
      </c>
      <c r="D769" s="3320"/>
    </row>
    <row r="770" spans="1:4" x14ac:dyDescent="0.35">
      <c r="A770" s="3318"/>
      <c r="B770" s="3846" t="s">
        <v>6898</v>
      </c>
      <c r="C770" s="3161" t="s">
        <v>8516</v>
      </c>
      <c r="D770" s="3320"/>
    </row>
    <row r="771" spans="1:4" x14ac:dyDescent="0.35">
      <c r="A771" s="3542" t="s">
        <v>8525</v>
      </c>
      <c r="B771" s="3646">
        <v>43081</v>
      </c>
      <c r="C771" s="3161"/>
      <c r="D771" s="3161"/>
    </row>
    <row r="772" spans="1:4" x14ac:dyDescent="0.35">
      <c r="A772" s="3318" t="s">
        <v>8527</v>
      </c>
      <c r="B772" s="3848" t="s">
        <v>7001</v>
      </c>
      <c r="C772" s="3831" t="s">
        <v>8526</v>
      </c>
      <c r="D772" s="3161" t="s">
        <v>8530</v>
      </c>
    </row>
    <row r="773" spans="1:4" x14ac:dyDescent="0.35">
      <c r="A773" s="3318"/>
      <c r="B773" s="3848" t="s">
        <v>7039</v>
      </c>
      <c r="C773" s="3161" t="s">
        <v>8529</v>
      </c>
      <c r="D773" s="3161" t="s">
        <v>8530</v>
      </c>
    </row>
    <row r="774" spans="1:4" x14ac:dyDescent="0.35">
      <c r="A774" s="3318"/>
      <c r="B774" s="3848" t="s">
        <v>7968</v>
      </c>
      <c r="C774" s="3161" t="s">
        <v>8531</v>
      </c>
      <c r="D774" s="3161" t="s">
        <v>8530</v>
      </c>
    </row>
    <row r="775" spans="1:4" x14ac:dyDescent="0.35">
      <c r="A775" s="3318"/>
      <c r="B775" s="3849" t="s">
        <v>7039</v>
      </c>
      <c r="C775" s="3161" t="s">
        <v>8534</v>
      </c>
      <c r="D775" s="3161" t="s">
        <v>8530</v>
      </c>
    </row>
    <row r="776" spans="1:4" x14ac:dyDescent="0.35">
      <c r="A776" s="3318"/>
      <c r="B776" s="3848" t="s">
        <v>8532</v>
      </c>
      <c r="C776" s="3161" t="s">
        <v>8533</v>
      </c>
      <c r="D776" s="3161" t="s">
        <v>8530</v>
      </c>
    </row>
  </sheetData>
  <mergeCells count="14">
    <mergeCell ref="D689:D696"/>
    <mergeCell ref="A689:A696"/>
    <mergeCell ref="B510:B513"/>
    <mergeCell ref="A510:A513"/>
    <mergeCell ref="A324:A339"/>
    <mergeCell ref="B340:B345"/>
    <mergeCell ref="A340:A345"/>
    <mergeCell ref="B313:B323"/>
    <mergeCell ref="A313:A323"/>
    <mergeCell ref="A8:A24"/>
    <mergeCell ref="D84:D85"/>
    <mergeCell ref="D86:D87"/>
    <mergeCell ref="D94:D96"/>
    <mergeCell ref="B306:B308"/>
  </mergeCells>
  <phoneticPr fontId="68" type="noConversion"/>
  <pageMargins left="0.196850393700787" right="0.196850393700787" top="0.196850393700787" bottom="0.196850393700787"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B1:I559"/>
  <sheetViews>
    <sheetView showGridLines="0" workbookViewId="0">
      <selection activeCell="B27" sqref="B27"/>
    </sheetView>
  </sheetViews>
  <sheetFormatPr defaultColWidth="9.1328125" defaultRowHeight="11.65" x14ac:dyDescent="0.35"/>
  <cols>
    <col min="1" max="1" width="0.73046875" style="40" customWidth="1"/>
    <col min="2" max="2" width="10.3984375" style="40" customWidth="1"/>
    <col min="3" max="3" width="60" style="40" customWidth="1"/>
    <col min="4" max="4" width="16.3984375" style="40" bestFit="1" customWidth="1"/>
    <col min="5" max="5" width="20.1328125" style="40" bestFit="1" customWidth="1"/>
    <col min="6" max="6" width="10.73046875" style="40" bestFit="1" customWidth="1"/>
    <col min="7" max="7" width="25.86328125" style="40" bestFit="1" customWidth="1"/>
    <col min="8" max="8" width="10.73046875" style="40" bestFit="1" customWidth="1"/>
    <col min="9" max="9" width="25.86328125" style="40" bestFit="1" customWidth="1"/>
    <col min="10" max="16384" width="9.1328125" style="40"/>
  </cols>
  <sheetData>
    <row r="1" spans="2:3" x14ac:dyDescent="0.35">
      <c r="B1" s="137" t="s">
        <v>3583</v>
      </c>
      <c r="C1" s="137" t="str">
        <f>'Add pages'!F2</f>
        <v>Version E1.10.3</v>
      </c>
    </row>
    <row r="2" spans="2:3" x14ac:dyDescent="0.35">
      <c r="B2" s="40" t="s">
        <v>3230</v>
      </c>
    </row>
    <row r="3" spans="2:3" x14ac:dyDescent="0.35">
      <c r="B3" s="40" t="str">
        <f>"a "&amp;tax_year&amp;" Main Tax Return (MTR), and can be used in 3 ways."</f>
        <v>a 2017-18 Main Tax Return (MTR), and can be used in 3 ways.</v>
      </c>
    </row>
    <row r="4" spans="2:3" ht="6" customHeight="1" x14ac:dyDescent="0.35"/>
    <row r="5" spans="2:3" x14ac:dyDescent="0.35">
      <c r="B5" s="40" t="s">
        <v>717</v>
      </c>
    </row>
    <row r="6" spans="2:3" x14ac:dyDescent="0.35">
      <c r="B6" s="685" t="s">
        <v>1980</v>
      </c>
    </row>
    <row r="7" spans="2:3" x14ac:dyDescent="0.35">
      <c r="B7" s="685" t="s">
        <v>2138</v>
      </c>
    </row>
    <row r="8" spans="2:3" x14ac:dyDescent="0.35">
      <c r="B8" s="685" t="s">
        <v>2139</v>
      </c>
    </row>
    <row r="9" spans="2:3" x14ac:dyDescent="0.35">
      <c r="B9" s="685" t="s">
        <v>2140</v>
      </c>
    </row>
    <row r="10" spans="2:3" x14ac:dyDescent="0.35">
      <c r="B10" s="686" t="s">
        <v>2141</v>
      </c>
    </row>
    <row r="11" spans="2:3" x14ac:dyDescent="0.35">
      <c r="B11" s="686" t="s">
        <v>2142</v>
      </c>
    </row>
    <row r="12" spans="2:3" ht="5.25" customHeight="1" x14ac:dyDescent="0.35">
      <c r="B12" s="687"/>
    </row>
    <row r="13" spans="2:3" x14ac:dyDescent="0.35">
      <c r="B13" s="40" t="s">
        <v>2143</v>
      </c>
    </row>
    <row r="14" spans="2:3" x14ac:dyDescent="0.35">
      <c r="B14" s="685" t="s">
        <v>3305</v>
      </c>
    </row>
    <row r="15" spans="2:3" x14ac:dyDescent="0.35">
      <c r="B15" s="685" t="s">
        <v>3306</v>
      </c>
    </row>
    <row r="16" spans="2:3" x14ac:dyDescent="0.35">
      <c r="B16" s="685" t="s">
        <v>3307</v>
      </c>
    </row>
    <row r="17" spans="2:2" x14ac:dyDescent="0.35">
      <c r="B17" s="685" t="s">
        <v>3308</v>
      </c>
    </row>
    <row r="18" spans="2:2" x14ac:dyDescent="0.35">
      <c r="B18" s="685" t="s">
        <v>3309</v>
      </c>
    </row>
    <row r="19" spans="2:2" ht="5.25" customHeight="1" x14ac:dyDescent="0.35"/>
    <row r="20" spans="2:2" x14ac:dyDescent="0.35">
      <c r="B20" s="40" t="s">
        <v>3310</v>
      </c>
    </row>
    <row r="21" spans="2:2" ht="12.75" customHeight="1" x14ac:dyDescent="0.35">
      <c r="B21" s="685" t="s">
        <v>642</v>
      </c>
    </row>
    <row r="22" spans="2:2" ht="12.75" customHeight="1" x14ac:dyDescent="0.35">
      <c r="B22" s="685" t="s">
        <v>3400</v>
      </c>
    </row>
    <row r="23" spans="2:2" ht="12.75" customHeight="1" x14ac:dyDescent="0.35">
      <c r="B23" s="685" t="s">
        <v>1641</v>
      </c>
    </row>
    <row r="24" spans="2:2" ht="12.75" customHeight="1" x14ac:dyDescent="0.35">
      <c r="B24" s="685" t="s">
        <v>2187</v>
      </c>
    </row>
    <row r="25" spans="2:2" ht="12.75" customHeight="1" x14ac:dyDescent="0.35">
      <c r="B25" s="685" t="s">
        <v>1746</v>
      </c>
    </row>
    <row r="26" spans="2:2" ht="12.75" customHeight="1" x14ac:dyDescent="0.35">
      <c r="B26" s="685"/>
    </row>
    <row r="27" spans="2:2" ht="12.75" customHeight="1" x14ac:dyDescent="0.35">
      <c r="B27" s="94" t="s">
        <v>1747</v>
      </c>
    </row>
    <row r="28" spans="2:2" ht="12.75" customHeight="1" x14ac:dyDescent="0.35">
      <c r="B28" s="91" t="s">
        <v>2144</v>
      </c>
    </row>
    <row r="29" spans="2:2" ht="12.75" customHeight="1" x14ac:dyDescent="0.35">
      <c r="B29" s="91" t="s">
        <v>1671</v>
      </c>
    </row>
    <row r="30" spans="2:2" ht="12.75" customHeight="1" x14ac:dyDescent="0.35">
      <c r="B30" s="91" t="s">
        <v>3976</v>
      </c>
    </row>
    <row r="31" spans="2:2" ht="12.75" customHeight="1" x14ac:dyDescent="0.35">
      <c r="B31" s="91" t="s">
        <v>915</v>
      </c>
    </row>
    <row r="32" spans="2:2" ht="12.75" customHeight="1" x14ac:dyDescent="0.35">
      <c r="B32" s="91" t="s">
        <v>916</v>
      </c>
    </row>
    <row r="33" spans="2:5" ht="12.75" customHeight="1" x14ac:dyDescent="0.35">
      <c r="B33" s="91" t="s">
        <v>1403</v>
      </c>
    </row>
    <row r="34" spans="2:5" ht="12.75" customHeight="1" x14ac:dyDescent="0.35">
      <c r="B34" s="687"/>
    </row>
    <row r="35" spans="2:5" x14ac:dyDescent="0.35">
      <c r="B35" s="137" t="s">
        <v>1404</v>
      </c>
    </row>
    <row r="36" spans="2:5" x14ac:dyDescent="0.35">
      <c r="B36" s="40" t="s">
        <v>1405</v>
      </c>
    </row>
    <row r="37" spans="2:5" x14ac:dyDescent="0.35">
      <c r="B37" s="40" t="s">
        <v>2917</v>
      </c>
    </row>
    <row r="38" spans="2:5" x14ac:dyDescent="0.35">
      <c r="B38" s="40" t="s">
        <v>3860</v>
      </c>
    </row>
    <row r="39" spans="2:5" ht="6.75" customHeight="1" x14ac:dyDescent="0.35"/>
    <row r="40" spans="2:5" x14ac:dyDescent="0.35">
      <c r="B40" s="1288" t="s">
        <v>3861</v>
      </c>
      <c r="C40" s="1289" t="s">
        <v>712</v>
      </c>
      <c r="D40" s="1288" t="s">
        <v>713</v>
      </c>
      <c r="E40" s="1288" t="s">
        <v>714</v>
      </c>
    </row>
    <row r="41" spans="2:5" x14ac:dyDescent="0.35">
      <c r="B41" s="1286" t="s">
        <v>4006</v>
      </c>
      <c r="C41" s="1287" t="s">
        <v>715</v>
      </c>
      <c r="D41" s="1286">
        <v>15</v>
      </c>
      <c r="E41" s="1286" t="s">
        <v>1113</v>
      </c>
    </row>
    <row r="42" spans="2:5" x14ac:dyDescent="0.35">
      <c r="B42" s="1286" t="s">
        <v>4005</v>
      </c>
      <c r="C42" s="1287" t="s">
        <v>1864</v>
      </c>
      <c r="D42" s="1290">
        <v>11</v>
      </c>
      <c r="E42" s="1286" t="s">
        <v>1113</v>
      </c>
    </row>
    <row r="43" spans="2:5" x14ac:dyDescent="0.35">
      <c r="B43" s="1286" t="s">
        <v>4004</v>
      </c>
      <c r="C43" s="1287" t="s">
        <v>2504</v>
      </c>
      <c r="D43" s="1286">
        <v>6</v>
      </c>
      <c r="E43" s="1286" t="s">
        <v>1113</v>
      </c>
    </row>
    <row r="44" spans="2:5" x14ac:dyDescent="0.35">
      <c r="B44" s="1286" t="s">
        <v>4003</v>
      </c>
      <c r="C44" s="1287" t="s">
        <v>2980</v>
      </c>
      <c r="D44" s="1286">
        <v>7</v>
      </c>
      <c r="E44" s="1286" t="s">
        <v>1113</v>
      </c>
    </row>
    <row r="45" spans="2:5" x14ac:dyDescent="0.35">
      <c r="B45" s="1286" t="s">
        <v>4002</v>
      </c>
      <c r="C45" s="1287" t="s">
        <v>4263</v>
      </c>
      <c r="D45" s="1290">
        <v>8</v>
      </c>
      <c r="E45" s="1286" t="s">
        <v>1113</v>
      </c>
    </row>
    <row r="46" spans="2:5" x14ac:dyDescent="0.35">
      <c r="B46" s="1286" t="s">
        <v>4183</v>
      </c>
      <c r="C46" s="1287" t="s">
        <v>4264</v>
      </c>
      <c r="D46" s="1286">
        <v>2</v>
      </c>
      <c r="E46" s="1286" t="s">
        <v>1113</v>
      </c>
    </row>
    <row r="47" spans="2:5" x14ac:dyDescent="0.35">
      <c r="B47" s="1286" t="s">
        <v>3031</v>
      </c>
      <c r="C47" s="1287" t="s">
        <v>3816</v>
      </c>
      <c r="D47" s="1286">
        <v>6</v>
      </c>
      <c r="E47" s="1286" t="s">
        <v>1113</v>
      </c>
    </row>
    <row r="48" spans="2:5" x14ac:dyDescent="0.35">
      <c r="B48" s="1286" t="s">
        <v>3234</v>
      </c>
      <c r="C48" s="1287" t="s">
        <v>1554</v>
      </c>
      <c r="D48" s="1286">
        <v>4</v>
      </c>
      <c r="E48" s="1286" t="s">
        <v>1113</v>
      </c>
    </row>
    <row r="49" spans="2:5" x14ac:dyDescent="0.35">
      <c r="B49" s="1290" t="s">
        <v>4563</v>
      </c>
      <c r="C49" s="1253" t="s">
        <v>4564</v>
      </c>
      <c r="D49" s="1290">
        <v>4</v>
      </c>
      <c r="E49" s="1290" t="s">
        <v>1113</v>
      </c>
    </row>
    <row r="50" spans="2:5" x14ac:dyDescent="0.35">
      <c r="B50" s="1286" t="s">
        <v>4285</v>
      </c>
      <c r="C50" s="1287" t="s">
        <v>3819</v>
      </c>
      <c r="D50" s="1286">
        <v>3</v>
      </c>
      <c r="E50" s="1286" t="s">
        <v>1114</v>
      </c>
    </row>
    <row r="51" spans="2:5" x14ac:dyDescent="0.35">
      <c r="B51" s="1286" t="s">
        <v>4286</v>
      </c>
      <c r="C51" s="1287" t="s">
        <v>3820</v>
      </c>
      <c r="D51" s="1286">
        <v>9</v>
      </c>
      <c r="E51" s="1286" t="s">
        <v>1114</v>
      </c>
    </row>
    <row r="52" spans="2:5" x14ac:dyDescent="0.35">
      <c r="B52" s="1286" t="s">
        <v>4287</v>
      </c>
      <c r="C52" s="1287" t="s">
        <v>3727</v>
      </c>
      <c r="D52" s="1286">
        <v>5</v>
      </c>
      <c r="E52" s="1286" t="s">
        <v>1114</v>
      </c>
    </row>
    <row r="53" spans="2:5" x14ac:dyDescent="0.35">
      <c r="B53" s="1286" t="s">
        <v>2208</v>
      </c>
      <c r="C53" s="1287" t="s">
        <v>3956</v>
      </c>
      <c r="D53" s="1286">
        <v>3</v>
      </c>
      <c r="E53" s="1286" t="s">
        <v>1114</v>
      </c>
    </row>
    <row r="54" spans="2:5" x14ac:dyDescent="0.35">
      <c r="B54" s="1286" t="s">
        <v>2209</v>
      </c>
      <c r="C54" s="1287" t="s">
        <v>655</v>
      </c>
      <c r="D54" s="1286">
        <v>3</v>
      </c>
      <c r="E54" s="1286" t="s">
        <v>1114</v>
      </c>
    </row>
    <row r="55" spans="2:5" x14ac:dyDescent="0.35">
      <c r="B55" s="1286" t="s">
        <v>2210</v>
      </c>
      <c r="C55" s="1287" t="s">
        <v>3733</v>
      </c>
      <c r="D55" s="1290">
        <v>4</v>
      </c>
      <c r="E55" s="1286" t="s">
        <v>1114</v>
      </c>
    </row>
    <row r="56" spans="2:5" x14ac:dyDescent="0.35">
      <c r="B56" s="1286" t="s">
        <v>4112</v>
      </c>
      <c r="C56" s="1287" t="s">
        <v>656</v>
      </c>
      <c r="D56" s="1290">
        <v>10</v>
      </c>
      <c r="E56" s="1286" t="s">
        <v>1114</v>
      </c>
    </row>
    <row r="57" spans="2:5" x14ac:dyDescent="0.35">
      <c r="B57" s="1286" t="s">
        <v>627</v>
      </c>
      <c r="C57" s="1287" t="s">
        <v>2525</v>
      </c>
      <c r="D57" s="1286">
        <v>9</v>
      </c>
      <c r="E57" s="1286" t="s">
        <v>1114</v>
      </c>
    </row>
    <row r="58" spans="2:5" x14ac:dyDescent="0.35">
      <c r="B58" s="1286" t="s">
        <v>4114</v>
      </c>
      <c r="C58" s="1287" t="s">
        <v>2526</v>
      </c>
      <c r="D58" s="1290">
        <v>11</v>
      </c>
      <c r="E58" s="1286" t="s">
        <v>1114</v>
      </c>
    </row>
    <row r="59" spans="2:5" x14ac:dyDescent="0.35">
      <c r="B59" s="1286" t="s">
        <v>4043</v>
      </c>
      <c r="C59" s="1287" t="s">
        <v>2183</v>
      </c>
      <c r="D59" s="1290">
        <v>11</v>
      </c>
      <c r="E59" s="1286" t="s">
        <v>3100</v>
      </c>
    </row>
    <row r="60" spans="2:5" x14ac:dyDescent="0.35">
      <c r="B60" s="1286" t="s">
        <v>2184</v>
      </c>
      <c r="C60" s="1287" t="s">
        <v>2527</v>
      </c>
      <c r="D60" s="1291">
        <v>6</v>
      </c>
      <c r="E60" s="1286" t="s">
        <v>3100</v>
      </c>
    </row>
    <row r="61" spans="2:5" x14ac:dyDescent="0.35">
      <c r="B61" s="1286" t="s">
        <v>2185</v>
      </c>
      <c r="C61" s="1287" t="s">
        <v>3421</v>
      </c>
      <c r="D61" s="1290">
        <v>8</v>
      </c>
      <c r="E61" s="1286" t="s">
        <v>3101</v>
      </c>
    </row>
    <row r="62" spans="2:5" x14ac:dyDescent="0.35">
      <c r="B62" s="1286" t="s">
        <v>3925</v>
      </c>
      <c r="C62" s="1287" t="s">
        <v>2945</v>
      </c>
      <c r="D62" s="1291">
        <v>9</v>
      </c>
      <c r="E62" s="1286" t="s">
        <v>3101</v>
      </c>
    </row>
    <row r="63" spans="2:5" x14ac:dyDescent="0.35">
      <c r="B63" s="1286" t="s">
        <v>3927</v>
      </c>
      <c r="C63" s="1287" t="s">
        <v>1178</v>
      </c>
      <c r="D63" s="1291">
        <v>7</v>
      </c>
      <c r="E63" s="1286" t="s">
        <v>3101</v>
      </c>
    </row>
    <row r="64" spans="2:5" x14ac:dyDescent="0.35">
      <c r="B64" s="1286" t="s">
        <v>2385</v>
      </c>
      <c r="C64" s="1287" t="s">
        <v>1179</v>
      </c>
      <c r="D64" s="1291">
        <v>6</v>
      </c>
      <c r="E64" s="1286" t="s">
        <v>1962</v>
      </c>
    </row>
    <row r="65" spans="2:5" x14ac:dyDescent="0.35">
      <c r="B65" s="1286" t="s">
        <v>3564</v>
      </c>
      <c r="C65" s="1287" t="s">
        <v>2594</v>
      </c>
      <c r="D65" s="1290">
        <v>8</v>
      </c>
      <c r="E65" s="1286" t="s">
        <v>1962</v>
      </c>
    </row>
    <row r="66" spans="2:5" x14ac:dyDescent="0.35">
      <c r="B66" s="1286" t="s">
        <v>3566</v>
      </c>
      <c r="C66" s="1287" t="s">
        <v>2595</v>
      </c>
      <c r="D66" s="1290">
        <v>10</v>
      </c>
      <c r="E66" s="1286" t="s">
        <v>2194</v>
      </c>
    </row>
    <row r="67" spans="2:5" x14ac:dyDescent="0.35">
      <c r="B67" s="1286" t="s">
        <v>3567</v>
      </c>
      <c r="C67" s="1287" t="str">
        <f>"Foreign income (excluding Foreign Tax Credit Relief  - box "&amp;[3]C6!C3&amp;")"</f>
        <v>Foreign income (excluding Foreign Tax Credit Relief  - box FOR2)</v>
      </c>
      <c r="D67" s="1290">
        <v>8</v>
      </c>
      <c r="E67" s="1286" t="s">
        <v>3102</v>
      </c>
    </row>
    <row r="68" spans="2:5" x14ac:dyDescent="0.35">
      <c r="B68" s="1286" t="s">
        <v>3568</v>
      </c>
      <c r="C68" s="1287" t="s">
        <v>1366</v>
      </c>
      <c r="D68" s="1286">
        <v>4</v>
      </c>
      <c r="E68" s="1286" t="s">
        <v>3103</v>
      </c>
    </row>
    <row r="69" spans="2:5" x14ac:dyDescent="0.35">
      <c r="B69" s="1286" t="s">
        <v>2951</v>
      </c>
      <c r="C69" s="1287" t="s">
        <v>2596</v>
      </c>
      <c r="D69" s="1290">
        <v>9</v>
      </c>
      <c r="E69" s="1286" t="s">
        <v>2597</v>
      </c>
    </row>
    <row r="70" spans="2:5" x14ac:dyDescent="0.35">
      <c r="B70" s="1286" t="s">
        <v>3569</v>
      </c>
      <c r="C70" s="1287" t="s">
        <v>2964</v>
      </c>
      <c r="D70" s="1290">
        <v>10</v>
      </c>
      <c r="E70" s="1286" t="s">
        <v>2598</v>
      </c>
    </row>
    <row r="71" spans="2:5" x14ac:dyDescent="0.35">
      <c r="B71" s="1316" t="s">
        <v>579</v>
      </c>
      <c r="C71" s="1317" t="s">
        <v>4161</v>
      </c>
      <c r="D71" s="1316">
        <v>18</v>
      </c>
      <c r="E71" s="1316" t="s">
        <v>4160</v>
      </c>
    </row>
    <row r="72" spans="2:5" x14ac:dyDescent="0.35">
      <c r="B72" s="1316" t="s">
        <v>4955</v>
      </c>
      <c r="C72" s="1317" t="s">
        <v>4957</v>
      </c>
      <c r="D72" s="1316">
        <v>2</v>
      </c>
      <c r="E72" s="1316" t="s">
        <v>4160</v>
      </c>
    </row>
    <row r="73" spans="2:5" ht="12" customHeight="1" x14ac:dyDescent="0.35">
      <c r="B73" s="1316" t="s">
        <v>4956</v>
      </c>
      <c r="C73" s="1317" t="s">
        <v>4958</v>
      </c>
      <c r="D73" s="1316">
        <v>2</v>
      </c>
      <c r="E73" s="1316" t="s">
        <v>4160</v>
      </c>
    </row>
    <row r="74" spans="2:5" ht="12" customHeight="1" x14ac:dyDescent="0.35"/>
    <row r="75" spans="2:5" x14ac:dyDescent="0.35">
      <c r="B75" s="40" t="s">
        <v>2521</v>
      </c>
    </row>
    <row r="76" spans="2:5" x14ac:dyDescent="0.35">
      <c r="B76" s="40" t="s">
        <v>960</v>
      </c>
    </row>
    <row r="77" spans="2:5" x14ac:dyDescent="0.35">
      <c r="B77" s="40" t="s">
        <v>1983</v>
      </c>
    </row>
    <row r="78" spans="2:5" x14ac:dyDescent="0.35">
      <c r="B78" s="40" t="s">
        <v>1865</v>
      </c>
    </row>
    <row r="79" spans="2:5" x14ac:dyDescent="0.35">
      <c r="B79" s="40" t="s">
        <v>3621</v>
      </c>
    </row>
    <row r="80" spans="2:5" x14ac:dyDescent="0.35">
      <c r="B80" s="40" t="s">
        <v>4299</v>
      </c>
    </row>
    <row r="81" spans="2:2" x14ac:dyDescent="0.35">
      <c r="B81" s="40" t="s">
        <v>1172</v>
      </c>
    </row>
    <row r="82" spans="2:2" x14ac:dyDescent="0.35">
      <c r="B82" s="40" t="s">
        <v>2941</v>
      </c>
    </row>
    <row r="83" spans="2:2" x14ac:dyDescent="0.35">
      <c r="B83" s="40" t="s">
        <v>2942</v>
      </c>
    </row>
    <row r="84" spans="2:2" x14ac:dyDescent="0.35">
      <c r="B84" s="40" t="s">
        <v>2943</v>
      </c>
    </row>
    <row r="86" spans="2:2" x14ac:dyDescent="0.35">
      <c r="B86" s="137" t="s">
        <v>2970</v>
      </c>
    </row>
    <row r="87" spans="2:2" x14ac:dyDescent="0.35">
      <c r="B87" s="40" t="str">
        <f>'Add pages'!F2&amp;" of the "&amp;tax_year&amp;" test case generator has a built in database of "&amp;Last_row-1&amp;" test cases."</f>
        <v>Version E1.10.3 of the 2017-18 test case generator has a built in database of 221 test cases.</v>
      </c>
    </row>
    <row r="88" spans="2:2" x14ac:dyDescent="0.35">
      <c r="B88" s="40" t="s">
        <v>2948</v>
      </c>
    </row>
    <row r="89" spans="2:2" x14ac:dyDescent="0.35">
      <c r="B89" s="40" t="s">
        <v>3771</v>
      </c>
    </row>
    <row r="90" spans="2:2" x14ac:dyDescent="0.35">
      <c r="B90" s="687" t="s">
        <v>2494</v>
      </c>
    </row>
    <row r="91" spans="2:2" x14ac:dyDescent="0.35">
      <c r="B91" s="40" t="s">
        <v>1392</v>
      </c>
    </row>
    <row r="92" spans="2:2" ht="12.75" customHeight="1" x14ac:dyDescent="0.35">
      <c r="B92" s="40" t="s">
        <v>2187</v>
      </c>
    </row>
    <row r="93" spans="2:2" ht="12.75" customHeight="1" x14ac:dyDescent="0.35">
      <c r="B93" s="40" t="s">
        <v>1746</v>
      </c>
    </row>
    <row r="94" spans="2:2" x14ac:dyDescent="0.35">
      <c r="B94" s="40" t="s">
        <v>2278</v>
      </c>
    </row>
    <row r="96" spans="2:2" x14ac:dyDescent="0.35">
      <c r="B96" s="137" t="s">
        <v>3625</v>
      </c>
    </row>
    <row r="97" spans="2:3" x14ac:dyDescent="0.35">
      <c r="B97" s="40" t="s">
        <v>2805</v>
      </c>
    </row>
    <row r="98" spans="2:3" x14ac:dyDescent="0.35">
      <c r="B98" s="40" t="s">
        <v>2522</v>
      </c>
    </row>
    <row r="99" spans="2:3" x14ac:dyDescent="0.35">
      <c r="B99" s="40" t="s">
        <v>4111</v>
      </c>
    </row>
    <row r="100" spans="2:3" x14ac:dyDescent="0.35">
      <c r="C100" s="40" t="s">
        <v>3282</v>
      </c>
    </row>
    <row r="101" spans="2:3" x14ac:dyDescent="0.35">
      <c r="C101" s="40" t="s">
        <v>3283</v>
      </c>
    </row>
    <row r="102" spans="2:3" x14ac:dyDescent="0.35">
      <c r="C102" s="40" t="s">
        <v>2231</v>
      </c>
    </row>
    <row r="103" spans="2:3" x14ac:dyDescent="0.35">
      <c r="C103" s="40" t="s">
        <v>2441</v>
      </c>
    </row>
    <row r="104" spans="2:3" ht="6" customHeight="1" x14ac:dyDescent="0.35"/>
    <row r="105" spans="2:3" x14ac:dyDescent="0.35">
      <c r="B105" s="40" t="s">
        <v>2442</v>
      </c>
    </row>
    <row r="106" spans="2:3" x14ac:dyDescent="0.35">
      <c r="B106" s="40" t="s">
        <v>2282</v>
      </c>
    </row>
    <row r="107" spans="2:3" x14ac:dyDescent="0.35">
      <c r="B107" s="40" t="s">
        <v>2283</v>
      </c>
    </row>
    <row r="108" spans="2:3" x14ac:dyDescent="0.35">
      <c r="B108" s="93" t="s">
        <v>3903</v>
      </c>
    </row>
    <row r="109" spans="2:3" x14ac:dyDescent="0.35">
      <c r="B109" s="93" t="s">
        <v>3904</v>
      </c>
    </row>
    <row r="111" spans="2:3" x14ac:dyDescent="0.35">
      <c r="B111" s="137" t="s">
        <v>3905</v>
      </c>
    </row>
    <row r="112" spans="2:3" x14ac:dyDescent="0.35">
      <c r="B112" s="40" t="s">
        <v>2448</v>
      </c>
    </row>
    <row r="113" spans="2:2" x14ac:dyDescent="0.35">
      <c r="B113" s="40" t="s">
        <v>2449</v>
      </c>
    </row>
    <row r="114" spans="2:2" x14ac:dyDescent="0.35">
      <c r="B114" s="40" t="s">
        <v>1409</v>
      </c>
    </row>
    <row r="115" spans="2:2" x14ac:dyDescent="0.35">
      <c r="B115" s="40" t="s">
        <v>1410</v>
      </c>
    </row>
    <row r="116" spans="2:2" x14ac:dyDescent="0.35">
      <c r="B116" s="93" t="s">
        <v>3962</v>
      </c>
    </row>
    <row r="117" spans="2:2" x14ac:dyDescent="0.35">
      <c r="B117" s="93" t="s">
        <v>3219</v>
      </c>
    </row>
    <row r="118" spans="2:2" x14ac:dyDescent="0.35">
      <c r="B118" s="93" t="s">
        <v>1133</v>
      </c>
    </row>
    <row r="119" spans="2:2" x14ac:dyDescent="0.35">
      <c r="B119" s="688" t="s">
        <v>1972</v>
      </c>
    </row>
    <row r="121" spans="2:2" x14ac:dyDescent="0.35">
      <c r="B121" s="137" t="s">
        <v>3376</v>
      </c>
    </row>
    <row r="122" spans="2:2" ht="12" customHeight="1" x14ac:dyDescent="0.35">
      <c r="B122" s="40" t="s">
        <v>1728</v>
      </c>
    </row>
    <row r="123" spans="2:2" ht="12" customHeight="1" x14ac:dyDescent="0.35"/>
    <row r="124" spans="2:2" x14ac:dyDescent="0.35">
      <c r="B124" s="40" t="s">
        <v>847</v>
      </c>
    </row>
    <row r="126" spans="2:2" x14ac:dyDescent="0.35">
      <c r="B126" s="40" t="s">
        <v>1853</v>
      </c>
    </row>
    <row r="128" spans="2:2" x14ac:dyDescent="0.35">
      <c r="B128" s="40" t="s">
        <v>3417</v>
      </c>
    </row>
    <row r="129" spans="2:3" x14ac:dyDescent="0.35">
      <c r="C129" s="40" t="s">
        <v>3418</v>
      </c>
    </row>
    <row r="130" spans="2:3" x14ac:dyDescent="0.35">
      <c r="C130" s="40" t="s">
        <v>3419</v>
      </c>
    </row>
    <row r="132" spans="2:3" x14ac:dyDescent="0.35">
      <c r="B132" s="40" t="s">
        <v>1054</v>
      </c>
    </row>
    <row r="134" spans="2:3" x14ac:dyDescent="0.35">
      <c r="B134" s="40" t="s">
        <v>586</v>
      </c>
    </row>
    <row r="136" spans="2:3" x14ac:dyDescent="0.35">
      <c r="B136" s="40" t="s">
        <v>1053</v>
      </c>
    </row>
    <row r="138" spans="2:3" x14ac:dyDescent="0.35">
      <c r="B138" s="40" t="s">
        <v>1499</v>
      </c>
    </row>
    <row r="139" spans="2:3" x14ac:dyDescent="0.35">
      <c r="B139" s="40" t="s">
        <v>998</v>
      </c>
    </row>
    <row r="141" spans="2:3" x14ac:dyDescent="0.35">
      <c r="B141" s="137" t="s">
        <v>999</v>
      </c>
    </row>
    <row r="142" spans="2:3" x14ac:dyDescent="0.35">
      <c r="B142" s="40" t="s">
        <v>2235</v>
      </c>
    </row>
    <row r="143" spans="2:3" x14ac:dyDescent="0.35">
      <c r="B143" s="685" t="s">
        <v>5363</v>
      </c>
    </row>
    <row r="144" spans="2:3" x14ac:dyDescent="0.35">
      <c r="B144" s="685" t="s">
        <v>4262</v>
      </c>
    </row>
    <row r="145" spans="2:2" x14ac:dyDescent="0.35">
      <c r="B145" s="40" t="s">
        <v>5362</v>
      </c>
    </row>
    <row r="146" spans="2:2" x14ac:dyDescent="0.35">
      <c r="B146" s="685" t="s">
        <v>3739</v>
      </c>
    </row>
    <row r="147" spans="2:2" x14ac:dyDescent="0.35">
      <c r="B147" s="91" t="s">
        <v>3740</v>
      </c>
    </row>
    <row r="149" spans="2:2" x14ac:dyDescent="0.35">
      <c r="B149" s="137" t="s">
        <v>789</v>
      </c>
    </row>
    <row r="150" spans="2:2" x14ac:dyDescent="0.35">
      <c r="B150" s="40" t="s">
        <v>5364</v>
      </c>
    </row>
    <row r="151" spans="2:2" x14ac:dyDescent="0.35">
      <c r="B151" s="40" t="s">
        <v>1535</v>
      </c>
    </row>
    <row r="153" spans="2:2" ht="17.649999999999999" x14ac:dyDescent="0.35">
      <c r="B153" s="1241" t="s">
        <v>4827</v>
      </c>
    </row>
    <row r="154" spans="2:2" ht="12.75" x14ac:dyDescent="0.35">
      <c r="B154"/>
    </row>
    <row r="155" spans="2:2" ht="15" x14ac:dyDescent="0.4">
      <c r="B155" s="1239" t="s">
        <v>6552</v>
      </c>
    </row>
    <row r="156" spans="2:2" ht="15" x14ac:dyDescent="0.4">
      <c r="B156" s="1239" t="s">
        <v>6553</v>
      </c>
    </row>
    <row r="157" spans="2:2" ht="15" x14ac:dyDescent="0.4">
      <c r="B157" s="1239" t="s">
        <v>6554</v>
      </c>
    </row>
    <row r="158" spans="2:2" ht="15" x14ac:dyDescent="0.4">
      <c r="B158" s="1239"/>
    </row>
    <row r="159" spans="2:2" ht="15" x14ac:dyDescent="0.4">
      <c r="B159" s="1239"/>
    </row>
    <row r="160" spans="2:2" ht="15" x14ac:dyDescent="0.4">
      <c r="B160" s="1239"/>
    </row>
    <row r="186" spans="2:2" ht="15" x14ac:dyDescent="0.4">
      <c r="B186" s="1239" t="s">
        <v>6555</v>
      </c>
    </row>
    <row r="194" spans="2:2" ht="15" x14ac:dyDescent="0.4">
      <c r="B194" s="1239"/>
    </row>
    <row r="219" spans="2:2" ht="15" x14ac:dyDescent="0.4">
      <c r="B219" s="1239" t="s">
        <v>6556</v>
      </c>
    </row>
    <row r="250" spans="2:2" ht="15" x14ac:dyDescent="0.4">
      <c r="B250" s="1198" t="s">
        <v>4944</v>
      </c>
    </row>
    <row r="251" spans="2:2" x14ac:dyDescent="0.35">
      <c r="B251" s="40" t="s">
        <v>7462</v>
      </c>
    </row>
    <row r="253" spans="2:2" x14ac:dyDescent="0.35">
      <c r="B253" s="40" t="s">
        <v>7463</v>
      </c>
    </row>
    <row r="255" spans="2:2" x14ac:dyDescent="0.35">
      <c r="B255" s="137" t="s">
        <v>4604</v>
      </c>
    </row>
    <row r="256" spans="2:2" x14ac:dyDescent="0.35">
      <c r="B256" s="40" t="s">
        <v>7464</v>
      </c>
    </row>
    <row r="257" spans="2:2" x14ac:dyDescent="0.35">
      <c r="B257" s="40" t="s">
        <v>7465</v>
      </c>
    </row>
    <row r="258" spans="2:2" x14ac:dyDescent="0.35">
      <c r="B258" s="40" t="s">
        <v>7466</v>
      </c>
    </row>
    <row r="259" spans="2:2" x14ac:dyDescent="0.35">
      <c r="B259" s="40" t="s">
        <v>7467</v>
      </c>
    </row>
    <row r="260" spans="2:2" x14ac:dyDescent="0.35">
      <c r="B260" s="137"/>
    </row>
    <row r="261" spans="2:2" x14ac:dyDescent="0.35">
      <c r="B261" s="137" t="s">
        <v>4323</v>
      </c>
    </row>
    <row r="262" spans="2:2" x14ac:dyDescent="0.35">
      <c r="B262" s="40" t="s">
        <v>7468</v>
      </c>
    </row>
    <row r="263" spans="2:2" x14ac:dyDescent="0.35">
      <c r="B263" s="40" t="s">
        <v>7469</v>
      </c>
    </row>
    <row r="264" spans="2:2" x14ac:dyDescent="0.35">
      <c r="B264" s="40" t="s">
        <v>7470</v>
      </c>
    </row>
    <row r="265" spans="2:2" x14ac:dyDescent="0.35">
      <c r="B265" s="40" t="s">
        <v>7471</v>
      </c>
    </row>
    <row r="266" spans="2:2" x14ac:dyDescent="0.35">
      <c r="B266" s="40" t="s">
        <v>7472</v>
      </c>
    </row>
    <row r="267" spans="2:2" x14ac:dyDescent="0.35">
      <c r="B267" s="40" t="s">
        <v>7473</v>
      </c>
    </row>
    <row r="268" spans="2:2" x14ac:dyDescent="0.35">
      <c r="B268" s="40" t="s">
        <v>7474</v>
      </c>
    </row>
    <row r="269" spans="2:2" x14ac:dyDescent="0.35">
      <c r="B269" s="40" t="s">
        <v>7475</v>
      </c>
    </row>
    <row r="270" spans="2:2" x14ac:dyDescent="0.35">
      <c r="B270" s="40" t="s">
        <v>7476</v>
      </c>
    </row>
    <row r="271" spans="2:2" x14ac:dyDescent="0.35">
      <c r="B271" s="40" t="s">
        <v>7477</v>
      </c>
    </row>
    <row r="273" spans="2:2" x14ac:dyDescent="0.35">
      <c r="B273" s="137" t="s">
        <v>7478</v>
      </c>
    </row>
    <row r="275" spans="2:2" x14ac:dyDescent="0.35">
      <c r="B275" s="40" t="s">
        <v>7479</v>
      </c>
    </row>
    <row r="277" spans="2:2" x14ac:dyDescent="0.35">
      <c r="B277" s="40" t="str">
        <f>NI!C19&amp;" and/or "&amp;NI!C22&amp;". Earnings from PT to UAP - These are earnings that appear in the column from PT to UAP on the P60 (this was Column 1c up to 2015-16)."</f>
        <v>EMPCL1 and/or EMP PT. Earnings from PT to UAP - These are earnings that appear in the column from PT to UAP on the P60 (this was Column 1c up to 2015-16).</v>
      </c>
    </row>
    <row r="278" spans="2:2" x14ac:dyDescent="0.35">
      <c r="B278" s="40" t="str">
        <f>NI!C26&amp;" and/or "&amp;NI!C29&amp;". Earnings from UAP to UEL - These are earnings that appear in the column from UAP to UEL on the P60 (this was Column 1d up to 2015-16)."</f>
        <v>MORCL1 and/or MOR PT. Earnings from UAP to UEL - These are earnings that appear in the column from UAP to UEL on the P60 (this was Column 1d up to 2015-16).</v>
      </c>
    </row>
    <row r="280" spans="2:2" x14ac:dyDescent="0.35">
      <c r="B280" s="40" t="s">
        <v>7480</v>
      </c>
    </row>
    <row r="281" spans="2:2" x14ac:dyDescent="0.35">
      <c r="B281" s="40" t="s">
        <v>7481</v>
      </c>
    </row>
    <row r="283" spans="2:2" x14ac:dyDescent="0.35">
      <c r="B283" s="137" t="s">
        <v>7482</v>
      </c>
    </row>
    <row r="284" spans="2:2" x14ac:dyDescent="0.35">
      <c r="B284" s="40" t="str">
        <f>"Enter the amounts in the "&amp;NI!C19&amp;"/"&amp;NI!C22&amp;" and/or "&amp;NI!C26&amp;"/"&amp;NI!C29&amp;" boxes."</f>
        <v>Enter the amounts in the EMPCL1/EMP PT and/or MORCL1/MOR PT boxes.</v>
      </c>
    </row>
    <row r="314" spans="2:2" ht="15" x14ac:dyDescent="0.4">
      <c r="B314" s="1239" t="s">
        <v>6557</v>
      </c>
    </row>
    <row r="346" spans="2:2" ht="15" x14ac:dyDescent="0.4">
      <c r="B346" s="1239" t="s">
        <v>6558</v>
      </c>
    </row>
    <row r="386" spans="2:2" ht="15.4" x14ac:dyDescent="0.45">
      <c r="B386" s="1240" t="s">
        <v>4833</v>
      </c>
    </row>
    <row r="387" spans="2:2" ht="15.4" x14ac:dyDescent="0.45">
      <c r="B387" s="1240" t="s">
        <v>4834</v>
      </c>
    </row>
    <row r="389" spans="2:2" ht="15" x14ac:dyDescent="0.4">
      <c r="B389" s="1242" t="s">
        <v>4828</v>
      </c>
    </row>
    <row r="390" spans="2:2" ht="15" x14ac:dyDescent="0.4">
      <c r="B390" s="1198" t="s">
        <v>4564</v>
      </c>
    </row>
    <row r="391" spans="2:2" ht="15" x14ac:dyDescent="0.4">
      <c r="B391" s="1239" t="s">
        <v>4829</v>
      </c>
    </row>
    <row r="392" spans="2:2" ht="15" x14ac:dyDescent="0.4">
      <c r="B392" s="1239" t="s">
        <v>4830</v>
      </c>
    </row>
    <row r="393" spans="2:2" ht="15" x14ac:dyDescent="0.4">
      <c r="B393" s="1239" t="s">
        <v>4831</v>
      </c>
    </row>
    <row r="394" spans="2:2" ht="15" x14ac:dyDescent="0.4">
      <c r="B394" s="1239" t="s">
        <v>4832</v>
      </c>
    </row>
    <row r="395" spans="2:2" ht="15" x14ac:dyDescent="0.4">
      <c r="B395" s="1239" t="s">
        <v>4996</v>
      </c>
    </row>
    <row r="419" spans="2:2" ht="15" x14ac:dyDescent="0.4">
      <c r="B419" s="1198" t="s">
        <v>5370</v>
      </c>
    </row>
    <row r="420" spans="2:2" ht="15" x14ac:dyDescent="0.4">
      <c r="B420" s="1363" t="s">
        <v>5371</v>
      </c>
    </row>
    <row r="421" spans="2:2" ht="15" x14ac:dyDescent="0.4">
      <c r="B421" s="1363" t="s">
        <v>5372</v>
      </c>
    </row>
    <row r="422" spans="2:2" ht="15" x14ac:dyDescent="0.4">
      <c r="B422" s="1363"/>
    </row>
    <row r="423" spans="2:2" ht="15" x14ac:dyDescent="0.4">
      <c r="B423" s="1363"/>
    </row>
    <row r="424" spans="2:2" ht="15" x14ac:dyDescent="0.4">
      <c r="B424" s="1239"/>
    </row>
    <row r="425" spans="2:2" ht="15" x14ac:dyDescent="0.4">
      <c r="B425" s="1239"/>
    </row>
    <row r="426" spans="2:2" ht="15" x14ac:dyDescent="0.4">
      <c r="B426" s="1239"/>
    </row>
    <row r="427" spans="2:2" ht="15" x14ac:dyDescent="0.4">
      <c r="B427" s="1239"/>
    </row>
    <row r="428" spans="2:2" ht="15" x14ac:dyDescent="0.4">
      <c r="B428" s="1239"/>
    </row>
    <row r="429" spans="2:2" ht="15" x14ac:dyDescent="0.4">
      <c r="B429" s="1239"/>
    </row>
    <row r="430" spans="2:2" ht="15" x14ac:dyDescent="0.4">
      <c r="B430" s="1239"/>
    </row>
    <row r="431" spans="2:2" ht="15" x14ac:dyDescent="0.4">
      <c r="B431" s="1239"/>
    </row>
    <row r="432" spans="2:2" ht="15" x14ac:dyDescent="0.4">
      <c r="B432" s="1239"/>
    </row>
    <row r="433" spans="2:7" ht="15" x14ac:dyDescent="0.4">
      <c r="B433" s="1239"/>
    </row>
    <row r="434" spans="2:7" ht="15" x14ac:dyDescent="0.4">
      <c r="B434" s="1239"/>
    </row>
    <row r="435" spans="2:7" ht="15" x14ac:dyDescent="0.4">
      <c r="B435" s="1239"/>
    </row>
    <row r="436" spans="2:7" ht="15" x14ac:dyDescent="0.4">
      <c r="B436" s="1239"/>
    </row>
    <row r="437" spans="2:7" ht="15" x14ac:dyDescent="0.4">
      <c r="B437" s="1239"/>
    </row>
    <row r="438" spans="2:7" ht="15" x14ac:dyDescent="0.4">
      <c r="B438" s="1239"/>
    </row>
    <row r="439" spans="2:7" ht="15" x14ac:dyDescent="0.4">
      <c r="B439" s="1239"/>
    </row>
    <row r="440" spans="2:7" ht="15" x14ac:dyDescent="0.4">
      <c r="B440" s="1239"/>
    </row>
    <row r="441" spans="2:7" ht="15" x14ac:dyDescent="0.4">
      <c r="B441" s="1198" t="s">
        <v>4835</v>
      </c>
    </row>
    <row r="442" spans="2:7" ht="35.25" customHeight="1" x14ac:dyDescent="0.35">
      <c r="B442" s="3879" t="s">
        <v>4836</v>
      </c>
      <c r="C442" s="3879"/>
      <c r="D442" s="3879"/>
      <c r="E442" s="3879"/>
      <c r="F442" s="3879"/>
      <c r="G442" s="3879"/>
    </row>
    <row r="443" spans="2:7" ht="23.25" customHeight="1" x14ac:dyDescent="0.35">
      <c r="B443" s="3879" t="s">
        <v>4837</v>
      </c>
      <c r="C443" s="3879"/>
      <c r="D443" s="3879"/>
      <c r="E443" s="3879"/>
      <c r="F443" s="3879"/>
      <c r="G443" s="3879"/>
    </row>
    <row r="444" spans="2:7" ht="37.5" customHeight="1" x14ac:dyDescent="0.35">
      <c r="B444" s="3879" t="s">
        <v>4838</v>
      </c>
      <c r="C444" s="3879"/>
      <c r="D444" s="3879"/>
      <c r="E444" s="3879"/>
      <c r="F444" s="3879"/>
      <c r="G444" s="3879"/>
    </row>
    <row r="445" spans="2:7" ht="24.75" customHeight="1" x14ac:dyDescent="0.35">
      <c r="B445" s="3879" t="s">
        <v>4839</v>
      </c>
      <c r="C445" s="3879"/>
      <c r="D445" s="3879"/>
      <c r="E445" s="3879"/>
      <c r="F445" s="3879"/>
      <c r="G445" s="3879"/>
    </row>
    <row r="446" spans="2:7" ht="12" customHeight="1" x14ac:dyDescent="0.35">
      <c r="B446" s="3879" t="s">
        <v>4840</v>
      </c>
      <c r="C446" s="3879"/>
      <c r="D446" s="3879"/>
      <c r="E446" s="3879"/>
      <c r="F446" s="3879"/>
      <c r="G446" s="3879"/>
    </row>
    <row r="448" spans="2:7" ht="15" x14ac:dyDescent="0.4">
      <c r="B448" s="1198" t="s">
        <v>6394</v>
      </c>
    </row>
    <row r="449" spans="2:7" ht="28.5" customHeight="1" x14ac:dyDescent="0.35">
      <c r="B449" s="3880" t="s">
        <v>6395</v>
      </c>
      <c r="C449" s="3881"/>
      <c r="D449" s="3881"/>
      <c r="E449" s="3881"/>
      <c r="F449" s="3881"/>
      <c r="G449" s="3881"/>
    </row>
    <row r="450" spans="2:7" x14ac:dyDescent="0.35">
      <c r="B450" s="40" t="s">
        <v>6401</v>
      </c>
    </row>
    <row r="451" spans="2:7" x14ac:dyDescent="0.35">
      <c r="B451" s="687" t="s">
        <v>6396</v>
      </c>
    </row>
    <row r="452" spans="2:7" ht="27.75" customHeight="1" x14ac:dyDescent="0.35">
      <c r="B452" s="3882" t="s">
        <v>6397</v>
      </c>
      <c r="C452" s="3881"/>
      <c r="D452" s="3881"/>
      <c r="E452" s="3881"/>
      <c r="F452" s="3881"/>
      <c r="G452" s="3881"/>
    </row>
    <row r="453" spans="2:7" ht="36" customHeight="1" x14ac:dyDescent="0.35">
      <c r="B453" s="3880" t="s">
        <v>6398</v>
      </c>
      <c r="C453" s="3881"/>
      <c r="D453" s="3881"/>
      <c r="E453" s="3881"/>
      <c r="F453" s="3881"/>
      <c r="G453" s="3881"/>
    </row>
    <row r="454" spans="2:7" x14ac:dyDescent="0.35">
      <c r="B454" s="40" t="s">
        <v>6399</v>
      </c>
    </row>
    <row r="455" spans="2:7" ht="12.75" x14ac:dyDescent="0.35">
      <c r="B455" s="1962" t="s">
        <v>6400</v>
      </c>
    </row>
    <row r="457" spans="2:7" ht="15" x14ac:dyDescent="0.4">
      <c r="B457" s="1198" t="s">
        <v>6404</v>
      </c>
    </row>
    <row r="459" spans="2:7" x14ac:dyDescent="0.35">
      <c r="B459" s="40" t="s">
        <v>6405</v>
      </c>
    </row>
    <row r="461" spans="2:7" x14ac:dyDescent="0.35">
      <c r="B461" s="40" t="s">
        <v>6406</v>
      </c>
    </row>
    <row r="463" spans="2:7" x14ac:dyDescent="0.35">
      <c r="B463" s="40" t="s">
        <v>6402</v>
      </c>
    </row>
    <row r="464" spans="2:7" x14ac:dyDescent="0.35">
      <c r="B464" s="40" t="s">
        <v>6403</v>
      </c>
    </row>
    <row r="466" spans="2:2" x14ac:dyDescent="0.35">
      <c r="B466" s="687" t="s">
        <v>6410</v>
      </c>
    </row>
    <row r="467" spans="2:2" x14ac:dyDescent="0.35">
      <c r="B467" s="687" t="s">
        <v>6411</v>
      </c>
    </row>
    <row r="468" spans="2:2" x14ac:dyDescent="0.35">
      <c r="B468" s="687" t="s">
        <v>6412</v>
      </c>
    </row>
    <row r="469" spans="2:2" x14ac:dyDescent="0.35">
      <c r="B469" s="687" t="s">
        <v>6413</v>
      </c>
    </row>
    <row r="470" spans="2:2" x14ac:dyDescent="0.35">
      <c r="B470" s="687" t="s">
        <v>6407</v>
      </c>
    </row>
    <row r="471" spans="2:2" x14ac:dyDescent="0.35">
      <c r="B471" s="687" t="s">
        <v>6408</v>
      </c>
    </row>
    <row r="472" spans="2:2" x14ac:dyDescent="0.35">
      <c r="B472" s="687" t="s">
        <v>6409</v>
      </c>
    </row>
    <row r="474" spans="2:2" ht="15" x14ac:dyDescent="0.4">
      <c r="B474" s="1198" t="s">
        <v>708</v>
      </c>
    </row>
    <row r="476" spans="2:2" x14ac:dyDescent="0.35">
      <c r="B476" s="40" t="s">
        <v>6414</v>
      </c>
    </row>
    <row r="477" spans="2:2" x14ac:dyDescent="0.35">
      <c r="B477" s="40" t="s">
        <v>6415</v>
      </c>
    </row>
    <row r="479" spans="2:2" x14ac:dyDescent="0.35">
      <c r="B479" s="40" t="s">
        <v>6416</v>
      </c>
    </row>
    <row r="480" spans="2:2" x14ac:dyDescent="0.35">
      <c r="B480" s="40" t="s">
        <v>6417</v>
      </c>
    </row>
    <row r="481" spans="2:2" x14ac:dyDescent="0.35">
      <c r="B481" s="40" t="s">
        <v>6418</v>
      </c>
    </row>
    <row r="483" spans="2:2" x14ac:dyDescent="0.35">
      <c r="B483" s="687" t="s">
        <v>6419</v>
      </c>
    </row>
    <row r="484" spans="2:2" x14ac:dyDescent="0.35">
      <c r="B484" s="687" t="s">
        <v>6420</v>
      </c>
    </row>
    <row r="485" spans="2:2" x14ac:dyDescent="0.35">
      <c r="B485" s="687" t="s">
        <v>6421</v>
      </c>
    </row>
    <row r="486" spans="2:2" x14ac:dyDescent="0.35">
      <c r="B486" s="687" t="s">
        <v>6422</v>
      </c>
    </row>
    <row r="488" spans="2:2" ht="15" x14ac:dyDescent="0.4">
      <c r="B488" s="1198" t="s">
        <v>4564</v>
      </c>
    </row>
    <row r="489" spans="2:2" x14ac:dyDescent="0.35">
      <c r="B489" s="40" t="s">
        <v>6663</v>
      </c>
    </row>
    <row r="491" spans="2:2" ht="15" x14ac:dyDescent="0.4">
      <c r="B491" s="1198" t="s">
        <v>6424</v>
      </c>
    </row>
    <row r="493" spans="2:2" x14ac:dyDescent="0.35">
      <c r="B493" s="40" t="s">
        <v>6423</v>
      </c>
    </row>
    <row r="494" spans="2:2" x14ac:dyDescent="0.35">
      <c r="B494" s="40" t="s">
        <v>6559</v>
      </c>
    </row>
    <row r="495" spans="2:2" x14ac:dyDescent="0.35">
      <c r="B495" s="40" t="s">
        <v>6560</v>
      </c>
    </row>
    <row r="497" spans="2:2" ht="15" x14ac:dyDescent="0.4">
      <c r="B497" s="1198" t="s">
        <v>6432</v>
      </c>
    </row>
    <row r="499" spans="2:2" x14ac:dyDescent="0.35">
      <c r="B499" s="40" t="s">
        <v>6425</v>
      </c>
    </row>
    <row r="501" spans="2:2" x14ac:dyDescent="0.35">
      <c r="B501" s="40" t="s">
        <v>6880</v>
      </c>
    </row>
    <row r="503" spans="2:2" x14ac:dyDescent="0.35">
      <c r="B503" s="40" t="s">
        <v>6426</v>
      </c>
    </row>
    <row r="504" spans="2:2" x14ac:dyDescent="0.35">
      <c r="B504" s="40" t="s">
        <v>7174</v>
      </c>
    </row>
    <row r="505" spans="2:2" x14ac:dyDescent="0.35">
      <c r="B505" s="40" t="s">
        <v>6427</v>
      </c>
    </row>
    <row r="506" spans="2:2" x14ac:dyDescent="0.35">
      <c r="B506" s="40" t="s">
        <v>6428</v>
      </c>
    </row>
    <row r="508" spans="2:2" x14ac:dyDescent="0.35">
      <c r="B508" s="40" t="s">
        <v>6429</v>
      </c>
    </row>
    <row r="509" spans="2:2" x14ac:dyDescent="0.35">
      <c r="B509" s="40" t="s">
        <v>6430</v>
      </c>
    </row>
    <row r="510" spans="2:2" x14ac:dyDescent="0.35">
      <c r="B510" s="40" t="s">
        <v>6431</v>
      </c>
    </row>
    <row r="512" spans="2:2" ht="15" x14ac:dyDescent="0.4">
      <c r="B512" s="1198" t="s">
        <v>6439</v>
      </c>
    </row>
    <row r="513" spans="2:6" x14ac:dyDescent="0.35">
      <c r="B513" s="40" t="s">
        <v>6433</v>
      </c>
    </row>
    <row r="515" spans="2:6" x14ac:dyDescent="0.35">
      <c r="C515" s="1963" t="s">
        <v>7152</v>
      </c>
      <c r="D515" s="1967"/>
      <c r="E515" s="1968"/>
      <c r="F515" s="1969"/>
    </row>
    <row r="516" spans="2:6" x14ac:dyDescent="0.35">
      <c r="C516" s="1964" t="s">
        <v>6434</v>
      </c>
      <c r="D516" s="1966" t="s">
        <v>7153</v>
      </c>
      <c r="E516" s="41"/>
      <c r="F516" s="1877"/>
    </row>
    <row r="517" spans="2:6" x14ac:dyDescent="0.35">
      <c r="C517" s="1964" t="s">
        <v>6435</v>
      </c>
      <c r="D517" s="1966" t="s">
        <v>6436</v>
      </c>
      <c r="E517" s="41"/>
      <c r="F517" s="1877"/>
    </row>
    <row r="518" spans="2:6" x14ac:dyDescent="0.35">
      <c r="C518" s="1965" t="s">
        <v>6437</v>
      </c>
      <c r="D518" s="1885" t="s">
        <v>6438</v>
      </c>
      <c r="E518" s="1886"/>
      <c r="F518" s="1888"/>
    </row>
    <row r="520" spans="2:6" ht="15" x14ac:dyDescent="0.4">
      <c r="B520" s="1198" t="s">
        <v>7102</v>
      </c>
    </row>
    <row r="521" spans="2:6" x14ac:dyDescent="0.35">
      <c r="B521" s="40" t="s">
        <v>7323</v>
      </c>
    </row>
    <row r="522" spans="2:6" x14ac:dyDescent="0.35">
      <c r="B522" s="40" t="s">
        <v>7324</v>
      </c>
    </row>
    <row r="523" spans="2:6" x14ac:dyDescent="0.35">
      <c r="B523" s="40" t="s">
        <v>7325</v>
      </c>
    </row>
    <row r="525" spans="2:6" x14ac:dyDescent="0.35">
      <c r="B525" s="40" t="s">
        <v>7319</v>
      </c>
    </row>
    <row r="527" spans="2:6" x14ac:dyDescent="0.35">
      <c r="B527" s="40" t="s">
        <v>7320</v>
      </c>
    </row>
    <row r="529" spans="2:9" x14ac:dyDescent="0.35">
      <c r="B529" s="40" t="s">
        <v>7321</v>
      </c>
    </row>
    <row r="530" spans="2:9" ht="15" x14ac:dyDescent="0.4">
      <c r="B530" s="1198"/>
    </row>
    <row r="531" spans="2:9" x14ac:dyDescent="0.35">
      <c r="B531" s="40" t="s">
        <v>7322</v>
      </c>
    </row>
    <row r="532" spans="2:9" x14ac:dyDescent="0.35">
      <c r="B532" s="40" t="s">
        <v>7103</v>
      </c>
    </row>
    <row r="533" spans="2:9" x14ac:dyDescent="0.35">
      <c r="B533" s="2865" t="s">
        <v>7104</v>
      </c>
    </row>
    <row r="534" spans="2:9" x14ac:dyDescent="0.35">
      <c r="B534" s="40" t="s">
        <v>7105</v>
      </c>
    </row>
    <row r="535" spans="2:9" x14ac:dyDescent="0.35">
      <c r="B535" s="40" t="s">
        <v>7106</v>
      </c>
    </row>
    <row r="536" spans="2:9" x14ac:dyDescent="0.35">
      <c r="B536" s="40" t="s">
        <v>7107</v>
      </c>
    </row>
    <row r="538" spans="2:9" x14ac:dyDescent="0.35">
      <c r="C538" s="2866" t="s">
        <v>7111</v>
      </c>
      <c r="D538" s="3873" t="s">
        <v>7112</v>
      </c>
      <c r="E538" s="3874"/>
      <c r="F538" s="3875"/>
      <c r="G538" s="2867" t="s">
        <v>7171</v>
      </c>
      <c r="H538" s="2867" t="s">
        <v>7172</v>
      </c>
      <c r="I538" s="2867" t="s">
        <v>7173</v>
      </c>
    </row>
    <row r="539" spans="2:9" x14ac:dyDescent="0.35">
      <c r="C539" s="2867" t="s">
        <v>7113</v>
      </c>
      <c r="D539" s="3876" t="s">
        <v>7114</v>
      </c>
      <c r="E539" s="3877"/>
      <c r="F539" s="3878"/>
      <c r="G539" s="2882">
        <v>0.1</v>
      </c>
      <c r="H539" s="2882">
        <v>0.1</v>
      </c>
      <c r="I539" s="2882">
        <v>0.2</v>
      </c>
    </row>
    <row r="540" spans="2:9" x14ac:dyDescent="0.35">
      <c r="C540" s="2867" t="s">
        <v>7115</v>
      </c>
      <c r="D540" s="3876" t="s">
        <v>7116</v>
      </c>
      <c r="E540" s="3877"/>
      <c r="F540" s="3878"/>
      <c r="G540" s="2882">
        <v>0.3</v>
      </c>
      <c r="H540" s="2882">
        <v>0.1</v>
      </c>
      <c r="I540" s="2882">
        <v>0.4</v>
      </c>
    </row>
    <row r="541" spans="2:9" x14ac:dyDescent="0.35">
      <c r="C541" s="2867" t="s">
        <v>7117</v>
      </c>
      <c r="D541" s="3876" t="s">
        <v>7118</v>
      </c>
      <c r="E541" s="3877"/>
      <c r="F541" s="3878"/>
      <c r="G541" s="2882">
        <v>0.35</v>
      </c>
      <c r="H541" s="2882">
        <v>0.1</v>
      </c>
      <c r="I541" s="2882">
        <v>0.45</v>
      </c>
    </row>
    <row r="543" spans="2:9" x14ac:dyDescent="0.35">
      <c r="B543" s="137" t="s">
        <v>6540</v>
      </c>
    </row>
    <row r="544" spans="2:9" x14ac:dyDescent="0.35">
      <c r="B544" s="40" t="s">
        <v>6989</v>
      </c>
    </row>
    <row r="545" spans="2:2" x14ac:dyDescent="0.35">
      <c r="B545" s="40" t="s">
        <v>7108</v>
      </c>
    </row>
    <row r="547" spans="2:2" x14ac:dyDescent="0.35">
      <c r="B547" s="137" t="s">
        <v>5467</v>
      </c>
    </row>
    <row r="548" spans="2:2" x14ac:dyDescent="0.35">
      <c r="B548" s="40" t="s">
        <v>4925</v>
      </c>
    </row>
    <row r="549" spans="2:2" x14ac:dyDescent="0.35">
      <c r="B549" s="40" t="s">
        <v>6909</v>
      </c>
    </row>
    <row r="550" spans="2:2" x14ac:dyDescent="0.35">
      <c r="B550" s="40" t="s">
        <v>6902</v>
      </c>
    </row>
    <row r="551" spans="2:2" x14ac:dyDescent="0.35">
      <c r="B551" s="40" t="s">
        <v>6903</v>
      </c>
    </row>
    <row r="552" spans="2:2" x14ac:dyDescent="0.35">
      <c r="B552" s="40" t="s">
        <v>6904</v>
      </c>
    </row>
    <row r="553" spans="2:2" x14ac:dyDescent="0.35">
      <c r="B553" s="40" t="s">
        <v>7109</v>
      </c>
    </row>
    <row r="555" spans="2:2" x14ac:dyDescent="0.35">
      <c r="B555" s="40" t="s">
        <v>5466</v>
      </c>
    </row>
    <row r="556" spans="2:2" x14ac:dyDescent="0.35">
      <c r="B556" s="40" t="s">
        <v>6906</v>
      </c>
    </row>
    <row r="557" spans="2:2" x14ac:dyDescent="0.35">
      <c r="B557" s="40" t="s">
        <v>6907</v>
      </c>
    </row>
    <row r="558" spans="2:2" x14ac:dyDescent="0.35">
      <c r="B558" s="40" t="s">
        <v>6908</v>
      </c>
    </row>
    <row r="559" spans="2:2" x14ac:dyDescent="0.35">
      <c r="B559" s="40" t="s">
        <v>7110</v>
      </c>
    </row>
  </sheetData>
  <mergeCells count="12">
    <mergeCell ref="D538:F538"/>
    <mergeCell ref="D539:F539"/>
    <mergeCell ref="D540:F540"/>
    <mergeCell ref="D541:F541"/>
    <mergeCell ref="B442:G442"/>
    <mergeCell ref="B449:G449"/>
    <mergeCell ref="B452:G452"/>
    <mergeCell ref="B453:G453"/>
    <mergeCell ref="B446:G446"/>
    <mergeCell ref="B445:G445"/>
    <mergeCell ref="B443:G443"/>
    <mergeCell ref="B444:G444"/>
  </mergeCells>
  <phoneticPr fontId="68" type="noConversion"/>
  <hyperlinks>
    <hyperlink ref="B420" r:id="rId1"/>
    <hyperlink ref="B455" r:id="rId2"/>
  </hyperlinks>
  <pageMargins left="0.196850393700787" right="0.196850393700787" top="0.196850393700787" bottom="0.196850393700787" header="0" footer="0"/>
  <pageSetup paperSize="9" orientation="portrait" horizontalDpi="1200" verticalDpi="1200" r:id="rId3"/>
  <headerFooter alignWithMargins="0"/>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FFFF99"/>
  </sheetPr>
  <dimension ref="A1:L230"/>
  <sheetViews>
    <sheetView showGridLines="0" tabSelected="1" zoomScaleNormal="100" workbookViewId="0">
      <pane xSplit="1" ySplit="5" topLeftCell="B214" activePane="bottomRight" state="frozen"/>
      <selection pane="topRight" activeCell="B1" sqref="B1"/>
      <selection pane="bottomLeft" activeCell="A6" sqref="A6"/>
      <selection pane="bottomRight" activeCell="C3" sqref="C3"/>
    </sheetView>
  </sheetViews>
  <sheetFormatPr defaultColWidth="9.1328125" defaultRowHeight="11.65" x14ac:dyDescent="0.35"/>
  <cols>
    <col min="1" max="1" width="4.3984375" style="1284" customWidth="1"/>
    <col min="2" max="2" width="47.1328125" style="944" customWidth="1"/>
    <col min="3" max="3" width="5.1328125" style="543" customWidth="1"/>
    <col min="4" max="4" width="46.265625" style="1375" customWidth="1"/>
    <col min="5" max="7" width="10.73046875" style="1375" customWidth="1"/>
    <col min="8" max="8" width="94.73046875" style="543" customWidth="1"/>
    <col min="9" max="10" width="9.1328125" style="543"/>
    <col min="11" max="11" width="7.265625" style="618" customWidth="1"/>
    <col min="12" max="12" width="7.3984375" style="618" customWidth="1"/>
    <col min="13" max="16384" width="9.1328125" style="543"/>
  </cols>
  <sheetData>
    <row r="1" spans="1:12" x14ac:dyDescent="0.35">
      <c r="A1" s="1276"/>
      <c r="B1" s="1254"/>
      <c r="C1" s="1182" t="str">
        <f>"There are "&amp;Last_row-1&amp;" stored test cases"</f>
        <v>There are 221 stored test cases</v>
      </c>
      <c r="D1" s="1376"/>
      <c r="E1" s="1377"/>
      <c r="F1" s="1372"/>
      <c r="G1" s="1372"/>
      <c r="H1" s="1180"/>
    </row>
    <row r="2" spans="1:12" x14ac:dyDescent="0.35">
      <c r="A2" s="1277"/>
      <c r="B2" s="1255"/>
      <c r="C2" s="73"/>
      <c r="D2" s="1372"/>
      <c r="E2" s="1378"/>
      <c r="F2" s="1372"/>
      <c r="G2" s="1372"/>
      <c r="H2" s="1180"/>
    </row>
    <row r="3" spans="1:12" ht="15" customHeight="1" x14ac:dyDescent="0.35">
      <c r="A3" s="1277"/>
      <c r="B3" s="1256"/>
      <c r="C3" s="1370">
        <v>203</v>
      </c>
      <c r="D3" s="1372"/>
      <c r="E3" s="1378"/>
      <c r="F3" s="1372"/>
      <c r="G3" s="1372"/>
      <c r="H3" s="1180"/>
    </row>
    <row r="4" spans="1:12" x14ac:dyDescent="0.35">
      <c r="A4" s="1277"/>
      <c r="B4" s="1255"/>
      <c r="C4" s="73"/>
      <c r="D4" s="1372"/>
      <c r="E4" s="1378"/>
      <c r="F4" s="1372"/>
      <c r="G4" s="1373" t="s">
        <v>5417</v>
      </c>
      <c r="H4" s="1180"/>
    </row>
    <row r="5" spans="1:12" x14ac:dyDescent="0.35">
      <c r="A5" s="1278"/>
      <c r="B5" s="1257" t="s">
        <v>943</v>
      </c>
      <c r="C5" s="621"/>
      <c r="D5" s="1379" t="s">
        <v>944</v>
      </c>
      <c r="E5" s="1380" t="s">
        <v>4007</v>
      </c>
      <c r="F5" s="1374" t="s">
        <v>4844</v>
      </c>
      <c r="G5" s="1374" t="s">
        <v>5414</v>
      </c>
      <c r="H5" s="1181" t="s">
        <v>4755</v>
      </c>
    </row>
    <row r="6" spans="1:12" ht="34.9" x14ac:dyDescent="0.35">
      <c r="A6" s="1279">
        <v>1</v>
      </c>
      <c r="B6" s="2886" t="s">
        <v>8187</v>
      </c>
      <c r="C6" s="943"/>
      <c r="D6" s="3568" t="s">
        <v>8376</v>
      </c>
      <c r="E6" s="2889">
        <v>0</v>
      </c>
      <c r="F6" s="2898" t="s">
        <v>6673</v>
      </c>
      <c r="G6" s="1371" t="s">
        <v>5415</v>
      </c>
      <c r="H6" s="2890" t="s">
        <v>8188</v>
      </c>
      <c r="K6" s="691"/>
      <c r="L6" s="691"/>
    </row>
    <row r="7" spans="1:12" ht="23.25" x14ac:dyDescent="0.35">
      <c r="A7" s="1280">
        <v>2</v>
      </c>
      <c r="B7" s="909" t="s">
        <v>2171</v>
      </c>
      <c r="C7" s="943"/>
      <c r="D7" s="1382" t="s">
        <v>7191</v>
      </c>
      <c r="E7" s="1381">
        <v>5606.4</v>
      </c>
      <c r="F7" s="2898">
        <v>5706.4</v>
      </c>
      <c r="G7" s="1371" t="s">
        <v>5415</v>
      </c>
      <c r="H7" s="1244"/>
      <c r="K7" s="691"/>
      <c r="L7" s="691"/>
    </row>
    <row r="8" spans="1:12" ht="46.5" x14ac:dyDescent="0.35">
      <c r="A8" s="1280">
        <v>3</v>
      </c>
      <c r="B8" s="909" t="s">
        <v>6665</v>
      </c>
      <c r="C8" s="943"/>
      <c r="D8" s="1382" t="s">
        <v>7192</v>
      </c>
      <c r="E8" s="1381">
        <v>11487.04</v>
      </c>
      <c r="F8" s="2898">
        <v>11834.490000000002</v>
      </c>
      <c r="G8" s="1371" t="s">
        <v>5415</v>
      </c>
      <c r="H8" s="1466"/>
      <c r="K8" s="691"/>
      <c r="L8" s="691"/>
    </row>
    <row r="9" spans="1:12" ht="23.25" x14ac:dyDescent="0.35">
      <c r="A9" s="1280">
        <v>4</v>
      </c>
      <c r="B9" s="909" t="s">
        <v>6594</v>
      </c>
      <c r="C9" s="943"/>
      <c r="D9" s="2888" t="s">
        <v>8377</v>
      </c>
      <c r="E9" s="1381">
        <v>0</v>
      </c>
      <c r="F9" s="3649" t="s">
        <v>6673</v>
      </c>
      <c r="G9" s="1371" t="s">
        <v>5415</v>
      </c>
      <c r="H9" s="3604" t="s">
        <v>8188</v>
      </c>
      <c r="K9" s="691"/>
      <c r="L9" s="691"/>
    </row>
    <row r="10" spans="1:12" ht="34.9" x14ac:dyDescent="0.35">
      <c r="A10" s="1280">
        <v>5</v>
      </c>
      <c r="B10" s="909" t="s">
        <v>6664</v>
      </c>
      <c r="C10" s="943"/>
      <c r="D10" s="1382" t="s">
        <v>7193</v>
      </c>
      <c r="E10" s="1381">
        <v>721.49</v>
      </c>
      <c r="F10" s="2898">
        <v>838.90000000000009</v>
      </c>
      <c r="G10" s="1371" t="s">
        <v>5415</v>
      </c>
      <c r="H10" s="1466"/>
      <c r="K10" s="691"/>
      <c r="L10" s="691"/>
    </row>
    <row r="11" spans="1:12" ht="23.25" x14ac:dyDescent="0.35">
      <c r="A11" s="1280">
        <v>6</v>
      </c>
      <c r="B11" s="3617" t="s">
        <v>8220</v>
      </c>
      <c r="C11" s="943"/>
      <c r="D11" s="2888" t="s">
        <v>8396</v>
      </c>
      <c r="E11" s="1381">
        <v>7310.8</v>
      </c>
      <c r="F11" s="3649" t="s">
        <v>6673</v>
      </c>
      <c r="G11" s="1371" t="s">
        <v>5415</v>
      </c>
      <c r="H11" s="3604" t="s">
        <v>8188</v>
      </c>
      <c r="K11" s="691"/>
      <c r="L11" s="691"/>
    </row>
    <row r="12" spans="1:12" ht="23.25" x14ac:dyDescent="0.35">
      <c r="A12" s="1280">
        <v>7</v>
      </c>
      <c r="B12" s="909" t="s">
        <v>6843</v>
      </c>
      <c r="C12" s="943"/>
      <c r="D12" s="1382" t="s">
        <v>7194</v>
      </c>
      <c r="E12" s="1381">
        <v>3893.5</v>
      </c>
      <c r="F12" s="2898">
        <v>3996.2000000000003</v>
      </c>
      <c r="G12" s="1371" t="s">
        <v>5415</v>
      </c>
      <c r="H12" s="1466"/>
      <c r="K12" s="691"/>
      <c r="L12" s="691"/>
    </row>
    <row r="13" spans="1:12" ht="23.25" x14ac:dyDescent="0.35">
      <c r="A13" s="1280">
        <v>8</v>
      </c>
      <c r="B13" s="909" t="s">
        <v>8219</v>
      </c>
      <c r="C13" s="943"/>
      <c r="D13" s="1382" t="s">
        <v>6685</v>
      </c>
      <c r="E13" s="1383">
        <v>1003.8</v>
      </c>
      <c r="F13" s="2899">
        <v>1112.0999999999999</v>
      </c>
      <c r="G13" s="1371" t="s">
        <v>5415</v>
      </c>
      <c r="H13" s="1245"/>
      <c r="K13" s="691"/>
      <c r="L13" s="691"/>
    </row>
    <row r="14" spans="1:12" ht="23.25" x14ac:dyDescent="0.35">
      <c r="A14" s="1280">
        <v>9</v>
      </c>
      <c r="B14" s="909" t="s">
        <v>6844</v>
      </c>
      <c r="C14" s="943"/>
      <c r="D14" s="2888" t="s">
        <v>8378</v>
      </c>
      <c r="E14" s="1381">
        <v>208.75</v>
      </c>
      <c r="F14" s="2898" t="s">
        <v>6673</v>
      </c>
      <c r="G14" s="1371" t="s">
        <v>5415</v>
      </c>
      <c r="H14" s="3604" t="s">
        <v>8188</v>
      </c>
      <c r="K14" s="691"/>
      <c r="L14" s="691"/>
    </row>
    <row r="15" spans="1:12" ht="34.9" x14ac:dyDescent="0.35">
      <c r="A15" s="1280">
        <v>10</v>
      </c>
      <c r="B15" s="3617" t="s">
        <v>8225</v>
      </c>
      <c r="C15" s="943"/>
      <c r="D15" s="2888" t="s">
        <v>8379</v>
      </c>
      <c r="E15" s="1381">
        <v>4092.6000000000004</v>
      </c>
      <c r="F15" s="3649" t="s">
        <v>6673</v>
      </c>
      <c r="G15" s="1371" t="s">
        <v>5415</v>
      </c>
      <c r="H15" s="3604" t="s">
        <v>8188</v>
      </c>
      <c r="K15" s="691"/>
      <c r="L15" s="691"/>
    </row>
    <row r="16" spans="1:12" ht="34.9" x14ac:dyDescent="0.35">
      <c r="A16" s="1280">
        <v>11</v>
      </c>
      <c r="B16" s="3639" t="s">
        <v>8226</v>
      </c>
      <c r="C16" s="943"/>
      <c r="D16" s="2888" t="s">
        <v>8380</v>
      </c>
      <c r="E16" s="1381">
        <v>8794.15</v>
      </c>
      <c r="F16" s="3649" t="s">
        <v>6673</v>
      </c>
      <c r="G16" s="1371" t="s">
        <v>5415</v>
      </c>
      <c r="H16" s="3604" t="s">
        <v>8188</v>
      </c>
      <c r="K16" s="691"/>
      <c r="L16" s="691"/>
    </row>
    <row r="17" spans="1:12" ht="23.25" x14ac:dyDescent="0.35">
      <c r="A17" s="1280">
        <v>12</v>
      </c>
      <c r="B17" s="909" t="s">
        <v>6845</v>
      </c>
      <c r="C17" s="943"/>
      <c r="D17" s="2888" t="s">
        <v>8381</v>
      </c>
      <c r="E17" s="1381">
        <v>5019.97</v>
      </c>
      <c r="F17" s="3649" t="s">
        <v>6673</v>
      </c>
      <c r="G17" s="1371" t="s">
        <v>5415</v>
      </c>
      <c r="H17" s="3604" t="s">
        <v>8188</v>
      </c>
      <c r="K17" s="691"/>
      <c r="L17" s="691"/>
    </row>
    <row r="18" spans="1:12" ht="34.9" x14ac:dyDescent="0.35">
      <c r="A18" s="1280">
        <v>13</v>
      </c>
      <c r="B18" s="909" t="s">
        <v>6846</v>
      </c>
      <c r="C18" s="943"/>
      <c r="D18" s="1382" t="s">
        <v>6686</v>
      </c>
      <c r="E18" s="1381">
        <v>11871.500000000002</v>
      </c>
      <c r="F18" s="2898">
        <v>12374.2</v>
      </c>
      <c r="G18" s="1371" t="s">
        <v>5415</v>
      </c>
      <c r="H18" s="1466"/>
      <c r="K18" s="691"/>
      <c r="L18" s="691"/>
    </row>
    <row r="19" spans="1:12" ht="23.25" x14ac:dyDescent="0.35">
      <c r="A19" s="1280">
        <v>14</v>
      </c>
      <c r="B19" s="3647" t="s">
        <v>8248</v>
      </c>
      <c r="C19" s="943"/>
      <c r="D19" s="1382" t="s">
        <v>6687</v>
      </c>
      <c r="E19" s="1381">
        <v>6330.05</v>
      </c>
      <c r="F19" s="2898">
        <v>6930.05</v>
      </c>
      <c r="G19" s="1371" t="s">
        <v>5415</v>
      </c>
      <c r="H19" s="1466"/>
      <c r="K19" s="691"/>
      <c r="L19" s="691"/>
    </row>
    <row r="20" spans="1:12" ht="23.25" x14ac:dyDescent="0.35">
      <c r="A20" s="1280">
        <v>15</v>
      </c>
      <c r="B20" s="3617" t="s">
        <v>8249</v>
      </c>
      <c r="C20" s="943"/>
      <c r="D20" s="1382" t="s">
        <v>6688</v>
      </c>
      <c r="E20" s="1381">
        <v>2579.7399999999998</v>
      </c>
      <c r="F20" s="2898">
        <v>2713.15</v>
      </c>
      <c r="G20" s="1371" t="s">
        <v>5415</v>
      </c>
      <c r="H20" s="1466"/>
      <c r="K20" s="691"/>
      <c r="L20" s="691"/>
    </row>
    <row r="21" spans="1:12" ht="23.25" x14ac:dyDescent="0.35">
      <c r="A21" s="1280">
        <v>16</v>
      </c>
      <c r="B21" s="3648" t="s">
        <v>8250</v>
      </c>
      <c r="C21" s="945"/>
      <c r="D21" s="2888" t="s">
        <v>8382</v>
      </c>
      <c r="E21" s="1381">
        <v>14738.75</v>
      </c>
      <c r="F21" s="3649" t="s">
        <v>6673</v>
      </c>
      <c r="G21" s="1371" t="s">
        <v>5415</v>
      </c>
      <c r="H21" s="3604" t="s">
        <v>8188</v>
      </c>
      <c r="K21" s="691"/>
      <c r="L21" s="691"/>
    </row>
    <row r="22" spans="1:12" ht="23.25" x14ac:dyDescent="0.35">
      <c r="A22" s="1280">
        <v>17</v>
      </c>
      <c r="B22" s="3648" t="s">
        <v>8251</v>
      </c>
      <c r="C22" s="945"/>
      <c r="D22" s="1382" t="s">
        <v>6689</v>
      </c>
      <c r="E22" s="1381">
        <v>10122.15</v>
      </c>
      <c r="F22" s="2898">
        <v>10472.15</v>
      </c>
      <c r="G22" s="1371" t="s">
        <v>5415</v>
      </c>
      <c r="H22" s="1466"/>
      <c r="K22" s="691"/>
      <c r="L22" s="691"/>
    </row>
    <row r="23" spans="1:12" ht="23.25" x14ac:dyDescent="0.35">
      <c r="A23" s="1280">
        <v>18</v>
      </c>
      <c r="B23" s="947" t="s">
        <v>41</v>
      </c>
      <c r="C23" s="945"/>
      <c r="D23" s="1382" t="s">
        <v>6690</v>
      </c>
      <c r="E23" s="1381">
        <v>-34</v>
      </c>
      <c r="F23" s="2898">
        <v>66</v>
      </c>
      <c r="G23" s="1371" t="s">
        <v>5415</v>
      </c>
      <c r="H23" s="1466"/>
      <c r="K23" s="691"/>
      <c r="L23" s="691"/>
    </row>
    <row r="24" spans="1:12" ht="23.25" x14ac:dyDescent="0.35">
      <c r="A24" s="1280">
        <v>19</v>
      </c>
      <c r="B24" s="2891" t="s">
        <v>8298</v>
      </c>
      <c r="C24" s="948"/>
      <c r="D24" s="2888" t="s">
        <v>8383</v>
      </c>
      <c r="E24" s="1381">
        <v>7269</v>
      </c>
      <c r="F24" s="3649" t="s">
        <v>6673</v>
      </c>
      <c r="G24" s="1371" t="s">
        <v>5415</v>
      </c>
      <c r="H24" s="3604" t="s">
        <v>8188</v>
      </c>
      <c r="K24" s="691"/>
      <c r="L24" s="691"/>
    </row>
    <row r="25" spans="1:12" ht="34.9" x14ac:dyDescent="0.35">
      <c r="A25" s="1280">
        <v>20</v>
      </c>
      <c r="B25" s="3663" t="s">
        <v>8256</v>
      </c>
      <c r="C25" s="948"/>
      <c r="D25" s="2888" t="s">
        <v>8384</v>
      </c>
      <c r="E25" s="1381">
        <v>8845.59</v>
      </c>
      <c r="F25" s="3649" t="s">
        <v>6673</v>
      </c>
      <c r="G25" s="1371" t="s">
        <v>5415</v>
      </c>
      <c r="H25" s="3604" t="s">
        <v>8188</v>
      </c>
      <c r="K25" s="691"/>
      <c r="L25" s="691"/>
    </row>
    <row r="26" spans="1:12" ht="23.25" x14ac:dyDescent="0.35">
      <c r="A26" s="1280">
        <v>21</v>
      </c>
      <c r="B26" s="995" t="s">
        <v>832</v>
      </c>
      <c r="C26" s="948"/>
      <c r="D26" s="2888" t="s">
        <v>8385</v>
      </c>
      <c r="E26" s="1381">
        <v>10064.35</v>
      </c>
      <c r="F26" s="3649" t="s">
        <v>6673</v>
      </c>
      <c r="G26" s="1371" t="s">
        <v>5415</v>
      </c>
      <c r="H26" s="3604" t="s">
        <v>8188</v>
      </c>
      <c r="K26" s="691"/>
      <c r="L26" s="691"/>
    </row>
    <row r="27" spans="1:12" ht="23.25" x14ac:dyDescent="0.35">
      <c r="A27" s="1280">
        <v>22</v>
      </c>
      <c r="B27" s="909" t="s">
        <v>4184</v>
      </c>
      <c r="C27" s="948"/>
      <c r="D27" s="1385" t="s">
        <v>7195</v>
      </c>
      <c r="E27" s="1381">
        <v>4713.74</v>
      </c>
      <c r="F27" s="2898">
        <v>4820.5</v>
      </c>
      <c r="G27" s="1371" t="s">
        <v>5415</v>
      </c>
      <c r="H27" s="1466"/>
      <c r="K27" s="691"/>
      <c r="L27" s="691"/>
    </row>
    <row r="28" spans="1:12" ht="34.9" x14ac:dyDescent="0.35">
      <c r="A28" s="1280">
        <v>23</v>
      </c>
      <c r="B28" s="947" t="s">
        <v>5413</v>
      </c>
      <c r="C28" s="948"/>
      <c r="D28" s="1382" t="s">
        <v>6691</v>
      </c>
      <c r="E28" s="1465">
        <v>7604.15</v>
      </c>
      <c r="F28" s="2900">
        <v>7954.15</v>
      </c>
      <c r="G28" s="1371" t="s">
        <v>5415</v>
      </c>
      <c r="H28" s="1466"/>
      <c r="K28" s="691"/>
      <c r="L28" s="691"/>
    </row>
    <row r="29" spans="1:12" ht="23.25" x14ac:dyDescent="0.35">
      <c r="A29" s="1280">
        <v>24</v>
      </c>
      <c r="B29" s="2891" t="s">
        <v>8274</v>
      </c>
      <c r="C29" s="948"/>
      <c r="D29" s="2888" t="s">
        <v>8386</v>
      </c>
      <c r="E29" s="1465">
        <v>-1558.4000000000005</v>
      </c>
      <c r="F29" s="3649" t="s">
        <v>6673</v>
      </c>
      <c r="G29" s="1371" t="s">
        <v>5415</v>
      </c>
      <c r="H29" s="3604" t="s">
        <v>8188</v>
      </c>
      <c r="K29" s="691"/>
      <c r="L29" s="691"/>
    </row>
    <row r="30" spans="1:12" ht="34.9" x14ac:dyDescent="0.35">
      <c r="A30" s="1280">
        <v>25</v>
      </c>
      <c r="B30" s="947" t="s">
        <v>4454</v>
      </c>
      <c r="C30" s="948"/>
      <c r="D30" s="1382" t="s">
        <v>6692</v>
      </c>
      <c r="E30" s="1465">
        <v>7205.59</v>
      </c>
      <c r="F30" s="2900">
        <v>7563</v>
      </c>
      <c r="G30" s="1371" t="s">
        <v>5415</v>
      </c>
      <c r="H30" s="1466"/>
      <c r="K30" s="691"/>
      <c r="L30" s="691"/>
    </row>
    <row r="31" spans="1:12" ht="23.25" x14ac:dyDescent="0.35">
      <c r="A31" s="1280">
        <v>26</v>
      </c>
      <c r="B31" s="909" t="s">
        <v>4075</v>
      </c>
      <c r="C31" s="943"/>
      <c r="D31" s="1382" t="s">
        <v>6693</v>
      </c>
      <c r="E31" s="1381">
        <v>805.80000000000018</v>
      </c>
      <c r="F31" s="2898">
        <v>925.80000000000018</v>
      </c>
      <c r="G31" s="1371" t="s">
        <v>5416</v>
      </c>
      <c r="H31" s="1466"/>
      <c r="K31" s="691"/>
      <c r="L31" s="691"/>
    </row>
    <row r="32" spans="1:12" ht="34.9" x14ac:dyDescent="0.35">
      <c r="A32" s="1280">
        <v>27</v>
      </c>
      <c r="B32" s="909" t="s">
        <v>8265</v>
      </c>
      <c r="C32" s="943"/>
      <c r="D32" s="1382" t="s">
        <v>7196</v>
      </c>
      <c r="E32" s="1381">
        <v>6171.7999999999993</v>
      </c>
      <c r="F32" s="2898">
        <v>6671.7999999999993</v>
      </c>
      <c r="G32" s="1371" t="s">
        <v>5416</v>
      </c>
      <c r="H32" s="1466"/>
      <c r="K32" s="691"/>
      <c r="L32" s="691"/>
    </row>
    <row r="33" spans="1:12" ht="23.25" x14ac:dyDescent="0.35">
      <c r="A33" s="1280">
        <v>28</v>
      </c>
      <c r="B33" s="909" t="s">
        <v>8267</v>
      </c>
      <c r="C33" s="943"/>
      <c r="D33" s="2888" t="s">
        <v>8387</v>
      </c>
      <c r="E33" s="1381">
        <v>319994.28000000003</v>
      </c>
      <c r="F33" s="2898" t="s">
        <v>6673</v>
      </c>
      <c r="G33" s="1371" t="s">
        <v>5415</v>
      </c>
      <c r="H33" s="3604" t="s">
        <v>8266</v>
      </c>
      <c r="K33" s="691"/>
      <c r="L33" s="691"/>
    </row>
    <row r="34" spans="1:12" ht="23.25" x14ac:dyDescent="0.35">
      <c r="A34" s="1280">
        <v>29</v>
      </c>
      <c r="B34" s="909" t="s">
        <v>8270</v>
      </c>
      <c r="C34" s="943"/>
      <c r="D34" s="1382" t="s">
        <v>7197</v>
      </c>
      <c r="E34" s="1381">
        <v>343962.81000000006</v>
      </c>
      <c r="F34" s="2898">
        <v>344129.57000000007</v>
      </c>
      <c r="G34" s="1371" t="s">
        <v>5415</v>
      </c>
      <c r="H34" s="1466"/>
      <c r="K34" s="691"/>
      <c r="L34" s="691"/>
    </row>
    <row r="35" spans="1:12" ht="23.25" x14ac:dyDescent="0.35">
      <c r="A35" s="1280">
        <v>30</v>
      </c>
      <c r="B35" s="909" t="s">
        <v>8268</v>
      </c>
      <c r="C35" s="943"/>
      <c r="D35" s="1382" t="s">
        <v>7198</v>
      </c>
      <c r="E35" s="1381">
        <v>21491.989999999998</v>
      </c>
      <c r="F35" s="2898">
        <v>21861.35</v>
      </c>
      <c r="G35" s="1371" t="s">
        <v>5415</v>
      </c>
      <c r="H35" s="1466"/>
      <c r="K35" s="691"/>
      <c r="L35" s="691"/>
    </row>
    <row r="36" spans="1:12" ht="23.25" x14ac:dyDescent="0.35">
      <c r="A36" s="1280">
        <v>31</v>
      </c>
      <c r="B36" s="909" t="s">
        <v>8269</v>
      </c>
      <c r="C36" s="943"/>
      <c r="D36" s="1382" t="s">
        <v>7199</v>
      </c>
      <c r="E36" s="1381">
        <v>305189.09000000003</v>
      </c>
      <c r="F36" s="2898">
        <v>305564.09000000003</v>
      </c>
      <c r="G36" s="1371" t="s">
        <v>5415</v>
      </c>
      <c r="H36" s="1466"/>
      <c r="K36" s="691"/>
      <c r="L36" s="691"/>
    </row>
    <row r="37" spans="1:12" ht="23.25" x14ac:dyDescent="0.35">
      <c r="A37" s="1280">
        <v>32</v>
      </c>
      <c r="B37" s="2886" t="s">
        <v>8292</v>
      </c>
      <c r="C37" s="943"/>
      <c r="D37" s="2888" t="s">
        <v>8388</v>
      </c>
      <c r="E37" s="1381">
        <v>67.799999999999955</v>
      </c>
      <c r="F37" s="3649" t="s">
        <v>6673</v>
      </c>
      <c r="G37" s="1371" t="s">
        <v>5415</v>
      </c>
      <c r="H37" s="3604" t="s">
        <v>8266</v>
      </c>
      <c r="K37" s="691"/>
      <c r="L37" s="691"/>
    </row>
    <row r="38" spans="1:12" ht="34.9" x14ac:dyDescent="0.35">
      <c r="A38" s="1280">
        <v>33</v>
      </c>
      <c r="B38" s="2886" t="s">
        <v>8300</v>
      </c>
      <c r="C38" s="943"/>
      <c r="D38" s="2888" t="s">
        <v>7200</v>
      </c>
      <c r="E38" s="1381">
        <v>8126.7999999999993</v>
      </c>
      <c r="F38" s="2898" t="s">
        <v>6673</v>
      </c>
      <c r="G38" s="1371" t="s">
        <v>5415</v>
      </c>
      <c r="H38" s="3604" t="s">
        <v>8188</v>
      </c>
      <c r="K38" s="691"/>
      <c r="L38" s="691"/>
    </row>
    <row r="39" spans="1:12" ht="23.25" x14ac:dyDescent="0.35">
      <c r="A39" s="1280">
        <v>34</v>
      </c>
      <c r="B39" s="909" t="s">
        <v>6643</v>
      </c>
      <c r="C39" s="943"/>
      <c r="D39" s="1382" t="s">
        <v>7201</v>
      </c>
      <c r="E39" s="1381">
        <v>-5658.58</v>
      </c>
      <c r="F39" s="2898">
        <v>-5258.58</v>
      </c>
      <c r="G39" s="1371" t="s">
        <v>5415</v>
      </c>
      <c r="H39" s="1466"/>
      <c r="K39" s="691"/>
      <c r="L39" s="691"/>
    </row>
    <row r="40" spans="1:12" ht="23.25" x14ac:dyDescent="0.35">
      <c r="A40" s="1280">
        <v>35</v>
      </c>
      <c r="B40" s="909" t="s">
        <v>8278</v>
      </c>
      <c r="C40" s="943"/>
      <c r="D40" s="1382" t="s">
        <v>6694</v>
      </c>
      <c r="E40" s="1381">
        <v>-66.320000000000164</v>
      </c>
      <c r="F40" s="2898">
        <v>-112.92000000000007</v>
      </c>
      <c r="G40" s="1371" t="s">
        <v>5416</v>
      </c>
      <c r="H40" s="1466"/>
      <c r="K40" s="691"/>
      <c r="L40" s="691"/>
    </row>
    <row r="41" spans="1:12" ht="23.25" x14ac:dyDescent="0.35">
      <c r="A41" s="1280">
        <v>36</v>
      </c>
      <c r="B41" s="909" t="s">
        <v>8279</v>
      </c>
      <c r="C41" s="943"/>
      <c r="D41" s="1382" t="s">
        <v>6695</v>
      </c>
      <c r="E41" s="1381">
        <v>52302</v>
      </c>
      <c r="F41" s="2898">
        <v>52402</v>
      </c>
      <c r="G41" s="1371" t="s">
        <v>5415</v>
      </c>
      <c r="H41" s="1466"/>
      <c r="K41" s="691"/>
      <c r="L41" s="691"/>
    </row>
    <row r="42" spans="1:12" ht="23.25" x14ac:dyDescent="0.35">
      <c r="A42" s="1280">
        <v>37</v>
      </c>
      <c r="B42" s="2886" t="s">
        <v>8280</v>
      </c>
      <c r="C42" s="943"/>
      <c r="D42" s="2888" t="s">
        <v>8389</v>
      </c>
      <c r="E42" s="1381">
        <v>142.5</v>
      </c>
      <c r="F42" s="3649" t="s">
        <v>6673</v>
      </c>
      <c r="G42" s="1371" t="s">
        <v>5415</v>
      </c>
      <c r="H42" s="3604" t="s">
        <v>8188</v>
      </c>
      <c r="K42" s="691"/>
      <c r="L42" s="691"/>
    </row>
    <row r="43" spans="1:12" ht="23.25" x14ac:dyDescent="0.35">
      <c r="A43" s="1280">
        <v>38</v>
      </c>
      <c r="B43" s="909" t="s">
        <v>8281</v>
      </c>
      <c r="C43" s="943"/>
      <c r="D43" s="1382" t="s">
        <v>7202</v>
      </c>
      <c r="E43" s="1381">
        <v>26931.949999999997</v>
      </c>
      <c r="F43" s="2898">
        <v>27183.949999999997</v>
      </c>
      <c r="G43" s="1371" t="s">
        <v>5415</v>
      </c>
      <c r="H43" s="1466"/>
      <c r="K43" s="691"/>
      <c r="L43" s="691"/>
    </row>
    <row r="44" spans="1:12" ht="23.25" x14ac:dyDescent="0.35">
      <c r="A44" s="1280">
        <v>39</v>
      </c>
      <c r="B44" s="909" t="s">
        <v>8282</v>
      </c>
      <c r="C44" s="943"/>
      <c r="D44" s="1382" t="s">
        <v>6696</v>
      </c>
      <c r="E44" s="1381">
        <v>1851.2700000000004</v>
      </c>
      <c r="F44" s="2898">
        <v>2243.0300000000025</v>
      </c>
      <c r="G44" s="1371" t="s">
        <v>5416</v>
      </c>
      <c r="H44" s="1466"/>
      <c r="K44" s="691"/>
      <c r="L44" s="691"/>
    </row>
    <row r="45" spans="1:12" ht="34.9" x14ac:dyDescent="0.35">
      <c r="A45" s="1280">
        <v>40</v>
      </c>
      <c r="B45" s="2886" t="s">
        <v>8289</v>
      </c>
      <c r="C45" s="943"/>
      <c r="D45" s="1382" t="s">
        <v>6697</v>
      </c>
      <c r="E45" s="1381">
        <v>3889</v>
      </c>
      <c r="F45" s="2898" t="s">
        <v>6673</v>
      </c>
      <c r="G45" s="1371" t="s">
        <v>5415</v>
      </c>
      <c r="H45" s="3604" t="s">
        <v>8188</v>
      </c>
      <c r="K45" s="691"/>
      <c r="L45" s="691"/>
    </row>
    <row r="46" spans="1:12" ht="23.25" x14ac:dyDescent="0.35">
      <c r="A46" s="1280">
        <v>41</v>
      </c>
      <c r="B46" s="909" t="s">
        <v>8284</v>
      </c>
      <c r="C46" s="943"/>
      <c r="D46" s="1382" t="s">
        <v>7203</v>
      </c>
      <c r="E46" s="1381">
        <v>-91.25</v>
      </c>
      <c r="F46" s="2898">
        <v>-91.25</v>
      </c>
      <c r="G46" s="1371" t="s">
        <v>5416</v>
      </c>
      <c r="H46" s="1466"/>
      <c r="K46" s="691"/>
      <c r="L46" s="691"/>
    </row>
    <row r="47" spans="1:12" ht="23.25" x14ac:dyDescent="0.35">
      <c r="A47" s="1280">
        <v>42</v>
      </c>
      <c r="B47" s="909" t="s">
        <v>8283</v>
      </c>
      <c r="C47" s="943"/>
      <c r="D47" s="1382" t="s">
        <v>7204</v>
      </c>
      <c r="E47" s="1381">
        <v>5217</v>
      </c>
      <c r="F47" s="2898">
        <v>5855.2</v>
      </c>
      <c r="G47" s="1371" t="s">
        <v>5416</v>
      </c>
      <c r="H47" s="1466"/>
      <c r="K47" s="691"/>
      <c r="L47" s="691"/>
    </row>
    <row r="48" spans="1:12" ht="46.5" x14ac:dyDescent="0.35">
      <c r="A48" s="2737">
        <v>43</v>
      </c>
      <c r="B48" s="2886" t="s">
        <v>8290</v>
      </c>
      <c r="C48" s="943"/>
      <c r="D48" s="2888" t="s">
        <v>7205</v>
      </c>
      <c r="E48" s="1381">
        <v>5217</v>
      </c>
      <c r="F48" s="2898" t="s">
        <v>6673</v>
      </c>
      <c r="G48" s="1371" t="s">
        <v>5416</v>
      </c>
      <c r="H48" s="3604" t="s">
        <v>8188</v>
      </c>
      <c r="K48" s="691"/>
      <c r="L48" s="691"/>
    </row>
    <row r="49" spans="1:12" ht="46.5" x14ac:dyDescent="0.35">
      <c r="A49" s="1280">
        <v>44</v>
      </c>
      <c r="B49" s="909" t="s">
        <v>8291</v>
      </c>
      <c r="C49" s="943"/>
      <c r="D49" s="1382" t="s">
        <v>6698</v>
      </c>
      <c r="E49" s="1381">
        <v>16949</v>
      </c>
      <c r="F49" s="2898">
        <v>17049</v>
      </c>
      <c r="G49" s="1371" t="s">
        <v>5415</v>
      </c>
      <c r="H49" s="1466"/>
      <c r="K49" s="691"/>
      <c r="L49" s="691"/>
    </row>
    <row r="50" spans="1:12" ht="34.9" x14ac:dyDescent="0.35">
      <c r="A50" s="1280">
        <v>45</v>
      </c>
      <c r="B50" s="2886" t="s">
        <v>8341</v>
      </c>
      <c r="C50" s="943"/>
      <c r="D50" s="2888" t="s">
        <v>6699</v>
      </c>
      <c r="E50" s="1381">
        <v>7755.7999999999993</v>
      </c>
      <c r="F50" s="2898" t="s">
        <v>6673</v>
      </c>
      <c r="G50" s="1371" t="s">
        <v>5415</v>
      </c>
      <c r="H50" s="3604" t="s">
        <v>8188</v>
      </c>
      <c r="K50" s="691"/>
      <c r="L50" s="691"/>
    </row>
    <row r="51" spans="1:12" ht="34.9" x14ac:dyDescent="0.35">
      <c r="A51" s="1280">
        <v>46</v>
      </c>
      <c r="B51" s="2886" t="s">
        <v>8301</v>
      </c>
      <c r="C51" s="943"/>
      <c r="D51" s="2888" t="s">
        <v>6700</v>
      </c>
      <c r="E51" s="1381">
        <v>32952.000000000007</v>
      </c>
      <c r="F51" s="2898" t="s">
        <v>6673</v>
      </c>
      <c r="G51" s="1371" t="s">
        <v>5416</v>
      </c>
      <c r="H51" s="3604" t="s">
        <v>8188</v>
      </c>
      <c r="K51" s="691"/>
      <c r="L51" s="691"/>
    </row>
    <row r="52" spans="1:12" ht="58.15" x14ac:dyDescent="0.35">
      <c r="A52" s="1280">
        <v>47</v>
      </c>
      <c r="B52" s="2886" t="s">
        <v>8302</v>
      </c>
      <c r="C52" s="943"/>
      <c r="D52" s="2888" t="s">
        <v>7206</v>
      </c>
      <c r="E52" s="1381">
        <v>99080.902799999982</v>
      </c>
      <c r="F52" s="2898" t="s">
        <v>6673</v>
      </c>
      <c r="G52" s="1371" t="s">
        <v>5416</v>
      </c>
      <c r="H52" s="3604" t="s">
        <v>8188</v>
      </c>
      <c r="K52" s="691"/>
      <c r="L52" s="691"/>
    </row>
    <row r="53" spans="1:12" ht="23.25" x14ac:dyDescent="0.35">
      <c r="A53" s="1280">
        <v>48</v>
      </c>
      <c r="B53" s="909" t="s">
        <v>4184</v>
      </c>
      <c r="C53" s="943"/>
      <c r="D53" s="1385" t="s">
        <v>7207</v>
      </c>
      <c r="E53" s="1381">
        <v>3676.89</v>
      </c>
      <c r="F53" s="2898">
        <v>3783.6499999999996</v>
      </c>
      <c r="G53" s="1371" t="s">
        <v>5415</v>
      </c>
      <c r="H53" s="1466"/>
      <c r="K53" s="691"/>
      <c r="L53" s="691"/>
    </row>
    <row r="54" spans="1:12" ht="23.25" x14ac:dyDescent="0.35">
      <c r="A54" s="1280">
        <v>49</v>
      </c>
      <c r="B54" s="909" t="s">
        <v>3106</v>
      </c>
      <c r="C54" s="943"/>
      <c r="D54" s="1382" t="s">
        <v>7208</v>
      </c>
      <c r="E54" s="1381">
        <v>29261.620000000003</v>
      </c>
      <c r="F54" s="2898">
        <v>29428.379999999997</v>
      </c>
      <c r="G54" s="1371" t="s">
        <v>5415</v>
      </c>
      <c r="H54" s="1466"/>
      <c r="K54" s="691"/>
      <c r="L54" s="691"/>
    </row>
    <row r="55" spans="1:12" ht="23.25" x14ac:dyDescent="0.35">
      <c r="A55" s="1280">
        <v>50</v>
      </c>
      <c r="B55" s="909" t="s">
        <v>3227</v>
      </c>
      <c r="C55" s="943"/>
      <c r="D55" s="1382" t="s">
        <v>7209</v>
      </c>
      <c r="E55" s="1381">
        <v>720</v>
      </c>
      <c r="F55" s="2898">
        <v>720</v>
      </c>
      <c r="G55" s="1371" t="s">
        <v>5415</v>
      </c>
      <c r="H55" s="1466"/>
      <c r="K55" s="691"/>
      <c r="L55" s="691"/>
    </row>
    <row r="56" spans="1:12" ht="23.25" x14ac:dyDescent="0.35">
      <c r="A56" s="1280">
        <v>51</v>
      </c>
      <c r="B56" s="909" t="s">
        <v>3115</v>
      </c>
      <c r="C56" s="943"/>
      <c r="D56" s="1382" t="s">
        <v>6701</v>
      </c>
      <c r="E56" s="1381">
        <v>3567</v>
      </c>
      <c r="F56" s="2898">
        <v>3573</v>
      </c>
      <c r="G56" s="1371" t="s">
        <v>5415</v>
      </c>
      <c r="H56" s="1466"/>
      <c r="K56" s="691"/>
      <c r="L56" s="691"/>
    </row>
    <row r="57" spans="1:12" ht="23.25" x14ac:dyDescent="0.35">
      <c r="A57" s="1280">
        <v>52</v>
      </c>
      <c r="B57" s="909" t="s">
        <v>1534</v>
      </c>
      <c r="C57" s="943"/>
      <c r="D57" s="1382" t="s">
        <v>6702</v>
      </c>
      <c r="E57" s="1381">
        <v>2226</v>
      </c>
      <c r="F57" s="2898">
        <v>1634.2999999999997</v>
      </c>
      <c r="G57" s="1371" t="s">
        <v>5415</v>
      </c>
      <c r="H57" s="1466"/>
      <c r="K57" s="691"/>
      <c r="L57" s="691"/>
    </row>
    <row r="58" spans="1:12" ht="23.25" x14ac:dyDescent="0.35">
      <c r="A58" s="1280">
        <v>53</v>
      </c>
      <c r="B58" s="2886" t="s">
        <v>8303</v>
      </c>
      <c r="C58" s="943"/>
      <c r="D58" s="1382" t="s">
        <v>7210</v>
      </c>
      <c r="E58" s="1381">
        <v>35757.9</v>
      </c>
      <c r="F58" s="2898" t="s">
        <v>6673</v>
      </c>
      <c r="G58" s="1371" t="s">
        <v>5415</v>
      </c>
      <c r="H58" s="3604" t="s">
        <v>8188</v>
      </c>
      <c r="K58" s="691"/>
      <c r="L58" s="691"/>
    </row>
    <row r="59" spans="1:12" ht="23.25" x14ac:dyDescent="0.35">
      <c r="A59" s="1280">
        <v>54</v>
      </c>
      <c r="B59" s="909" t="s">
        <v>6630</v>
      </c>
      <c r="C59" s="943"/>
      <c r="D59" s="1382" t="s">
        <v>7211</v>
      </c>
      <c r="E59" s="1381">
        <v>-300</v>
      </c>
      <c r="F59" s="2898">
        <v>-300</v>
      </c>
      <c r="G59" s="1371" t="s">
        <v>5415</v>
      </c>
      <c r="H59" s="1466"/>
      <c r="K59" s="691"/>
      <c r="L59" s="691"/>
    </row>
    <row r="60" spans="1:12" ht="23.25" x14ac:dyDescent="0.35">
      <c r="A60" s="1280">
        <v>55</v>
      </c>
      <c r="B60" s="909" t="s">
        <v>2798</v>
      </c>
      <c r="C60" s="943"/>
      <c r="D60" s="1382" t="s">
        <v>7212</v>
      </c>
      <c r="E60" s="1381">
        <v>-4015.649999999996</v>
      </c>
      <c r="F60" s="2898">
        <v>-3711.7999999999975</v>
      </c>
      <c r="G60" s="1371" t="s">
        <v>5416</v>
      </c>
      <c r="H60" s="1466"/>
      <c r="K60" s="691"/>
      <c r="L60" s="691"/>
    </row>
    <row r="61" spans="1:12" ht="23.25" x14ac:dyDescent="0.35">
      <c r="A61" s="1280">
        <v>56</v>
      </c>
      <c r="B61" s="909" t="s">
        <v>1571</v>
      </c>
      <c r="C61" s="943"/>
      <c r="D61" s="1382" t="s">
        <v>6703</v>
      </c>
      <c r="E61" s="1381">
        <v>2311.5</v>
      </c>
      <c r="F61" s="2898">
        <v>5618.2999999999993</v>
      </c>
      <c r="G61" s="1371" t="s">
        <v>5415</v>
      </c>
      <c r="H61" s="1466"/>
      <c r="K61" s="691"/>
      <c r="L61" s="691"/>
    </row>
    <row r="62" spans="1:12" ht="23.25" x14ac:dyDescent="0.35">
      <c r="A62" s="1280">
        <v>57</v>
      </c>
      <c r="B62" s="909" t="s">
        <v>6640</v>
      </c>
      <c r="C62" s="943"/>
      <c r="D62" s="1382" t="s">
        <v>7213</v>
      </c>
      <c r="E62" s="1381">
        <v>-2834.79</v>
      </c>
      <c r="F62" s="2898">
        <v>-2834.79</v>
      </c>
      <c r="G62" s="1371" t="s">
        <v>5415</v>
      </c>
      <c r="H62" s="1466"/>
      <c r="K62" s="691"/>
      <c r="L62" s="691"/>
    </row>
    <row r="63" spans="1:12" ht="23.25" x14ac:dyDescent="0.35">
      <c r="A63" s="1280">
        <v>58</v>
      </c>
      <c r="B63" s="909" t="s">
        <v>1550</v>
      </c>
      <c r="C63" s="943"/>
      <c r="D63" s="1382" t="s">
        <v>7214</v>
      </c>
      <c r="E63" s="1381">
        <v>294545.61</v>
      </c>
      <c r="F63" s="2898">
        <v>294759.28999999998</v>
      </c>
      <c r="G63" s="1371" t="s">
        <v>5415</v>
      </c>
      <c r="H63" s="1466"/>
      <c r="K63" s="691"/>
      <c r="L63" s="691"/>
    </row>
    <row r="64" spans="1:12" ht="23.25" x14ac:dyDescent="0.35">
      <c r="A64" s="1280">
        <v>59</v>
      </c>
      <c r="B64" s="909" t="s">
        <v>6639</v>
      </c>
      <c r="C64" s="943"/>
      <c r="D64" s="1382" t="s">
        <v>7215</v>
      </c>
      <c r="E64" s="1381">
        <v>3648</v>
      </c>
      <c r="F64" s="2898">
        <v>3768</v>
      </c>
      <c r="G64" s="1371" t="s">
        <v>5415</v>
      </c>
      <c r="H64" s="1466"/>
      <c r="K64" s="691"/>
      <c r="L64" s="691"/>
    </row>
    <row r="65" spans="1:12" ht="23.25" x14ac:dyDescent="0.35">
      <c r="A65" s="1280">
        <v>60</v>
      </c>
      <c r="B65" s="2560" t="s">
        <v>6638</v>
      </c>
      <c r="C65" s="2561"/>
      <c r="D65" s="1382" t="s">
        <v>6704</v>
      </c>
      <c r="E65" s="1381">
        <v>-300</v>
      </c>
      <c r="F65" s="2898">
        <v>-300</v>
      </c>
      <c r="G65" s="1371" t="s">
        <v>5415</v>
      </c>
      <c r="H65" s="1466"/>
      <c r="K65" s="691"/>
      <c r="L65" s="691"/>
    </row>
    <row r="66" spans="1:12" ht="23.25" x14ac:dyDescent="0.35">
      <c r="A66" s="1280">
        <v>61</v>
      </c>
      <c r="B66" s="2562" t="s">
        <v>6637</v>
      </c>
      <c r="C66" s="2561"/>
      <c r="D66" s="1382" t="s">
        <v>7216</v>
      </c>
      <c r="E66" s="1381">
        <v>-478.75</v>
      </c>
      <c r="F66" s="2898">
        <v>-378.75</v>
      </c>
      <c r="G66" s="1371" t="s">
        <v>5415</v>
      </c>
      <c r="H66" s="1466"/>
      <c r="K66" s="691"/>
      <c r="L66" s="691"/>
    </row>
    <row r="67" spans="1:12" ht="23.25" x14ac:dyDescent="0.35">
      <c r="A67" s="1280">
        <v>62</v>
      </c>
      <c r="B67" s="2562" t="s">
        <v>6633</v>
      </c>
      <c r="C67" s="2561"/>
      <c r="D67" s="1382" t="s">
        <v>6705</v>
      </c>
      <c r="E67" s="1381">
        <v>1170.5999999999999</v>
      </c>
      <c r="F67" s="2898">
        <v>1370.6</v>
      </c>
      <c r="G67" s="1371" t="s">
        <v>5415</v>
      </c>
      <c r="H67" s="1466"/>
      <c r="K67" s="691"/>
      <c r="L67" s="691"/>
    </row>
    <row r="68" spans="1:12" ht="23.25" x14ac:dyDescent="0.35">
      <c r="A68" s="1280">
        <v>63</v>
      </c>
      <c r="B68" s="909" t="s">
        <v>6636</v>
      </c>
      <c r="C68" s="943"/>
      <c r="D68" s="1382" t="s">
        <v>6706</v>
      </c>
      <c r="E68" s="1381">
        <v>12875</v>
      </c>
      <c r="F68" s="2898">
        <v>13141.25</v>
      </c>
      <c r="G68" s="1371" t="s">
        <v>5415</v>
      </c>
      <c r="H68" s="1466"/>
      <c r="K68" s="691"/>
      <c r="L68" s="691"/>
    </row>
    <row r="69" spans="1:12" ht="23.25" x14ac:dyDescent="0.35">
      <c r="A69" s="1280">
        <v>64</v>
      </c>
      <c r="B69" s="2563" t="s">
        <v>6634</v>
      </c>
      <c r="C69" s="943"/>
      <c r="D69" s="1382" t="s">
        <v>7217</v>
      </c>
      <c r="E69" s="1381">
        <v>3296.3499999999995</v>
      </c>
      <c r="F69" s="2898">
        <v>3573.8499999999995</v>
      </c>
      <c r="G69" s="1371" t="s">
        <v>5415</v>
      </c>
      <c r="H69" s="2564"/>
      <c r="K69" s="691"/>
      <c r="L69" s="691"/>
    </row>
    <row r="70" spans="1:12" ht="23.25" x14ac:dyDescent="0.35">
      <c r="A70" s="1280">
        <v>65</v>
      </c>
      <c r="B70" s="909" t="s">
        <v>6641</v>
      </c>
      <c r="C70" s="943"/>
      <c r="D70" s="1382" t="s">
        <v>6707</v>
      </c>
      <c r="E70" s="1381">
        <v>0</v>
      </c>
      <c r="F70" s="2898">
        <v>0</v>
      </c>
      <c r="G70" s="1371" t="s">
        <v>5415</v>
      </c>
      <c r="H70" s="1466"/>
      <c r="K70" s="691"/>
      <c r="L70" s="691"/>
    </row>
    <row r="71" spans="1:12" ht="23.25" x14ac:dyDescent="0.35">
      <c r="A71" s="1280">
        <v>66</v>
      </c>
      <c r="B71" s="909" t="s">
        <v>4245</v>
      </c>
      <c r="C71" s="943"/>
      <c r="D71" s="1382" t="s">
        <v>6708</v>
      </c>
      <c r="E71" s="1381">
        <v>1778.75</v>
      </c>
      <c r="F71" s="2898">
        <v>1798.75</v>
      </c>
      <c r="G71" s="1371" t="s">
        <v>5415</v>
      </c>
      <c r="H71" s="1466"/>
      <c r="K71" s="691"/>
      <c r="L71" s="691"/>
    </row>
    <row r="72" spans="1:12" ht="23.25" x14ac:dyDescent="0.35">
      <c r="A72" s="1280">
        <v>67</v>
      </c>
      <c r="B72" s="909" t="s">
        <v>2777</v>
      </c>
      <c r="C72" s="943"/>
      <c r="D72" s="1382" t="s">
        <v>6709</v>
      </c>
      <c r="E72" s="1381">
        <v>-67.150000000000091</v>
      </c>
      <c r="F72" s="2898">
        <v>154.25</v>
      </c>
      <c r="G72" s="1371" t="s">
        <v>5415</v>
      </c>
      <c r="H72" s="1466"/>
      <c r="K72" s="691"/>
      <c r="L72" s="691"/>
    </row>
    <row r="73" spans="1:12" ht="23.25" x14ac:dyDescent="0.35">
      <c r="A73" s="1280">
        <v>68</v>
      </c>
      <c r="B73" s="2563" t="s">
        <v>6633</v>
      </c>
      <c r="C73" s="943"/>
      <c r="D73" s="1382" t="s">
        <v>6710</v>
      </c>
      <c r="E73" s="1381">
        <v>600</v>
      </c>
      <c r="F73" s="2898">
        <v>600</v>
      </c>
      <c r="G73" s="1371" t="s">
        <v>5415</v>
      </c>
      <c r="H73" s="1466"/>
      <c r="K73" s="691"/>
      <c r="L73" s="691"/>
    </row>
    <row r="74" spans="1:12" ht="23.25" x14ac:dyDescent="0.35">
      <c r="A74" s="1280">
        <v>69</v>
      </c>
      <c r="B74" s="909" t="s">
        <v>6632</v>
      </c>
      <c r="C74" s="943"/>
      <c r="D74" s="1382" t="s">
        <v>7218</v>
      </c>
      <c r="E74" s="1381">
        <v>-78.789999999999964</v>
      </c>
      <c r="F74" s="2898">
        <v>41.210000000000036</v>
      </c>
      <c r="G74" s="1371" t="s">
        <v>5415</v>
      </c>
      <c r="H74" s="1466"/>
      <c r="K74" s="691"/>
      <c r="L74" s="691"/>
    </row>
    <row r="75" spans="1:12" ht="23.25" x14ac:dyDescent="0.35">
      <c r="A75" s="1280">
        <v>70</v>
      </c>
      <c r="B75" s="909" t="s">
        <v>6635</v>
      </c>
      <c r="C75" s="943"/>
      <c r="D75" s="1382" t="s">
        <v>7219</v>
      </c>
      <c r="E75" s="1381">
        <v>0</v>
      </c>
      <c r="F75" s="2898">
        <v>0</v>
      </c>
      <c r="G75" s="1371" t="s">
        <v>5415</v>
      </c>
      <c r="H75" s="1466"/>
      <c r="K75" s="691"/>
      <c r="L75" s="691"/>
    </row>
    <row r="76" spans="1:12" ht="23.25" x14ac:dyDescent="0.35">
      <c r="A76" s="1280">
        <v>71</v>
      </c>
      <c r="B76" s="909" t="s">
        <v>5451</v>
      </c>
      <c r="C76" s="943"/>
      <c r="D76" s="1382" t="s">
        <v>7220</v>
      </c>
      <c r="E76" s="1381">
        <v>12363.12</v>
      </c>
      <c r="F76" s="2898">
        <v>12733.58</v>
      </c>
      <c r="G76" s="1371" t="s">
        <v>5415</v>
      </c>
      <c r="H76" s="1466"/>
      <c r="K76" s="691"/>
      <c r="L76" s="691"/>
    </row>
    <row r="77" spans="1:12" ht="23.25" x14ac:dyDescent="0.35">
      <c r="A77" s="1280">
        <v>72</v>
      </c>
      <c r="B77" s="909" t="s">
        <v>2938</v>
      </c>
      <c r="C77" s="943"/>
      <c r="D77" s="1382" t="s">
        <v>7221</v>
      </c>
      <c r="E77" s="1381">
        <v>774.67000000000007</v>
      </c>
      <c r="F77" s="2898">
        <v>945.67000000000007</v>
      </c>
      <c r="G77" s="1371" t="s">
        <v>5416</v>
      </c>
      <c r="H77" s="1466"/>
      <c r="K77" s="691"/>
      <c r="L77" s="691"/>
    </row>
    <row r="78" spans="1:12" ht="23.25" x14ac:dyDescent="0.35">
      <c r="A78" s="1280">
        <v>73</v>
      </c>
      <c r="B78" s="994" t="s">
        <v>6666</v>
      </c>
      <c r="C78" s="943" t="s">
        <v>1572</v>
      </c>
      <c r="D78" s="1382" t="s">
        <v>6711</v>
      </c>
      <c r="E78" s="1381">
        <v>2952.2999999999997</v>
      </c>
      <c r="F78" s="2898">
        <v>3301.2999999999997</v>
      </c>
      <c r="G78" s="1371" t="s">
        <v>5415</v>
      </c>
      <c r="H78" s="1466"/>
      <c r="K78" s="691"/>
      <c r="L78" s="691"/>
    </row>
    <row r="79" spans="1:12" ht="23.25" x14ac:dyDescent="0.35">
      <c r="A79" s="1280">
        <v>74</v>
      </c>
      <c r="B79" s="909" t="s">
        <v>1568</v>
      </c>
      <c r="C79" s="943"/>
      <c r="D79" s="1382" t="s">
        <v>7222</v>
      </c>
      <c r="E79" s="1381">
        <v>6482.4000000000015</v>
      </c>
      <c r="F79" s="2898">
        <v>6782.4000000000015</v>
      </c>
      <c r="G79" s="1371" t="s">
        <v>5415</v>
      </c>
      <c r="H79" s="1466"/>
      <c r="K79" s="691"/>
      <c r="L79" s="691"/>
    </row>
    <row r="80" spans="1:12" ht="34.9" x14ac:dyDescent="0.35">
      <c r="A80" s="1280">
        <v>75</v>
      </c>
      <c r="B80" s="909" t="s">
        <v>2435</v>
      </c>
      <c r="C80" s="943"/>
      <c r="D80" s="1382" t="s">
        <v>6712</v>
      </c>
      <c r="E80" s="1381">
        <v>339506.11999999994</v>
      </c>
      <c r="F80" s="2898">
        <v>339709.81999999995</v>
      </c>
      <c r="G80" s="1371" t="s">
        <v>5415</v>
      </c>
      <c r="H80" s="1466"/>
      <c r="K80" s="691"/>
      <c r="L80" s="691"/>
    </row>
    <row r="81" spans="1:12" ht="23.25" x14ac:dyDescent="0.35">
      <c r="A81" s="1280">
        <v>76</v>
      </c>
      <c r="B81" s="909" t="s">
        <v>6667</v>
      </c>
      <c r="C81" s="943"/>
      <c r="D81" s="1382" t="s">
        <v>7223</v>
      </c>
      <c r="E81" s="1381">
        <v>101.35000000000002</v>
      </c>
      <c r="F81" s="2898">
        <v>101.35000000000002</v>
      </c>
      <c r="G81" s="1371" t="s">
        <v>5415</v>
      </c>
      <c r="H81" s="1466"/>
      <c r="K81" s="691"/>
      <c r="L81" s="691"/>
    </row>
    <row r="82" spans="1:12" ht="34.9" x14ac:dyDescent="0.35">
      <c r="A82" s="1280">
        <v>77</v>
      </c>
      <c r="B82" s="909" t="s">
        <v>2197</v>
      </c>
      <c r="C82" s="943"/>
      <c r="D82" s="1382" t="s">
        <v>6713</v>
      </c>
      <c r="E82" s="1381">
        <v>8659.5499999999993</v>
      </c>
      <c r="F82" s="2898">
        <v>9063.5499999999993</v>
      </c>
      <c r="G82" s="1371" t="s">
        <v>5415</v>
      </c>
      <c r="H82" s="1466"/>
      <c r="K82" s="691"/>
      <c r="L82" s="691"/>
    </row>
    <row r="83" spans="1:12" ht="34.9" x14ac:dyDescent="0.35">
      <c r="A83" s="1280">
        <v>78</v>
      </c>
      <c r="B83" s="909" t="s">
        <v>879</v>
      </c>
      <c r="C83" s="943"/>
      <c r="D83" s="1382" t="s">
        <v>7224</v>
      </c>
      <c r="E83" s="1381">
        <v>13650.492800000004</v>
      </c>
      <c r="F83" s="2898">
        <v>14247.892800000005</v>
      </c>
      <c r="G83" s="1371" t="s">
        <v>5416</v>
      </c>
      <c r="H83" s="1466"/>
      <c r="K83" s="691"/>
      <c r="L83" s="691"/>
    </row>
    <row r="84" spans="1:12" ht="23.25" x14ac:dyDescent="0.35">
      <c r="A84" s="1280">
        <v>79</v>
      </c>
      <c r="B84" s="909" t="s">
        <v>3736</v>
      </c>
      <c r="C84" s="943"/>
      <c r="D84" s="1382" t="s">
        <v>6714</v>
      </c>
      <c r="E84" s="1381">
        <v>67648.929999999993</v>
      </c>
      <c r="F84" s="2898">
        <v>67928.929999999993</v>
      </c>
      <c r="G84" s="1371" t="s">
        <v>5416</v>
      </c>
      <c r="H84" s="1466"/>
      <c r="K84" s="691"/>
      <c r="L84" s="691"/>
    </row>
    <row r="85" spans="1:12" ht="23.25" x14ac:dyDescent="0.35">
      <c r="A85" s="1280">
        <v>80</v>
      </c>
      <c r="B85" s="909" t="s">
        <v>3957</v>
      </c>
      <c r="C85" s="943"/>
      <c r="D85" s="1382" t="s">
        <v>7225</v>
      </c>
      <c r="E85" s="1381">
        <v>-704.45</v>
      </c>
      <c r="F85" s="2898">
        <v>-704.45</v>
      </c>
      <c r="G85" s="1371" t="s">
        <v>5415</v>
      </c>
      <c r="H85" s="1466"/>
      <c r="K85" s="691"/>
      <c r="L85" s="691"/>
    </row>
    <row r="86" spans="1:12" ht="23.25" x14ac:dyDescent="0.35">
      <c r="A86" s="1280">
        <v>81</v>
      </c>
      <c r="B86" s="909" t="s">
        <v>2198</v>
      </c>
      <c r="C86" s="943"/>
      <c r="D86" s="1382" t="s">
        <v>6715</v>
      </c>
      <c r="E86" s="1381">
        <v>21659.02</v>
      </c>
      <c r="F86" s="2898">
        <v>22025.78</v>
      </c>
      <c r="G86" s="1371" t="s">
        <v>5415</v>
      </c>
      <c r="H86" s="1466"/>
      <c r="K86" s="691"/>
      <c r="L86" s="691"/>
    </row>
    <row r="87" spans="1:12" ht="23.25" x14ac:dyDescent="0.35">
      <c r="A87" s="1280">
        <v>82</v>
      </c>
      <c r="B87" s="909" t="s">
        <v>4049</v>
      </c>
      <c r="C87" s="943"/>
      <c r="D87" s="1382" t="s">
        <v>6716</v>
      </c>
      <c r="E87" s="1381">
        <v>758.97000000000116</v>
      </c>
      <c r="F87" s="2898">
        <v>1238.9700000000012</v>
      </c>
      <c r="G87" s="1371" t="s">
        <v>5415</v>
      </c>
      <c r="H87" s="1466"/>
      <c r="K87" s="691"/>
      <c r="L87" s="691"/>
    </row>
    <row r="88" spans="1:12" ht="23.25" x14ac:dyDescent="0.35">
      <c r="A88" s="1280">
        <v>83</v>
      </c>
      <c r="B88" s="909" t="s">
        <v>3728</v>
      </c>
      <c r="C88" s="943"/>
      <c r="D88" s="1382" t="s">
        <v>6717</v>
      </c>
      <c r="E88" s="1381">
        <v>1287.1999999999998</v>
      </c>
      <c r="F88" s="2898">
        <v>1287.1999999999998</v>
      </c>
      <c r="G88" s="1371" t="s">
        <v>5415</v>
      </c>
      <c r="H88" s="1466"/>
      <c r="K88" s="691"/>
      <c r="L88" s="691"/>
    </row>
    <row r="89" spans="1:12" ht="23.25" x14ac:dyDescent="0.35">
      <c r="A89" s="1280">
        <v>84</v>
      </c>
      <c r="B89" s="909" t="s">
        <v>4926</v>
      </c>
      <c r="C89" s="943"/>
      <c r="D89" s="1382" t="s">
        <v>7226</v>
      </c>
      <c r="E89" s="1381">
        <v>-1377.5</v>
      </c>
      <c r="F89" s="2898">
        <v>-1480</v>
      </c>
      <c r="G89" s="1371" t="s">
        <v>5415</v>
      </c>
      <c r="H89" s="1466"/>
      <c r="K89" s="691"/>
      <c r="L89" s="691"/>
    </row>
    <row r="90" spans="1:12" ht="23.25" x14ac:dyDescent="0.35">
      <c r="A90" s="1280">
        <v>85</v>
      </c>
      <c r="B90" s="909" t="s">
        <v>3311</v>
      </c>
      <c r="C90" s="943"/>
      <c r="D90" s="1382" t="s">
        <v>7227</v>
      </c>
      <c r="E90" s="1381">
        <v>3014.5699999999997</v>
      </c>
      <c r="F90" s="2898">
        <v>3494.5699999999997</v>
      </c>
      <c r="G90" s="1371" t="s">
        <v>5415</v>
      </c>
      <c r="H90" s="1466"/>
      <c r="K90" s="691"/>
      <c r="L90" s="691"/>
    </row>
    <row r="91" spans="1:12" ht="23.25" x14ac:dyDescent="0.35">
      <c r="A91" s="1280">
        <v>86</v>
      </c>
      <c r="B91" s="909" t="s">
        <v>2844</v>
      </c>
      <c r="C91" s="943"/>
      <c r="D91" s="1382" t="s">
        <v>8118</v>
      </c>
      <c r="E91" s="1381">
        <v>-554.80000000000018</v>
      </c>
      <c r="F91" s="2898">
        <v>-357.40000000000009</v>
      </c>
      <c r="G91" s="1371" t="s">
        <v>5415</v>
      </c>
      <c r="H91" s="1466"/>
      <c r="K91" s="691"/>
      <c r="L91" s="691"/>
    </row>
    <row r="92" spans="1:12" ht="34.9" x14ac:dyDescent="0.35">
      <c r="A92" s="1280">
        <v>87</v>
      </c>
      <c r="B92" s="2886" t="s">
        <v>8273</v>
      </c>
      <c r="C92" s="943"/>
      <c r="D92" s="2888" t="s">
        <v>7228</v>
      </c>
      <c r="E92" s="1381">
        <v>356260.49000000005</v>
      </c>
      <c r="F92" s="2898" t="s">
        <v>6673</v>
      </c>
      <c r="G92" s="1371" t="s">
        <v>5415</v>
      </c>
      <c r="H92" s="3604" t="s">
        <v>8460</v>
      </c>
      <c r="K92" s="691"/>
      <c r="L92" s="691"/>
    </row>
    <row r="93" spans="1:12" ht="34.9" x14ac:dyDescent="0.35">
      <c r="A93" s="1280">
        <v>88</v>
      </c>
      <c r="B93" s="2886" t="s">
        <v>8462</v>
      </c>
      <c r="C93" s="2887"/>
      <c r="D93" s="2888" t="s">
        <v>8463</v>
      </c>
      <c r="E93" s="2889">
        <v>355648.49000000005</v>
      </c>
      <c r="F93" s="1511" t="s">
        <v>6673</v>
      </c>
      <c r="G93" s="1511" t="s">
        <v>5415</v>
      </c>
      <c r="H93" s="3812" t="s">
        <v>8461</v>
      </c>
      <c r="K93" s="691"/>
      <c r="L93" s="691"/>
    </row>
    <row r="94" spans="1:12" ht="34.9" x14ac:dyDescent="0.35">
      <c r="A94" s="1280">
        <v>89</v>
      </c>
      <c r="B94" s="909" t="s">
        <v>3392</v>
      </c>
      <c r="C94" s="943"/>
      <c r="D94" s="1382" t="s">
        <v>7229</v>
      </c>
      <c r="E94" s="1381">
        <v>38514.699999999997</v>
      </c>
      <c r="F94" s="2898">
        <v>38754.699999999997</v>
      </c>
      <c r="G94" s="1371" t="s">
        <v>5416</v>
      </c>
      <c r="H94" s="1466"/>
      <c r="K94" s="691"/>
      <c r="L94" s="691"/>
    </row>
    <row r="95" spans="1:12" ht="23.25" x14ac:dyDescent="0.35">
      <c r="A95" s="1280">
        <v>90</v>
      </c>
      <c r="B95" s="909" t="s">
        <v>2711</v>
      </c>
      <c r="C95" s="943"/>
      <c r="D95" s="1382" t="s">
        <v>7230</v>
      </c>
      <c r="E95" s="1381">
        <v>56866.080000000002</v>
      </c>
      <c r="F95" s="2898">
        <v>57032.840000000004</v>
      </c>
      <c r="G95" s="1371" t="s">
        <v>5415</v>
      </c>
      <c r="H95" s="1466"/>
      <c r="K95" s="691"/>
      <c r="L95" s="691"/>
    </row>
    <row r="96" spans="1:12" ht="34.9" x14ac:dyDescent="0.35">
      <c r="A96" s="1280">
        <v>91</v>
      </c>
      <c r="B96" s="909" t="s">
        <v>3729</v>
      </c>
      <c r="C96" s="943"/>
      <c r="D96" s="1382" t="s">
        <v>7231</v>
      </c>
      <c r="E96" s="1381">
        <v>64655.900000000009</v>
      </c>
      <c r="F96" s="2898">
        <v>64703.210000000006</v>
      </c>
      <c r="G96" s="1371" t="s">
        <v>5415</v>
      </c>
      <c r="H96" s="1466"/>
      <c r="K96" s="691"/>
      <c r="L96" s="691"/>
    </row>
    <row r="97" spans="1:12" ht="34.9" x14ac:dyDescent="0.35">
      <c r="A97" s="1280">
        <v>92</v>
      </c>
      <c r="B97" s="909" t="s">
        <v>2814</v>
      </c>
      <c r="C97" s="943"/>
      <c r="D97" s="1382" t="s">
        <v>7232</v>
      </c>
      <c r="E97" s="1381">
        <v>17175.912799999998</v>
      </c>
      <c r="F97" s="2898">
        <v>17542.672799999997</v>
      </c>
      <c r="G97" s="1371" t="s">
        <v>5415</v>
      </c>
      <c r="H97" s="1466"/>
      <c r="K97" s="691"/>
      <c r="L97" s="691"/>
    </row>
    <row r="98" spans="1:12" ht="23.25" x14ac:dyDescent="0.35">
      <c r="A98" s="1280">
        <v>93</v>
      </c>
      <c r="B98" s="909" t="s">
        <v>4932</v>
      </c>
      <c r="C98" s="943"/>
      <c r="D98" s="1382" t="s">
        <v>7233</v>
      </c>
      <c r="E98" s="1381">
        <v>1125.0800000000017</v>
      </c>
      <c r="F98" s="2898">
        <v>1422.4799999999996</v>
      </c>
      <c r="G98" s="1371" t="s">
        <v>5415</v>
      </c>
      <c r="H98" s="1466"/>
      <c r="K98" s="691"/>
      <c r="L98" s="691"/>
    </row>
    <row r="99" spans="1:12" ht="23.25" x14ac:dyDescent="0.35">
      <c r="A99" s="1280">
        <v>94</v>
      </c>
      <c r="B99" s="909" t="s">
        <v>971</v>
      </c>
      <c r="C99" s="943"/>
      <c r="D99" s="1382" t="s">
        <v>7234</v>
      </c>
      <c r="E99" s="1381">
        <v>11402.859999999999</v>
      </c>
      <c r="F99" s="2898">
        <v>11376.82</v>
      </c>
      <c r="G99" s="1371" t="s">
        <v>5415</v>
      </c>
      <c r="H99" s="1466"/>
      <c r="K99" s="691"/>
      <c r="L99" s="691"/>
    </row>
    <row r="100" spans="1:12" ht="23.25" x14ac:dyDescent="0.35">
      <c r="A100" s="1280">
        <v>95</v>
      </c>
      <c r="B100" s="909" t="s">
        <v>8296</v>
      </c>
      <c r="C100" s="943"/>
      <c r="D100" s="1382" t="s">
        <v>7235</v>
      </c>
      <c r="E100" s="1381">
        <v>91586.87</v>
      </c>
      <c r="F100" s="2898">
        <v>91943.73</v>
      </c>
      <c r="G100" s="1371" t="s">
        <v>5415</v>
      </c>
      <c r="H100" s="1466"/>
      <c r="K100" s="691"/>
      <c r="L100" s="691"/>
    </row>
    <row r="101" spans="1:12" ht="34.9" x14ac:dyDescent="0.35">
      <c r="A101" s="1280">
        <v>96</v>
      </c>
      <c r="B101" s="909" t="s">
        <v>8295</v>
      </c>
      <c r="C101" s="943"/>
      <c r="D101" s="1382" t="s">
        <v>7236</v>
      </c>
      <c r="E101" s="1381">
        <v>97232.950000000012</v>
      </c>
      <c r="F101" s="2898">
        <v>97629.810000000012</v>
      </c>
      <c r="G101" s="1371" t="s">
        <v>5415</v>
      </c>
      <c r="H101" s="1466"/>
      <c r="K101" s="691"/>
      <c r="L101" s="691"/>
    </row>
    <row r="102" spans="1:12" ht="23.25" x14ac:dyDescent="0.35">
      <c r="A102" s="1280">
        <v>97</v>
      </c>
      <c r="B102" s="909" t="s">
        <v>3560</v>
      </c>
      <c r="C102" s="943"/>
      <c r="D102" s="1382" t="s">
        <v>7237</v>
      </c>
      <c r="E102" s="1381">
        <v>3530.6000000000004</v>
      </c>
      <c r="F102" s="2898">
        <v>3530.6000000000004</v>
      </c>
      <c r="G102" s="1371" t="s">
        <v>5415</v>
      </c>
      <c r="H102" s="1466"/>
      <c r="K102" s="691"/>
      <c r="L102" s="691"/>
    </row>
    <row r="103" spans="1:12" ht="34.9" x14ac:dyDescent="0.35">
      <c r="A103" s="1280">
        <v>98</v>
      </c>
      <c r="B103" s="909" t="s">
        <v>6642</v>
      </c>
      <c r="C103" s="943"/>
      <c r="D103" s="1382" t="s">
        <v>6718</v>
      </c>
      <c r="E103" s="1381">
        <v>51816.68</v>
      </c>
      <c r="F103" s="2898">
        <v>52120.840000000004</v>
      </c>
      <c r="G103" s="1371" t="s">
        <v>5415</v>
      </c>
      <c r="H103" s="1466"/>
      <c r="K103" s="691"/>
      <c r="L103" s="691"/>
    </row>
    <row r="104" spans="1:12" ht="23.25" x14ac:dyDescent="0.35">
      <c r="A104" s="1280">
        <v>99</v>
      </c>
      <c r="B104" s="909" t="s">
        <v>2291</v>
      </c>
      <c r="C104" s="943"/>
      <c r="D104" s="1382" t="s">
        <v>7238</v>
      </c>
      <c r="E104" s="1381">
        <v>7616.0399999999991</v>
      </c>
      <c r="F104" s="2898">
        <v>7622.7999999999993</v>
      </c>
      <c r="G104" s="1371" t="s">
        <v>5415</v>
      </c>
      <c r="H104" s="1466"/>
      <c r="K104" s="691"/>
      <c r="L104" s="691"/>
    </row>
    <row r="105" spans="1:12" ht="23.25" x14ac:dyDescent="0.35">
      <c r="A105" s="1280">
        <v>100</v>
      </c>
      <c r="B105" s="909" t="s">
        <v>1412</v>
      </c>
      <c r="C105" s="943"/>
      <c r="D105" s="1382" t="s">
        <v>7239</v>
      </c>
      <c r="E105" s="1381">
        <v>1356.9099999999999</v>
      </c>
      <c r="F105" s="2898">
        <v>1310.3099999999995</v>
      </c>
      <c r="G105" s="1371" t="s">
        <v>5415</v>
      </c>
      <c r="H105" s="1466"/>
      <c r="K105" s="691"/>
      <c r="L105" s="691"/>
    </row>
    <row r="106" spans="1:12" ht="23.25" x14ac:dyDescent="0.35">
      <c r="A106" s="1280">
        <v>101</v>
      </c>
      <c r="B106" s="909" t="s">
        <v>640</v>
      </c>
      <c r="C106" s="943"/>
      <c r="D106" s="1382" t="s">
        <v>7240</v>
      </c>
      <c r="E106" s="1381">
        <v>3148.55</v>
      </c>
      <c r="F106" s="2898">
        <v>2899.3499999999995</v>
      </c>
      <c r="G106" s="1371" t="s">
        <v>5415</v>
      </c>
      <c r="H106" s="1466"/>
      <c r="K106" s="691"/>
      <c r="L106" s="691"/>
    </row>
    <row r="107" spans="1:12" ht="23.25" x14ac:dyDescent="0.35">
      <c r="A107" s="1280">
        <v>102</v>
      </c>
      <c r="B107" s="909" t="s">
        <v>641</v>
      </c>
      <c r="C107" s="943"/>
      <c r="D107" s="1382" t="s">
        <v>7241</v>
      </c>
      <c r="E107" s="1381">
        <v>9834.09</v>
      </c>
      <c r="F107" s="2898">
        <v>9980.85</v>
      </c>
      <c r="G107" s="1371" t="s">
        <v>5415</v>
      </c>
      <c r="H107" s="1466"/>
      <c r="K107" s="691"/>
      <c r="L107" s="691"/>
    </row>
    <row r="108" spans="1:12" ht="34.9" x14ac:dyDescent="0.35">
      <c r="A108" s="1280">
        <v>103</v>
      </c>
      <c r="B108" s="909" t="s">
        <v>6592</v>
      </c>
      <c r="C108" s="943"/>
      <c r="D108" s="1382" t="s">
        <v>7242</v>
      </c>
      <c r="E108" s="1381">
        <v>-3888.6671999999999</v>
      </c>
      <c r="F108" s="2898">
        <v>-3888.6671999999999</v>
      </c>
      <c r="G108" s="1371" t="s">
        <v>5416</v>
      </c>
      <c r="H108" s="1466"/>
      <c r="K108" s="691"/>
      <c r="L108" s="691"/>
    </row>
    <row r="109" spans="1:12" ht="23.25" x14ac:dyDescent="0.35">
      <c r="A109" s="1280">
        <v>104</v>
      </c>
      <c r="B109" s="909" t="s">
        <v>6672</v>
      </c>
      <c r="C109" s="943"/>
      <c r="D109" s="1382" t="s">
        <v>7243</v>
      </c>
      <c r="E109" s="1381">
        <v>-876.2</v>
      </c>
      <c r="F109" s="2898">
        <v>-840</v>
      </c>
      <c r="G109" s="1371" t="s">
        <v>5415</v>
      </c>
      <c r="H109" s="1466"/>
      <c r="K109" s="691"/>
      <c r="L109" s="691"/>
    </row>
    <row r="110" spans="1:12" ht="34.9" x14ac:dyDescent="0.35">
      <c r="A110" s="1280">
        <v>105</v>
      </c>
      <c r="B110" s="909" t="s">
        <v>6591</v>
      </c>
      <c r="C110" s="943"/>
      <c r="D110" s="1382" t="s">
        <v>7244</v>
      </c>
      <c r="E110" s="1381">
        <v>110250.32</v>
      </c>
      <c r="F110" s="2898">
        <v>110458.28000000001</v>
      </c>
      <c r="G110" s="1371" t="s">
        <v>5416</v>
      </c>
      <c r="H110" s="1466"/>
      <c r="K110" s="691"/>
      <c r="L110" s="691"/>
    </row>
    <row r="111" spans="1:12" ht="23.25" x14ac:dyDescent="0.35">
      <c r="A111" s="1280">
        <v>106</v>
      </c>
      <c r="B111" s="909" t="s">
        <v>3366</v>
      </c>
      <c r="C111" s="943"/>
      <c r="D111" s="1382" t="s">
        <v>7245</v>
      </c>
      <c r="E111" s="1381">
        <v>3995.0300000000061</v>
      </c>
      <c r="F111" s="2898">
        <v>4295.0300000000061</v>
      </c>
      <c r="G111" s="1371" t="s">
        <v>5416</v>
      </c>
      <c r="H111" s="1466"/>
      <c r="K111" s="691"/>
      <c r="L111" s="691"/>
    </row>
    <row r="112" spans="1:12" ht="23.25" x14ac:dyDescent="0.35">
      <c r="A112" s="1280">
        <v>107</v>
      </c>
      <c r="B112" s="909" t="s">
        <v>1608</v>
      </c>
      <c r="C112" s="943"/>
      <c r="D112" s="1382" t="s">
        <v>6719</v>
      </c>
      <c r="E112" s="1381">
        <v>24600.9</v>
      </c>
      <c r="F112" s="2898">
        <v>24700.9</v>
      </c>
      <c r="G112" s="1371" t="s">
        <v>5415</v>
      </c>
      <c r="H112" s="1466"/>
      <c r="K112" s="691"/>
      <c r="L112" s="691"/>
    </row>
    <row r="113" spans="1:12" ht="34.9" x14ac:dyDescent="0.35">
      <c r="A113" s="1280">
        <v>108</v>
      </c>
      <c r="B113" s="909" t="s">
        <v>6593</v>
      </c>
      <c r="C113" s="943"/>
      <c r="D113" s="1382" t="s">
        <v>7246</v>
      </c>
      <c r="E113" s="1381">
        <v>42496.709999999992</v>
      </c>
      <c r="F113" s="2898">
        <v>42982.069999999992</v>
      </c>
      <c r="G113" s="1371" t="s">
        <v>5416</v>
      </c>
      <c r="H113" s="1466"/>
      <c r="K113" s="691"/>
      <c r="L113" s="691"/>
    </row>
    <row r="114" spans="1:12" ht="23.25" x14ac:dyDescent="0.35">
      <c r="A114" s="1280">
        <v>109</v>
      </c>
      <c r="B114" s="909" t="s">
        <v>1640</v>
      </c>
      <c r="C114" s="943"/>
      <c r="D114" s="1382" t="s">
        <v>7247</v>
      </c>
      <c r="E114" s="1381">
        <v>4061.19</v>
      </c>
      <c r="F114" s="2898">
        <v>4167.95</v>
      </c>
      <c r="G114" s="1371" t="s">
        <v>5415</v>
      </c>
      <c r="H114" s="1466"/>
      <c r="K114" s="691"/>
      <c r="L114" s="691"/>
    </row>
    <row r="115" spans="1:12" ht="23.25" x14ac:dyDescent="0.35">
      <c r="A115" s="1280">
        <v>110</v>
      </c>
      <c r="B115" s="909" t="s">
        <v>3269</v>
      </c>
      <c r="C115" s="943"/>
      <c r="D115" s="1382" t="s">
        <v>7248</v>
      </c>
      <c r="E115" s="1381">
        <v>12390</v>
      </c>
      <c r="F115" s="2898">
        <v>12580</v>
      </c>
      <c r="G115" s="1371" t="s">
        <v>5415</v>
      </c>
      <c r="H115" s="1466"/>
      <c r="K115" s="691"/>
      <c r="L115" s="691"/>
    </row>
    <row r="116" spans="1:12" ht="23.25" x14ac:dyDescent="0.35">
      <c r="A116" s="1280">
        <v>111</v>
      </c>
      <c r="B116" s="909" t="s">
        <v>1436</v>
      </c>
      <c r="C116" s="943"/>
      <c r="D116" s="1382" t="s">
        <v>6720</v>
      </c>
      <c r="E116" s="1381">
        <v>-227.64999999999964</v>
      </c>
      <c r="F116" s="2898">
        <v>169.75</v>
      </c>
      <c r="G116" s="1371" t="s">
        <v>5416</v>
      </c>
      <c r="H116" s="1466"/>
      <c r="K116" s="691"/>
      <c r="L116" s="691"/>
    </row>
    <row r="117" spans="1:12" ht="23.25" x14ac:dyDescent="0.35">
      <c r="A117" s="1280">
        <v>112</v>
      </c>
      <c r="B117" s="909" t="s">
        <v>622</v>
      </c>
      <c r="C117" s="943"/>
      <c r="D117" s="1382" t="s">
        <v>7249</v>
      </c>
      <c r="E117" s="1381">
        <v>25913.769999999997</v>
      </c>
      <c r="F117" s="2898">
        <v>26965.550000000003</v>
      </c>
      <c r="G117" s="1371" t="s">
        <v>5416</v>
      </c>
      <c r="H117" s="1466"/>
      <c r="K117" s="691"/>
      <c r="L117" s="691"/>
    </row>
    <row r="118" spans="1:12" ht="23.25" x14ac:dyDescent="0.35">
      <c r="A118" s="1280">
        <v>113</v>
      </c>
      <c r="B118" s="909" t="s">
        <v>1638</v>
      </c>
      <c r="C118" s="943"/>
      <c r="D118" s="1382" t="s">
        <v>7250</v>
      </c>
      <c r="E118" s="1381">
        <v>22699.829999999994</v>
      </c>
      <c r="F118" s="2898">
        <v>23099.829999999994</v>
      </c>
      <c r="G118" s="1371" t="s">
        <v>5416</v>
      </c>
      <c r="H118" s="1466"/>
      <c r="K118" s="691"/>
    </row>
    <row r="119" spans="1:12" ht="23.25" x14ac:dyDescent="0.35">
      <c r="A119" s="1280">
        <v>114</v>
      </c>
      <c r="B119" s="909" t="s">
        <v>3094</v>
      </c>
      <c r="C119" s="943"/>
      <c r="D119" s="1382" t="s">
        <v>6721</v>
      </c>
      <c r="E119" s="1381">
        <v>59919.75</v>
      </c>
      <c r="F119" s="2898">
        <v>59919.75</v>
      </c>
      <c r="G119" s="1371" t="s">
        <v>5416</v>
      </c>
      <c r="H119" s="1466"/>
      <c r="K119" s="691"/>
    </row>
    <row r="120" spans="1:12" ht="23.25" x14ac:dyDescent="0.35">
      <c r="A120" s="1280">
        <v>115</v>
      </c>
      <c r="B120" s="909" t="s">
        <v>4914</v>
      </c>
      <c r="C120" s="943"/>
      <c r="D120" s="1382" t="s">
        <v>6722</v>
      </c>
      <c r="E120" s="1381">
        <v>21392.35</v>
      </c>
      <c r="F120" s="2898">
        <v>21592.35</v>
      </c>
      <c r="G120" s="1371" t="s">
        <v>5416</v>
      </c>
      <c r="H120" s="1466"/>
    </row>
    <row r="121" spans="1:12" ht="23.25" x14ac:dyDescent="0.35">
      <c r="A121" s="1280">
        <v>116</v>
      </c>
      <c r="B121" s="994" t="s">
        <v>835</v>
      </c>
      <c r="C121" s="943"/>
      <c r="D121" s="1382" t="s">
        <v>7251</v>
      </c>
      <c r="E121" s="1381">
        <v>1284.5999999999999</v>
      </c>
      <c r="F121" s="2898">
        <v>1507.1</v>
      </c>
      <c r="G121" s="1371" t="s">
        <v>5415</v>
      </c>
      <c r="H121" s="1466"/>
    </row>
    <row r="122" spans="1:12" ht="23.25" x14ac:dyDescent="0.35">
      <c r="A122" s="1280">
        <v>117</v>
      </c>
      <c r="B122" s="909" t="s">
        <v>4017</v>
      </c>
      <c r="C122" s="943"/>
      <c r="D122" s="1382" t="s">
        <v>6723</v>
      </c>
      <c r="E122" s="1381">
        <v>11664.400000000001</v>
      </c>
      <c r="F122" s="2898">
        <v>12064.400000000001</v>
      </c>
      <c r="G122" s="1371" t="s">
        <v>5415</v>
      </c>
      <c r="H122" s="1466"/>
    </row>
    <row r="123" spans="1:12" ht="23.25" x14ac:dyDescent="0.35">
      <c r="A123" s="1280">
        <v>118</v>
      </c>
      <c r="B123" s="909" t="s">
        <v>3249</v>
      </c>
      <c r="C123" s="943"/>
      <c r="D123" s="1382" t="s">
        <v>7252</v>
      </c>
      <c r="E123" s="1381">
        <v>-3611.25</v>
      </c>
      <c r="F123" s="2898">
        <v>-3611.25</v>
      </c>
      <c r="G123" s="1371" t="s">
        <v>5415</v>
      </c>
      <c r="H123" s="1466"/>
    </row>
    <row r="124" spans="1:12" ht="23.25" x14ac:dyDescent="0.35">
      <c r="A124" s="1280">
        <v>119</v>
      </c>
      <c r="B124" s="909" t="s">
        <v>3250</v>
      </c>
      <c r="C124" s="943"/>
      <c r="D124" s="1382" t="s">
        <v>6724</v>
      </c>
      <c r="E124" s="1381">
        <v>0</v>
      </c>
      <c r="F124" s="2898">
        <v>0</v>
      </c>
      <c r="G124" s="1371" t="s">
        <v>5415</v>
      </c>
      <c r="H124" s="1466"/>
    </row>
    <row r="125" spans="1:12" ht="23.25" x14ac:dyDescent="0.35">
      <c r="A125" s="1280">
        <v>120</v>
      </c>
      <c r="B125" s="909" t="s">
        <v>3251</v>
      </c>
      <c r="C125" s="943"/>
      <c r="D125" s="1382" t="s">
        <v>7253</v>
      </c>
      <c r="E125" s="1381">
        <v>-91.25</v>
      </c>
      <c r="F125" s="2898">
        <v>-91.25</v>
      </c>
      <c r="G125" s="1371" t="s">
        <v>5415</v>
      </c>
      <c r="H125" s="1466"/>
    </row>
    <row r="126" spans="1:12" ht="23.25" x14ac:dyDescent="0.35">
      <c r="A126" s="1280">
        <v>121</v>
      </c>
      <c r="B126" s="909" t="s">
        <v>3967</v>
      </c>
      <c r="C126" s="943"/>
      <c r="D126" s="1382" t="s">
        <v>6725</v>
      </c>
      <c r="E126" s="1381">
        <v>-1123.5</v>
      </c>
      <c r="F126" s="2898">
        <v>-1018.5</v>
      </c>
      <c r="G126" s="1371" t="s">
        <v>5415</v>
      </c>
      <c r="H126" s="1466"/>
    </row>
    <row r="127" spans="1:12" ht="23.25" x14ac:dyDescent="0.35">
      <c r="A127" s="1280">
        <v>122</v>
      </c>
      <c r="B127" s="909" t="s">
        <v>4018</v>
      </c>
      <c r="C127" s="943"/>
      <c r="D127" s="1382" t="s">
        <v>6726</v>
      </c>
      <c r="E127" s="1381">
        <v>-624.20000000000005</v>
      </c>
      <c r="F127" s="2898">
        <v>-546</v>
      </c>
      <c r="G127" s="1371" t="s">
        <v>5416</v>
      </c>
      <c r="H127" s="1466"/>
    </row>
    <row r="128" spans="1:12" ht="23.25" x14ac:dyDescent="0.35">
      <c r="A128" s="1280">
        <v>123</v>
      </c>
      <c r="B128" s="909" t="s">
        <v>4019</v>
      </c>
      <c r="C128" s="943"/>
      <c r="D128" s="1382" t="s">
        <v>7254</v>
      </c>
      <c r="E128" s="1381">
        <v>-102.64999999999998</v>
      </c>
      <c r="F128" s="2898">
        <v>-69.850000000000023</v>
      </c>
      <c r="G128" s="1371" t="s">
        <v>5416</v>
      </c>
      <c r="H128" s="1466"/>
    </row>
    <row r="129" spans="1:8" ht="23.25" x14ac:dyDescent="0.35">
      <c r="A129" s="1280">
        <v>124</v>
      </c>
      <c r="B129" s="909" t="s">
        <v>4020</v>
      </c>
      <c r="C129" s="943"/>
      <c r="D129" s="1382" t="s">
        <v>6727</v>
      </c>
      <c r="E129" s="1381">
        <v>314235.24</v>
      </c>
      <c r="F129" s="2898">
        <v>314435.24</v>
      </c>
      <c r="G129" s="1371" t="s">
        <v>5416</v>
      </c>
      <c r="H129" s="1466"/>
    </row>
    <row r="130" spans="1:8" ht="23.25" x14ac:dyDescent="0.35">
      <c r="A130" s="1280">
        <v>125</v>
      </c>
      <c r="B130" s="909" t="s">
        <v>619</v>
      </c>
      <c r="C130" s="943"/>
      <c r="D130" s="1382" t="s">
        <v>7255</v>
      </c>
      <c r="E130" s="1381">
        <v>15765.4</v>
      </c>
      <c r="F130" s="2898">
        <v>16005.4</v>
      </c>
      <c r="G130" s="1371" t="s">
        <v>5415</v>
      </c>
      <c r="H130" s="1466"/>
    </row>
    <row r="131" spans="1:8" ht="23.25" x14ac:dyDescent="0.35">
      <c r="A131" s="1280">
        <v>126</v>
      </c>
      <c r="B131" s="909" t="s">
        <v>4021</v>
      </c>
      <c r="C131" s="943"/>
      <c r="D131" s="1382" t="s">
        <v>6728</v>
      </c>
      <c r="E131" s="1381">
        <v>13177.800000000003</v>
      </c>
      <c r="F131" s="2898">
        <v>13515.2</v>
      </c>
      <c r="G131" s="1371" t="s">
        <v>5415</v>
      </c>
      <c r="H131" s="1466"/>
    </row>
    <row r="132" spans="1:8" ht="23.25" x14ac:dyDescent="0.35">
      <c r="A132" s="1280">
        <v>127</v>
      </c>
      <c r="B132" s="909" t="s">
        <v>4022</v>
      </c>
      <c r="C132" s="943"/>
      <c r="D132" s="1382" t="s">
        <v>6729</v>
      </c>
      <c r="E132" s="1381">
        <v>1404.31</v>
      </c>
      <c r="F132" s="2898">
        <v>367.27</v>
      </c>
      <c r="G132" s="1371" t="s">
        <v>5415</v>
      </c>
      <c r="H132" s="1466"/>
    </row>
    <row r="133" spans="1:8" ht="23.25" x14ac:dyDescent="0.35">
      <c r="A133" s="1280">
        <v>128</v>
      </c>
      <c r="B133" s="909" t="s">
        <v>4922</v>
      </c>
      <c r="C133" s="943"/>
      <c r="D133" s="1382" t="s">
        <v>7256</v>
      </c>
      <c r="E133" s="1381">
        <v>19228.2</v>
      </c>
      <c r="F133" s="2898">
        <v>19665.599999999999</v>
      </c>
      <c r="G133" s="1371" t="s">
        <v>5415</v>
      </c>
      <c r="H133" s="1466"/>
    </row>
    <row r="134" spans="1:8" ht="23.25" x14ac:dyDescent="0.35">
      <c r="A134" s="1280">
        <v>129</v>
      </c>
      <c r="B134" s="909" t="s">
        <v>4931</v>
      </c>
      <c r="C134" s="943"/>
      <c r="D134" s="1382" t="s">
        <v>6730</v>
      </c>
      <c r="E134" s="1381">
        <v>11385.689999999999</v>
      </c>
      <c r="F134" s="2898">
        <v>11792.449999999997</v>
      </c>
      <c r="G134" s="1371" t="s">
        <v>5415</v>
      </c>
      <c r="H134" s="1466"/>
    </row>
    <row r="135" spans="1:8" ht="23.25" x14ac:dyDescent="0.35">
      <c r="A135" s="1280">
        <v>130</v>
      </c>
      <c r="B135" s="909" t="s">
        <v>3741</v>
      </c>
      <c r="C135" s="943"/>
      <c r="D135" s="1382" t="s">
        <v>7257</v>
      </c>
      <c r="E135" s="1381">
        <v>39573.800000000003</v>
      </c>
      <c r="F135" s="2898">
        <v>39773.800000000003</v>
      </c>
      <c r="G135" s="1371" t="s">
        <v>5415</v>
      </c>
      <c r="H135" s="1466"/>
    </row>
    <row r="136" spans="1:8" ht="23.25" x14ac:dyDescent="0.35">
      <c r="A136" s="1280">
        <v>131</v>
      </c>
      <c r="B136" s="909" t="s">
        <v>3968</v>
      </c>
      <c r="C136" s="943"/>
      <c r="D136" s="1382" t="s">
        <v>7258</v>
      </c>
      <c r="E136" s="1381">
        <v>1610</v>
      </c>
      <c r="F136" s="2898">
        <v>1710</v>
      </c>
      <c r="G136" s="1371" t="s">
        <v>5415</v>
      </c>
      <c r="H136" s="1466"/>
    </row>
    <row r="137" spans="1:8" ht="23.25" x14ac:dyDescent="0.35">
      <c r="A137" s="1280">
        <v>132</v>
      </c>
      <c r="B137" s="909" t="s">
        <v>4933</v>
      </c>
      <c r="C137" s="943"/>
      <c r="D137" s="1382" t="s">
        <v>7259</v>
      </c>
      <c r="E137" s="1381">
        <v>199</v>
      </c>
      <c r="F137" s="2898">
        <v>224</v>
      </c>
      <c r="G137" s="1371" t="s">
        <v>5415</v>
      </c>
      <c r="H137" s="1466"/>
    </row>
    <row r="138" spans="1:8" ht="23.25" x14ac:dyDescent="0.35">
      <c r="A138" s="1280">
        <v>133</v>
      </c>
      <c r="B138" s="909" t="s">
        <v>2321</v>
      </c>
      <c r="C138" s="943"/>
      <c r="D138" s="1382" t="s">
        <v>6731</v>
      </c>
      <c r="E138" s="1381">
        <v>264.9699999999998</v>
      </c>
      <c r="F138" s="2898">
        <v>264.9699999999998</v>
      </c>
      <c r="G138" s="1371" t="s">
        <v>5415</v>
      </c>
      <c r="H138" s="1466"/>
    </row>
    <row r="139" spans="1:8" ht="23.25" x14ac:dyDescent="0.35">
      <c r="A139" s="1280">
        <v>134</v>
      </c>
      <c r="B139" s="909" t="s">
        <v>3048</v>
      </c>
      <c r="C139" s="943"/>
      <c r="D139" s="1382" t="s">
        <v>6732</v>
      </c>
      <c r="E139" s="1381">
        <v>35004.699999999997</v>
      </c>
      <c r="F139" s="2898">
        <v>35371.46</v>
      </c>
      <c r="G139" s="1371" t="s">
        <v>5415</v>
      </c>
      <c r="H139" s="1466"/>
    </row>
    <row r="140" spans="1:8" ht="23.25" x14ac:dyDescent="0.35">
      <c r="A140" s="1280">
        <v>135</v>
      </c>
      <c r="B140" s="909" t="s">
        <v>3049</v>
      </c>
      <c r="C140" s="943"/>
      <c r="D140" s="1382" t="s">
        <v>6733</v>
      </c>
      <c r="E140" s="1381">
        <v>3982.2</v>
      </c>
      <c r="F140" s="2898">
        <v>4579.6000000000004</v>
      </c>
      <c r="G140" s="1371" t="s">
        <v>5415</v>
      </c>
      <c r="H140" s="1466"/>
    </row>
    <row r="141" spans="1:8" ht="23.25" x14ac:dyDescent="0.35">
      <c r="A141" s="1280">
        <v>136</v>
      </c>
      <c r="B141" s="2886" t="s">
        <v>8294</v>
      </c>
      <c r="C141" s="943"/>
      <c r="D141" s="2888" t="s">
        <v>8390</v>
      </c>
      <c r="E141" s="1381">
        <v>209034.46</v>
      </c>
      <c r="F141" s="2898" t="s">
        <v>6673</v>
      </c>
      <c r="G141" s="1371" t="s">
        <v>5415</v>
      </c>
      <c r="H141" s="3604" t="s">
        <v>8188</v>
      </c>
    </row>
    <row r="142" spans="1:8" ht="23.25" x14ac:dyDescent="0.35">
      <c r="A142" s="1280">
        <v>137</v>
      </c>
      <c r="B142" s="909" t="s">
        <v>3724</v>
      </c>
      <c r="C142" s="943"/>
      <c r="D142" s="1382" t="s">
        <v>6734</v>
      </c>
      <c r="E142" s="1381">
        <v>47199.7</v>
      </c>
      <c r="F142" s="2898">
        <v>47599.7</v>
      </c>
      <c r="G142" s="1371" t="s">
        <v>5415</v>
      </c>
      <c r="H142" s="1466"/>
    </row>
    <row r="143" spans="1:8" ht="23.25" x14ac:dyDescent="0.35">
      <c r="A143" s="1280">
        <v>138</v>
      </c>
      <c r="B143" s="909" t="s">
        <v>3050</v>
      </c>
      <c r="C143" s="943"/>
      <c r="D143" s="1382" t="s">
        <v>6735</v>
      </c>
      <c r="E143" s="1381">
        <v>-213.15</v>
      </c>
      <c r="F143" s="2898">
        <v>-215.7</v>
      </c>
      <c r="G143" s="1371" t="s">
        <v>5416</v>
      </c>
      <c r="H143" s="1466"/>
    </row>
    <row r="144" spans="1:8" ht="23.25" x14ac:dyDescent="0.35">
      <c r="A144" s="1280">
        <v>139</v>
      </c>
      <c r="B144" s="909" t="s">
        <v>3051</v>
      </c>
      <c r="C144" s="943"/>
      <c r="D144" s="1382" t="s">
        <v>6736</v>
      </c>
      <c r="E144" s="1381">
        <v>19292.14</v>
      </c>
      <c r="F144" s="2898">
        <v>20290.02</v>
      </c>
      <c r="G144" s="1371" t="s">
        <v>5416</v>
      </c>
      <c r="H144" s="1466"/>
    </row>
    <row r="145" spans="1:8" ht="23.25" x14ac:dyDescent="0.35">
      <c r="A145" s="1280">
        <v>140</v>
      </c>
      <c r="B145" s="909" t="s">
        <v>3561</v>
      </c>
      <c r="C145" s="943"/>
      <c r="D145" s="1382" t="s">
        <v>7260</v>
      </c>
      <c r="E145" s="1381">
        <v>2805.32</v>
      </c>
      <c r="F145" s="2898">
        <v>3437.5</v>
      </c>
      <c r="G145" s="1371" t="s">
        <v>5416</v>
      </c>
      <c r="H145" s="1466"/>
    </row>
    <row r="146" spans="1:8" ht="23.25" x14ac:dyDescent="0.35">
      <c r="A146" s="1280">
        <v>141</v>
      </c>
      <c r="B146" s="909" t="s">
        <v>3562</v>
      </c>
      <c r="C146" s="943"/>
      <c r="D146" s="1382" t="s">
        <v>7261</v>
      </c>
      <c r="E146" s="1381">
        <v>4315.72</v>
      </c>
      <c r="F146" s="2898">
        <v>6203.1</v>
      </c>
      <c r="G146" s="1371" t="s">
        <v>5416</v>
      </c>
      <c r="H146" s="1466"/>
    </row>
    <row r="147" spans="1:8" ht="23.25" x14ac:dyDescent="0.35">
      <c r="A147" s="1280">
        <v>142</v>
      </c>
      <c r="B147" s="909" t="s">
        <v>4921</v>
      </c>
      <c r="C147" s="943"/>
      <c r="D147" s="1382" t="s">
        <v>7262</v>
      </c>
      <c r="E147" s="1381">
        <v>2692.2</v>
      </c>
      <c r="F147" s="2898">
        <v>1529.6</v>
      </c>
      <c r="G147" s="1371" t="s">
        <v>5416</v>
      </c>
      <c r="H147" s="1466"/>
    </row>
    <row r="148" spans="1:8" ht="23.25" x14ac:dyDescent="0.35">
      <c r="A148" s="1280">
        <v>143</v>
      </c>
      <c r="B148" s="909" t="s">
        <v>3420</v>
      </c>
      <c r="C148" s="943"/>
      <c r="D148" s="1382" t="s">
        <v>7263</v>
      </c>
      <c r="E148" s="1381">
        <v>4585</v>
      </c>
      <c r="F148" s="2898">
        <v>4605</v>
      </c>
      <c r="G148" s="1371" t="s">
        <v>5416</v>
      </c>
      <c r="H148" s="1466"/>
    </row>
    <row r="149" spans="1:8" ht="23.25" x14ac:dyDescent="0.35">
      <c r="A149" s="1280">
        <v>144</v>
      </c>
      <c r="B149" s="909" t="s">
        <v>3385</v>
      </c>
      <c r="C149" s="943"/>
      <c r="D149" s="1382" t="s">
        <v>6737</v>
      </c>
      <c r="E149" s="1381">
        <v>-4199.6199999999981</v>
      </c>
      <c r="F149" s="2898">
        <v>-4224.5699999999979</v>
      </c>
      <c r="G149" s="1371" t="s">
        <v>5416</v>
      </c>
      <c r="H149" s="1466"/>
    </row>
    <row r="150" spans="1:8" ht="23.25" x14ac:dyDescent="0.35">
      <c r="A150" s="1280">
        <v>145</v>
      </c>
      <c r="B150" s="909" t="s">
        <v>6674</v>
      </c>
      <c r="C150" s="943"/>
      <c r="D150" s="1382" t="s">
        <v>6738</v>
      </c>
      <c r="E150" s="1381">
        <v>4906.9400000000005</v>
      </c>
      <c r="F150" s="2898">
        <v>5602.2199999999993</v>
      </c>
      <c r="G150" s="1371" t="s">
        <v>5416</v>
      </c>
      <c r="H150" s="1466"/>
    </row>
    <row r="151" spans="1:8" ht="23.25" x14ac:dyDescent="0.35">
      <c r="A151" s="1280">
        <v>146</v>
      </c>
      <c r="B151" s="909" t="s">
        <v>3052</v>
      </c>
      <c r="C151" s="943"/>
      <c r="D151" s="1382" t="s">
        <v>6739</v>
      </c>
      <c r="E151" s="1381">
        <v>37854.67</v>
      </c>
      <c r="F151" s="2898">
        <v>38357.5</v>
      </c>
      <c r="G151" s="1371" t="s">
        <v>5416</v>
      </c>
      <c r="H151" s="1466"/>
    </row>
    <row r="152" spans="1:8" ht="23.25" x14ac:dyDescent="0.35">
      <c r="A152" s="1280">
        <v>147</v>
      </c>
      <c r="B152" s="909" t="s">
        <v>6631</v>
      </c>
      <c r="C152" s="943"/>
      <c r="D152" s="1382" t="s">
        <v>7264</v>
      </c>
      <c r="E152" s="1381">
        <v>1285.0499999999993</v>
      </c>
      <c r="F152" s="2898">
        <v>1346.6</v>
      </c>
      <c r="G152" s="1371" t="s">
        <v>5416</v>
      </c>
      <c r="H152" s="1466"/>
    </row>
    <row r="153" spans="1:8" ht="23.25" x14ac:dyDescent="0.35">
      <c r="A153" s="1280">
        <v>148</v>
      </c>
      <c r="B153" s="909" t="s">
        <v>3053</v>
      </c>
      <c r="C153" s="943"/>
      <c r="D153" s="1382" t="s">
        <v>7265</v>
      </c>
      <c r="E153" s="1381">
        <v>52393.09</v>
      </c>
      <c r="F153" s="2898">
        <v>53012.250000000007</v>
      </c>
      <c r="G153" s="1371" t="s">
        <v>5416</v>
      </c>
      <c r="H153" s="1466"/>
    </row>
    <row r="154" spans="1:8" ht="23.25" x14ac:dyDescent="0.35">
      <c r="A154" s="1280">
        <v>149</v>
      </c>
      <c r="B154" s="980" t="s">
        <v>5452</v>
      </c>
      <c r="C154" s="949"/>
      <c r="D154" s="1382" t="s">
        <v>7266</v>
      </c>
      <c r="E154" s="1381">
        <v>2469.2999999999997</v>
      </c>
      <c r="F154" s="2898">
        <v>2478.4999999999995</v>
      </c>
      <c r="G154" s="1371" t="s">
        <v>5415</v>
      </c>
      <c r="H154" s="1466"/>
    </row>
    <row r="155" spans="1:8" ht="23.25" x14ac:dyDescent="0.35">
      <c r="A155" s="1280">
        <v>150</v>
      </c>
      <c r="B155" s="947" t="s">
        <v>4928</v>
      </c>
      <c r="C155" s="945"/>
      <c r="D155" s="1386" t="s">
        <v>6740</v>
      </c>
      <c r="E155" s="1381">
        <v>10900</v>
      </c>
      <c r="F155" s="2898">
        <v>11300</v>
      </c>
      <c r="G155" s="1371" t="s">
        <v>5415</v>
      </c>
      <c r="H155" s="1466"/>
    </row>
    <row r="156" spans="1:8" ht="23.25" x14ac:dyDescent="0.35">
      <c r="A156" s="1281">
        <v>151</v>
      </c>
      <c r="B156" s="1272" t="s">
        <v>4927</v>
      </c>
      <c r="C156" s="946"/>
      <c r="D156" s="1387" t="s">
        <v>6741</v>
      </c>
      <c r="E156" s="1381">
        <v>11511.650000000001</v>
      </c>
      <c r="F156" s="2898">
        <v>11910.400000000001</v>
      </c>
      <c r="G156" s="1371" t="s">
        <v>5415</v>
      </c>
      <c r="H156" s="1466"/>
    </row>
    <row r="157" spans="1:8" ht="23.25" x14ac:dyDescent="0.35">
      <c r="A157" s="1281">
        <v>152</v>
      </c>
      <c r="B157" s="947" t="s">
        <v>4918</v>
      </c>
      <c r="C157" s="948"/>
      <c r="D157" s="1387" t="s">
        <v>6742</v>
      </c>
      <c r="E157" s="1381">
        <v>12455.1</v>
      </c>
      <c r="F157" s="2898">
        <v>12642.55</v>
      </c>
      <c r="G157" s="1371" t="s">
        <v>5415</v>
      </c>
      <c r="H157" s="1466"/>
    </row>
    <row r="158" spans="1:8" ht="23.25" x14ac:dyDescent="0.35">
      <c r="A158" s="1281">
        <v>153</v>
      </c>
      <c r="B158" s="947" t="s">
        <v>3367</v>
      </c>
      <c r="C158" s="948"/>
      <c r="D158" s="1387" t="s">
        <v>6743</v>
      </c>
      <c r="E158" s="1381">
        <v>30834.86</v>
      </c>
      <c r="F158" s="2898">
        <v>31242.97</v>
      </c>
      <c r="G158" s="1371" t="s">
        <v>5415</v>
      </c>
      <c r="H158" s="1466"/>
    </row>
    <row r="159" spans="1:8" ht="23.25" x14ac:dyDescent="0.35">
      <c r="A159" s="1280">
        <v>154</v>
      </c>
      <c r="B159" s="947" t="s">
        <v>1413</v>
      </c>
      <c r="C159" s="945"/>
      <c r="D159" s="1387" t="s">
        <v>6744</v>
      </c>
      <c r="E159" s="1388">
        <v>1935.1</v>
      </c>
      <c r="F159" s="2901">
        <v>1952.55</v>
      </c>
      <c r="G159" s="1371" t="s">
        <v>5415</v>
      </c>
      <c r="H159" s="1466"/>
    </row>
    <row r="160" spans="1:8" ht="23.25" x14ac:dyDescent="0.35">
      <c r="A160" s="1280">
        <v>155</v>
      </c>
      <c r="B160" s="947" t="s">
        <v>1826</v>
      </c>
      <c r="C160" s="945"/>
      <c r="D160" s="1387" t="s">
        <v>6745</v>
      </c>
      <c r="E160" s="1381">
        <v>63016.09</v>
      </c>
      <c r="F160" s="2898">
        <v>63222.899999999994</v>
      </c>
      <c r="G160" s="1371" t="s">
        <v>5415</v>
      </c>
      <c r="H160" s="1466"/>
    </row>
    <row r="161" spans="1:8" ht="23.25" x14ac:dyDescent="0.35">
      <c r="A161" s="1280">
        <v>156</v>
      </c>
      <c r="B161" s="947" t="s">
        <v>1000</v>
      </c>
      <c r="C161" s="945"/>
      <c r="D161" s="1387" t="s">
        <v>6746</v>
      </c>
      <c r="E161" s="1381">
        <v>4461.25</v>
      </c>
      <c r="F161" s="2898">
        <v>4650</v>
      </c>
      <c r="G161" s="1371" t="s">
        <v>5415</v>
      </c>
      <c r="H161" s="1466"/>
    </row>
    <row r="162" spans="1:8" ht="23.25" x14ac:dyDescent="0.35">
      <c r="A162" s="1280">
        <v>157</v>
      </c>
      <c r="B162" s="947" t="s">
        <v>4935</v>
      </c>
      <c r="C162" s="948"/>
      <c r="D162" s="1387" t="s">
        <v>6747</v>
      </c>
      <c r="E162" s="1381">
        <v>4308.7</v>
      </c>
      <c r="F162" s="2898">
        <v>4498.7000000000007</v>
      </c>
      <c r="G162" s="1371" t="s">
        <v>5415</v>
      </c>
      <c r="H162" s="1466"/>
    </row>
    <row r="163" spans="1:8" ht="23.25" x14ac:dyDescent="0.35">
      <c r="A163" s="1280">
        <v>158</v>
      </c>
      <c r="B163" s="947" t="s">
        <v>8297</v>
      </c>
      <c r="C163" s="945"/>
      <c r="D163" s="1387" t="s">
        <v>6748</v>
      </c>
      <c r="E163" s="1381">
        <v>83069.06</v>
      </c>
      <c r="F163" s="2898">
        <v>83365.919999999998</v>
      </c>
      <c r="G163" s="1371" t="s">
        <v>5415</v>
      </c>
      <c r="H163" s="1466"/>
    </row>
    <row r="164" spans="1:8" ht="23.25" x14ac:dyDescent="0.35">
      <c r="A164" s="1280">
        <v>159</v>
      </c>
      <c r="B164" s="947" t="s">
        <v>1001</v>
      </c>
      <c r="C164" s="945"/>
      <c r="D164" s="1387" t="s">
        <v>6749</v>
      </c>
      <c r="E164" s="1381">
        <v>166</v>
      </c>
      <c r="F164" s="2898">
        <v>186</v>
      </c>
      <c r="G164" s="1371" t="s">
        <v>5415</v>
      </c>
      <c r="H164" s="1466"/>
    </row>
    <row r="165" spans="1:8" ht="23.25" x14ac:dyDescent="0.35">
      <c r="A165" s="1280">
        <v>160</v>
      </c>
      <c r="B165" s="947" t="s">
        <v>2443</v>
      </c>
      <c r="C165" s="945"/>
      <c r="D165" s="1387" t="s">
        <v>6750</v>
      </c>
      <c r="E165" s="1381">
        <v>1170</v>
      </c>
      <c r="F165" s="2898">
        <v>1287.5</v>
      </c>
      <c r="G165" s="1371" t="s">
        <v>5415</v>
      </c>
      <c r="H165" s="1466"/>
    </row>
    <row r="166" spans="1:8" ht="23.25" x14ac:dyDescent="0.35">
      <c r="A166" s="1280">
        <v>161</v>
      </c>
      <c r="B166" s="947" t="s">
        <v>645</v>
      </c>
      <c r="C166" s="945"/>
      <c r="D166" s="1387" t="s">
        <v>6751</v>
      </c>
      <c r="E166" s="1381">
        <v>13610</v>
      </c>
      <c r="F166" s="2898">
        <v>13850</v>
      </c>
      <c r="G166" s="1371" t="s">
        <v>5415</v>
      </c>
      <c r="H166" s="1466"/>
    </row>
    <row r="167" spans="1:8" ht="23.25" x14ac:dyDescent="0.35">
      <c r="A167" s="1280">
        <v>162</v>
      </c>
      <c r="B167" s="2891" t="s">
        <v>7186</v>
      </c>
      <c r="C167" s="2892"/>
      <c r="D167" s="2893" t="s">
        <v>7267</v>
      </c>
      <c r="E167" s="2889">
        <v>13610</v>
      </c>
      <c r="F167" s="2898" t="s">
        <v>6673</v>
      </c>
      <c r="G167" s="1511" t="s">
        <v>5415</v>
      </c>
      <c r="H167" s="2890" t="s">
        <v>7185</v>
      </c>
    </row>
    <row r="168" spans="1:8" ht="23.25" x14ac:dyDescent="0.35">
      <c r="A168" s="1282">
        <v>163</v>
      </c>
      <c r="B168" s="947" t="s">
        <v>6577</v>
      </c>
      <c r="C168" s="948"/>
      <c r="D168" s="1387" t="s">
        <v>6752</v>
      </c>
      <c r="E168" s="1381">
        <v>19080</v>
      </c>
      <c r="F168" s="2898">
        <v>19520</v>
      </c>
      <c r="G168" s="1371" t="s">
        <v>5415</v>
      </c>
      <c r="H168" s="1466"/>
    </row>
    <row r="169" spans="1:8" ht="23.25" x14ac:dyDescent="0.35">
      <c r="A169" s="1280">
        <v>164</v>
      </c>
      <c r="B169" s="947" t="s">
        <v>1843</v>
      </c>
      <c r="C169" s="945"/>
      <c r="D169" s="1387" t="s">
        <v>6753</v>
      </c>
      <c r="E169" s="1381">
        <v>222.94999999999982</v>
      </c>
      <c r="F169" s="2898">
        <v>222.94999999999982</v>
      </c>
      <c r="G169" s="1371" t="s">
        <v>5415</v>
      </c>
      <c r="H169" s="1466"/>
    </row>
    <row r="170" spans="1:8" ht="23.25" x14ac:dyDescent="0.35">
      <c r="A170" s="1280">
        <v>165</v>
      </c>
      <c r="B170" s="947" t="s">
        <v>3325</v>
      </c>
      <c r="C170" s="945"/>
      <c r="D170" s="1387" t="s">
        <v>6754</v>
      </c>
      <c r="E170" s="1381">
        <v>13500</v>
      </c>
      <c r="F170" s="2898">
        <v>13100</v>
      </c>
      <c r="G170" s="1371" t="s">
        <v>5415</v>
      </c>
      <c r="H170" s="1466"/>
    </row>
    <row r="171" spans="1:8" ht="23.25" x14ac:dyDescent="0.35">
      <c r="A171" s="1280">
        <v>166</v>
      </c>
      <c r="B171" s="2891" t="s">
        <v>7455</v>
      </c>
      <c r="C171" s="945"/>
      <c r="D171" s="1387" t="s">
        <v>8119</v>
      </c>
      <c r="E171" s="1381">
        <v>-624.20000000000005</v>
      </c>
      <c r="F171" s="2898">
        <v>0</v>
      </c>
      <c r="G171" s="1371" t="s">
        <v>5415</v>
      </c>
      <c r="H171" s="1466"/>
    </row>
    <row r="172" spans="1:8" ht="23.25" x14ac:dyDescent="0.35">
      <c r="A172" s="1280">
        <v>167</v>
      </c>
      <c r="B172" s="1258" t="s">
        <v>4078</v>
      </c>
      <c r="C172" s="978"/>
      <c r="D172" s="1387" t="s">
        <v>6755</v>
      </c>
      <c r="E172" s="1381">
        <v>4272.3499999999995</v>
      </c>
      <c r="F172" s="2898">
        <v>4481.95</v>
      </c>
      <c r="G172" s="1371" t="s">
        <v>5416</v>
      </c>
      <c r="H172" s="1466"/>
    </row>
    <row r="173" spans="1:8" ht="23.25" x14ac:dyDescent="0.35">
      <c r="A173" s="1283">
        <v>168</v>
      </c>
      <c r="B173" s="947" t="s">
        <v>4079</v>
      </c>
      <c r="C173" s="945"/>
      <c r="D173" s="1387" t="s">
        <v>6756</v>
      </c>
      <c r="E173" s="1381">
        <v>4272.3499999999995</v>
      </c>
      <c r="F173" s="2898">
        <v>4481.95</v>
      </c>
      <c r="G173" s="1371" t="s">
        <v>5416</v>
      </c>
      <c r="H173" s="1466"/>
    </row>
    <row r="174" spans="1:8" ht="23.25" x14ac:dyDescent="0.35">
      <c r="A174" s="1280">
        <v>169</v>
      </c>
      <c r="B174" s="947" t="s">
        <v>3074</v>
      </c>
      <c r="C174" s="945"/>
      <c r="D174" s="1387" t="s">
        <v>7268</v>
      </c>
      <c r="E174" s="1381">
        <v>20605.750000000004</v>
      </c>
      <c r="F174" s="2898">
        <v>21115.350000000002</v>
      </c>
      <c r="G174" s="1371" t="s">
        <v>5416</v>
      </c>
      <c r="H174" s="1466"/>
    </row>
    <row r="175" spans="1:8" ht="23.25" x14ac:dyDescent="0.35">
      <c r="A175" s="1279">
        <v>170</v>
      </c>
      <c r="B175" s="947" t="s">
        <v>3073</v>
      </c>
      <c r="C175" s="945"/>
      <c r="D175" s="1387" t="s">
        <v>6757</v>
      </c>
      <c r="E175" s="1388">
        <v>-1753.69</v>
      </c>
      <c r="F175" s="2901">
        <v>-1753.69</v>
      </c>
      <c r="G175" s="1371" t="s">
        <v>5416</v>
      </c>
      <c r="H175" s="1466"/>
    </row>
    <row r="176" spans="1:8" ht="23.25" x14ac:dyDescent="0.35">
      <c r="A176" s="1280">
        <v>171</v>
      </c>
      <c r="B176" s="947" t="s">
        <v>3322</v>
      </c>
      <c r="C176" s="945"/>
      <c r="D176" s="1387" t="s">
        <v>7269</v>
      </c>
      <c r="E176" s="1388">
        <v>74574.600000000006</v>
      </c>
      <c r="F176" s="2901">
        <v>77154.3</v>
      </c>
      <c r="G176" s="1371" t="s">
        <v>5415</v>
      </c>
      <c r="H176" s="1466"/>
    </row>
    <row r="177" spans="1:8" ht="23.25" x14ac:dyDescent="0.35">
      <c r="A177" s="1279">
        <v>172</v>
      </c>
      <c r="B177" s="1259" t="s">
        <v>3323</v>
      </c>
      <c r="C177" s="977"/>
      <c r="D177" s="1387" t="s">
        <v>6758</v>
      </c>
      <c r="E177" s="1381">
        <v>-1288.0999999999999</v>
      </c>
      <c r="F177" s="2898">
        <v>-1099.9000000000001</v>
      </c>
      <c r="G177" s="1371" t="s">
        <v>5415</v>
      </c>
      <c r="H177" s="1466"/>
    </row>
    <row r="178" spans="1:8" ht="23.25" x14ac:dyDescent="0.35">
      <c r="A178" s="1280">
        <v>173</v>
      </c>
      <c r="B178" s="947" t="s">
        <v>4246</v>
      </c>
      <c r="C178" s="945"/>
      <c r="D178" s="1387" t="s">
        <v>6759</v>
      </c>
      <c r="E178" s="1381">
        <v>-1125.0999999999999</v>
      </c>
      <c r="F178" s="2898">
        <v>-938.90000000000009</v>
      </c>
      <c r="G178" s="1371" t="s">
        <v>5415</v>
      </c>
      <c r="H178" s="1466"/>
    </row>
    <row r="179" spans="1:8" ht="23.25" x14ac:dyDescent="0.35">
      <c r="A179" s="1279">
        <v>174</v>
      </c>
      <c r="B179" s="947" t="s">
        <v>3324</v>
      </c>
      <c r="C179" s="945"/>
      <c r="D179" s="1387" t="s">
        <v>6760</v>
      </c>
      <c r="E179" s="1381">
        <v>-962.1</v>
      </c>
      <c r="F179" s="2898">
        <v>-777.90000000000009</v>
      </c>
      <c r="G179" s="1371" t="s">
        <v>5415</v>
      </c>
      <c r="H179" s="1466"/>
    </row>
    <row r="180" spans="1:8" ht="23.25" x14ac:dyDescent="0.35">
      <c r="A180" s="1280">
        <v>175</v>
      </c>
      <c r="B180" s="947" t="s">
        <v>4247</v>
      </c>
      <c r="C180" s="945"/>
      <c r="D180" s="1387" t="s">
        <v>6761</v>
      </c>
      <c r="E180" s="1381">
        <v>-660.90000000000009</v>
      </c>
      <c r="F180" s="2898">
        <v>-479.00000000000011</v>
      </c>
      <c r="G180" s="1371" t="s">
        <v>5415</v>
      </c>
      <c r="H180" s="1466"/>
    </row>
    <row r="181" spans="1:8" ht="23.25" x14ac:dyDescent="0.35">
      <c r="A181" s="1280">
        <v>176</v>
      </c>
      <c r="B181" s="909" t="s">
        <v>2170</v>
      </c>
      <c r="C181" s="943"/>
      <c r="D181" s="1387" t="s">
        <v>7270</v>
      </c>
      <c r="E181" s="1381">
        <v>8486.7999999999993</v>
      </c>
      <c r="F181" s="2898">
        <v>8786.8000000000011</v>
      </c>
      <c r="G181" s="1371" t="s">
        <v>5415</v>
      </c>
      <c r="H181" s="1466"/>
    </row>
    <row r="182" spans="1:8" ht="23.25" x14ac:dyDescent="0.35">
      <c r="A182" s="1280">
        <v>177</v>
      </c>
      <c r="B182" s="909" t="s">
        <v>4936</v>
      </c>
      <c r="C182" s="943"/>
      <c r="D182" s="1387" t="s">
        <v>7271</v>
      </c>
      <c r="E182" s="1381">
        <v>2319</v>
      </c>
      <c r="F182" s="2898">
        <v>2319</v>
      </c>
      <c r="G182" s="1371" t="s">
        <v>5415</v>
      </c>
      <c r="H182" s="1466"/>
    </row>
    <row r="183" spans="1:8" ht="23.25" x14ac:dyDescent="0.35">
      <c r="A183" s="1280">
        <v>178</v>
      </c>
      <c r="B183" s="947" t="s">
        <v>2320</v>
      </c>
      <c r="C183" s="945"/>
      <c r="D183" s="1387" t="s">
        <v>7272</v>
      </c>
      <c r="E183" s="1381">
        <v>4663.25</v>
      </c>
      <c r="F183" s="2898">
        <v>4863.25</v>
      </c>
      <c r="G183" s="1371" t="s">
        <v>5415</v>
      </c>
      <c r="H183" s="1466"/>
    </row>
    <row r="184" spans="1:8" ht="34.9" x14ac:dyDescent="0.35">
      <c r="A184" s="1280">
        <v>179</v>
      </c>
      <c r="B184" s="3743" t="s">
        <v>8304</v>
      </c>
      <c r="C184" s="977"/>
      <c r="D184" s="2893" t="s">
        <v>6762</v>
      </c>
      <c r="E184" s="1381">
        <v>25387</v>
      </c>
      <c r="F184" s="2898" t="s">
        <v>6673</v>
      </c>
      <c r="G184" s="1371" t="s">
        <v>5415</v>
      </c>
      <c r="H184" s="1466"/>
    </row>
    <row r="185" spans="1:8" ht="23.25" x14ac:dyDescent="0.35">
      <c r="A185" s="1280">
        <v>180</v>
      </c>
      <c r="B185" s="909" t="s">
        <v>3725</v>
      </c>
      <c r="C185" s="943"/>
      <c r="D185" s="1386" t="s">
        <v>7273</v>
      </c>
      <c r="E185" s="1381">
        <v>17257.7</v>
      </c>
      <c r="F185" s="2898">
        <v>14496.7</v>
      </c>
      <c r="G185" s="1371" t="s">
        <v>5416</v>
      </c>
      <c r="H185" s="1466"/>
    </row>
    <row r="186" spans="1:8" ht="23.25" x14ac:dyDescent="0.35">
      <c r="A186" s="1280">
        <v>181</v>
      </c>
      <c r="B186" s="909" t="s">
        <v>1569</v>
      </c>
      <c r="C186" s="943"/>
      <c r="D186" s="1386" t="s">
        <v>7274</v>
      </c>
      <c r="E186" s="1381">
        <v>-1162.19</v>
      </c>
      <c r="F186" s="2898">
        <v>-1008.19</v>
      </c>
      <c r="G186" s="1371" t="s">
        <v>5415</v>
      </c>
      <c r="H186" s="1466"/>
    </row>
    <row r="187" spans="1:8" ht="23.25" x14ac:dyDescent="0.35">
      <c r="A187" s="1280">
        <v>182</v>
      </c>
      <c r="B187" s="909" t="s">
        <v>711</v>
      </c>
      <c r="C187" s="943"/>
      <c r="D187" s="1386" t="s">
        <v>7275</v>
      </c>
      <c r="E187" s="1381">
        <v>30878.5</v>
      </c>
      <c r="F187" s="2898">
        <v>31378.5</v>
      </c>
      <c r="G187" s="1371" t="s">
        <v>5415</v>
      </c>
      <c r="H187" s="1466"/>
    </row>
    <row r="188" spans="1:8" ht="34.9" x14ac:dyDescent="0.35">
      <c r="A188" s="1280">
        <v>183</v>
      </c>
      <c r="B188" s="994" t="s">
        <v>19</v>
      </c>
      <c r="C188" s="996"/>
      <c r="D188" s="1386" t="s">
        <v>7276</v>
      </c>
      <c r="E188" s="1381">
        <v>183164.79999999999</v>
      </c>
      <c r="F188" s="2898">
        <v>180106.00000000003</v>
      </c>
      <c r="G188" s="1371" t="s">
        <v>5415</v>
      </c>
      <c r="H188" s="1466"/>
    </row>
    <row r="189" spans="1:8" ht="23.25" x14ac:dyDescent="0.35">
      <c r="A189" s="1280">
        <v>184</v>
      </c>
      <c r="B189" s="947" t="s">
        <v>2931</v>
      </c>
      <c r="C189" s="948"/>
      <c r="D189" s="1467" t="s">
        <v>7277</v>
      </c>
      <c r="E189" s="1381">
        <v>6335.5</v>
      </c>
      <c r="F189" s="2898">
        <v>6691.5</v>
      </c>
      <c r="G189" s="1371" t="s">
        <v>5415</v>
      </c>
      <c r="H189" s="1466"/>
    </row>
    <row r="190" spans="1:8" ht="23.25" x14ac:dyDescent="0.35">
      <c r="A190" s="1280">
        <v>185</v>
      </c>
      <c r="B190" s="947" t="s">
        <v>3220</v>
      </c>
      <c r="C190" s="948"/>
      <c r="D190" s="1386" t="s">
        <v>7278</v>
      </c>
      <c r="E190" s="1381">
        <v>17907.912799999998</v>
      </c>
      <c r="F190" s="2898">
        <v>18274.672799999997</v>
      </c>
      <c r="G190" s="1371" t="s">
        <v>5415</v>
      </c>
      <c r="H190" s="1466"/>
    </row>
    <row r="191" spans="1:8" ht="23.25" x14ac:dyDescent="0.35">
      <c r="A191" s="1280">
        <v>186</v>
      </c>
      <c r="B191" s="947" t="s">
        <v>3221</v>
      </c>
      <c r="C191" s="948"/>
      <c r="D191" s="1386" t="s">
        <v>7279</v>
      </c>
      <c r="E191" s="1381">
        <v>14907.912799999998</v>
      </c>
      <c r="F191" s="2898">
        <v>15274.672799999997</v>
      </c>
      <c r="G191" s="1371" t="s">
        <v>5415</v>
      </c>
      <c r="H191" s="1466"/>
    </row>
    <row r="192" spans="1:8" x14ac:dyDescent="0.35">
      <c r="A192" s="1280">
        <v>187</v>
      </c>
      <c r="B192" s="947" t="s">
        <v>3222</v>
      </c>
      <c r="C192" s="948"/>
      <c r="D192" s="1467" t="s">
        <v>7280</v>
      </c>
      <c r="E192" s="1465">
        <v>3676.89</v>
      </c>
      <c r="F192" s="2900">
        <v>3783.6499999999996</v>
      </c>
      <c r="G192" s="1371" t="s">
        <v>5415</v>
      </c>
      <c r="H192" s="1466"/>
    </row>
    <row r="193" spans="1:8" x14ac:dyDescent="0.35">
      <c r="A193" s="1280">
        <v>188</v>
      </c>
      <c r="B193" s="947" t="s">
        <v>3223</v>
      </c>
      <c r="C193" s="948"/>
      <c r="D193" s="1467" t="s">
        <v>7281</v>
      </c>
      <c r="E193" s="1465">
        <v>15094.14</v>
      </c>
      <c r="F193" s="2900">
        <v>15360.900000000001</v>
      </c>
      <c r="G193" s="1371" t="s">
        <v>5415</v>
      </c>
      <c r="H193" s="1466"/>
    </row>
    <row r="194" spans="1:8" x14ac:dyDescent="0.35">
      <c r="A194" s="1280">
        <v>189</v>
      </c>
      <c r="B194" s="947" t="s">
        <v>3224</v>
      </c>
      <c r="C194" s="948"/>
      <c r="D194" s="1467" t="s">
        <v>7282</v>
      </c>
      <c r="E194" s="1381">
        <v>3885.1000000000004</v>
      </c>
      <c r="F194" s="2898">
        <v>4235.1000000000004</v>
      </c>
      <c r="G194" s="1371" t="s">
        <v>5415</v>
      </c>
      <c r="H194" s="1466"/>
    </row>
    <row r="195" spans="1:8" x14ac:dyDescent="0.35">
      <c r="A195" s="1280">
        <v>190</v>
      </c>
      <c r="B195" s="947" t="s">
        <v>3225</v>
      </c>
      <c r="C195" s="948"/>
      <c r="D195" s="1467" t="s">
        <v>7283</v>
      </c>
      <c r="E195" s="1381">
        <v>4724.4399999999987</v>
      </c>
      <c r="F195" s="2898">
        <v>4991.2000000000007</v>
      </c>
      <c r="G195" s="1371" t="s">
        <v>5415</v>
      </c>
      <c r="H195" s="1466"/>
    </row>
    <row r="196" spans="1:8" x14ac:dyDescent="0.35">
      <c r="A196" s="1280">
        <v>191</v>
      </c>
      <c r="B196" s="947" t="s">
        <v>3226</v>
      </c>
      <c r="C196" s="948"/>
      <c r="D196" s="1467" t="s">
        <v>7284</v>
      </c>
      <c r="E196" s="1381">
        <v>437.85000000000036</v>
      </c>
      <c r="F196" s="2898">
        <v>537.85000000000036</v>
      </c>
      <c r="G196" s="1371" t="s">
        <v>5415</v>
      </c>
      <c r="H196" s="1466"/>
    </row>
    <row r="197" spans="1:8" ht="34.9" x14ac:dyDescent="0.35">
      <c r="A197" s="1280">
        <v>192</v>
      </c>
      <c r="B197" s="909" t="s">
        <v>2518</v>
      </c>
      <c r="C197" s="943"/>
      <c r="D197" s="1386" t="s">
        <v>7285</v>
      </c>
      <c r="E197" s="1381">
        <v>317882.37</v>
      </c>
      <c r="F197" s="2898">
        <v>318082.37</v>
      </c>
      <c r="G197" s="1371" t="s">
        <v>5415</v>
      </c>
      <c r="H197" s="1466"/>
    </row>
    <row r="198" spans="1:8" ht="23.25" x14ac:dyDescent="0.35">
      <c r="A198" s="1280">
        <v>193</v>
      </c>
      <c r="B198" s="909" t="s">
        <v>3944</v>
      </c>
      <c r="C198" s="943"/>
      <c r="D198" s="1386" t="s">
        <v>7286</v>
      </c>
      <c r="E198" s="1381">
        <v>-3712</v>
      </c>
      <c r="F198" s="2898">
        <v>1440.5</v>
      </c>
      <c r="G198" s="1371" t="s">
        <v>5415</v>
      </c>
      <c r="H198" s="1466"/>
    </row>
    <row r="199" spans="1:8" ht="23.25" x14ac:dyDescent="0.35">
      <c r="A199" s="1280">
        <v>194</v>
      </c>
      <c r="B199" s="909" t="s">
        <v>4178</v>
      </c>
      <c r="C199" s="943"/>
      <c r="D199" s="1386" t="s">
        <v>7287</v>
      </c>
      <c r="E199" s="1381">
        <v>4436.1000000000004</v>
      </c>
      <c r="F199" s="2898">
        <v>4293.6000000000004</v>
      </c>
      <c r="G199" s="1371" t="s">
        <v>5415</v>
      </c>
      <c r="H199" s="1466"/>
    </row>
    <row r="200" spans="1:8" ht="23.25" x14ac:dyDescent="0.35">
      <c r="A200" s="1280">
        <v>195</v>
      </c>
      <c r="B200" s="909" t="s">
        <v>4001</v>
      </c>
      <c r="C200" s="943"/>
      <c r="D200" s="1386" t="s">
        <v>7288</v>
      </c>
      <c r="E200" s="1381">
        <v>-4524</v>
      </c>
      <c r="F200" s="2898">
        <v>-4524</v>
      </c>
      <c r="G200" s="1371" t="s">
        <v>5415</v>
      </c>
      <c r="H200" s="1466"/>
    </row>
    <row r="201" spans="1:8" ht="34.9" x14ac:dyDescent="0.35">
      <c r="A201" s="1280">
        <v>196</v>
      </c>
      <c r="B201" s="947" t="s">
        <v>4116</v>
      </c>
      <c r="C201" s="948"/>
      <c r="D201" s="1386" t="s">
        <v>6763</v>
      </c>
      <c r="E201" s="1381">
        <v>77850.41</v>
      </c>
      <c r="F201" s="2898">
        <v>75062.720000000001</v>
      </c>
      <c r="G201" s="1371" t="s">
        <v>5416</v>
      </c>
      <c r="H201" s="1466"/>
    </row>
    <row r="202" spans="1:8" ht="34.9" x14ac:dyDescent="0.35">
      <c r="A202" s="1280">
        <v>197</v>
      </c>
      <c r="B202" s="947" t="s">
        <v>3731</v>
      </c>
      <c r="C202" s="948"/>
      <c r="D202" s="1386" t="s">
        <v>6764</v>
      </c>
      <c r="E202" s="1381">
        <v>15378.5</v>
      </c>
      <c r="F202" s="2898">
        <v>10596.800000000003</v>
      </c>
      <c r="G202" s="1371" t="s">
        <v>5415</v>
      </c>
      <c r="H202" s="1466"/>
    </row>
    <row r="203" spans="1:8" ht="23.25" x14ac:dyDescent="0.35">
      <c r="A203" s="1280">
        <v>198</v>
      </c>
      <c r="B203" s="947" t="s">
        <v>4920</v>
      </c>
      <c r="C203" s="948"/>
      <c r="D203" s="1386" t="s">
        <v>6765</v>
      </c>
      <c r="E203" s="1381">
        <v>6505.4</v>
      </c>
      <c r="F203" s="2898">
        <v>6202.8</v>
      </c>
      <c r="G203" s="1371" t="s">
        <v>5415</v>
      </c>
      <c r="H203" s="1466"/>
    </row>
    <row r="204" spans="1:8" ht="23.25" x14ac:dyDescent="0.35">
      <c r="A204" s="1280">
        <v>199</v>
      </c>
      <c r="B204" s="947" t="s">
        <v>3734</v>
      </c>
      <c r="C204" s="948"/>
      <c r="D204" s="1386" t="s">
        <v>6766</v>
      </c>
      <c r="E204" s="1381">
        <v>-167.45000000000073</v>
      </c>
      <c r="F204" s="2898">
        <v>229.94999999999709</v>
      </c>
      <c r="G204" s="1371" t="s">
        <v>5415</v>
      </c>
      <c r="H204" s="1466"/>
    </row>
    <row r="205" spans="1:8" ht="23.25" x14ac:dyDescent="0.35">
      <c r="A205" s="1280">
        <v>200</v>
      </c>
      <c r="B205" s="947" t="s">
        <v>4300</v>
      </c>
      <c r="C205" s="948"/>
      <c r="D205" s="1386" t="s">
        <v>6767</v>
      </c>
      <c r="E205" s="1381">
        <v>51448.2</v>
      </c>
      <c r="F205" s="2898">
        <v>54405.600000000006</v>
      </c>
      <c r="G205" s="1371" t="s">
        <v>5416</v>
      </c>
      <c r="H205" s="1466"/>
    </row>
    <row r="206" spans="1:8" ht="23.25" x14ac:dyDescent="0.35">
      <c r="A206" s="1280">
        <v>201</v>
      </c>
      <c r="B206" s="947" t="s">
        <v>660</v>
      </c>
      <c r="C206" s="948"/>
      <c r="D206" s="1386" t="s">
        <v>6768</v>
      </c>
      <c r="E206" s="1381">
        <v>9055</v>
      </c>
      <c r="F206" s="2898">
        <v>9511</v>
      </c>
      <c r="G206" s="1371" t="s">
        <v>5415</v>
      </c>
      <c r="H206" s="1466"/>
    </row>
    <row r="207" spans="1:8" ht="23.25" x14ac:dyDescent="0.35">
      <c r="A207" s="1280">
        <v>202</v>
      </c>
      <c r="B207" s="947" t="s">
        <v>1549</v>
      </c>
      <c r="C207" s="948"/>
      <c r="D207" s="1386" t="s">
        <v>6769</v>
      </c>
      <c r="E207" s="1381">
        <v>32259.48</v>
      </c>
      <c r="F207" s="2898">
        <v>32638.239999999998</v>
      </c>
      <c r="G207" s="1371" t="s">
        <v>5415</v>
      </c>
      <c r="H207" s="1466"/>
    </row>
    <row r="208" spans="1:8" ht="23.25" x14ac:dyDescent="0.35">
      <c r="A208" s="1280">
        <v>203</v>
      </c>
      <c r="B208" s="947" t="s">
        <v>1726</v>
      </c>
      <c r="C208" s="948"/>
      <c r="D208" s="1386" t="s">
        <v>6770</v>
      </c>
      <c r="E208" s="1381">
        <v>0</v>
      </c>
      <c r="F208" s="2898">
        <v>240.79999999999995</v>
      </c>
      <c r="G208" s="1371" t="s">
        <v>5416</v>
      </c>
      <c r="H208" s="1466"/>
    </row>
    <row r="209" spans="1:8" ht="23.25" x14ac:dyDescent="0.35">
      <c r="A209" s="1280">
        <v>204</v>
      </c>
      <c r="B209" s="995" t="s">
        <v>4593</v>
      </c>
      <c r="C209" s="948"/>
      <c r="D209" s="1386" t="s">
        <v>6771</v>
      </c>
      <c r="E209" s="1381">
        <v>163538.44</v>
      </c>
      <c r="F209" s="2898">
        <v>133330.20000000001</v>
      </c>
      <c r="G209" s="1371" t="s">
        <v>5415</v>
      </c>
      <c r="H209" s="1466"/>
    </row>
    <row r="210" spans="1:8" ht="34.9" x14ac:dyDescent="0.35">
      <c r="A210" s="1280">
        <v>205</v>
      </c>
      <c r="B210" s="947" t="s">
        <v>799</v>
      </c>
      <c r="C210" s="948"/>
      <c r="D210" s="1386" t="s">
        <v>6772</v>
      </c>
      <c r="E210" s="1381">
        <v>38522.400000000001</v>
      </c>
      <c r="F210" s="2898">
        <v>38822.400000000001</v>
      </c>
      <c r="G210" s="1371" t="s">
        <v>5416</v>
      </c>
      <c r="H210" s="1466"/>
    </row>
    <row r="211" spans="1:8" ht="46.5" x14ac:dyDescent="0.35">
      <c r="A211" s="1280">
        <v>206</v>
      </c>
      <c r="B211" s="947" t="s">
        <v>3789</v>
      </c>
      <c r="C211" s="948"/>
      <c r="D211" s="1386" t="s">
        <v>6773</v>
      </c>
      <c r="E211" s="1381">
        <v>53076.5</v>
      </c>
      <c r="F211" s="2898">
        <v>53566.5</v>
      </c>
      <c r="G211" s="1371" t="s">
        <v>5416</v>
      </c>
      <c r="H211" s="1466"/>
    </row>
    <row r="212" spans="1:8" ht="23.25" x14ac:dyDescent="0.35">
      <c r="A212" s="1280">
        <v>207</v>
      </c>
      <c r="B212" s="947" t="s">
        <v>4446</v>
      </c>
      <c r="C212" s="948"/>
      <c r="D212" s="1386" t="s">
        <v>6774</v>
      </c>
      <c r="E212" s="1381">
        <v>65345.949999999983</v>
      </c>
      <c r="F212" s="2898">
        <v>65645.949999999983</v>
      </c>
      <c r="G212" s="1371" t="s">
        <v>5415</v>
      </c>
      <c r="H212" s="1466"/>
    </row>
    <row r="213" spans="1:8" ht="23.25" x14ac:dyDescent="0.35">
      <c r="A213" s="1280">
        <v>208</v>
      </c>
      <c r="B213" s="947" t="s">
        <v>1551</v>
      </c>
      <c r="C213" s="948"/>
      <c r="D213" s="1386" t="s">
        <v>6775</v>
      </c>
      <c r="E213" s="1381">
        <v>67100</v>
      </c>
      <c r="F213" s="2898">
        <v>67000</v>
      </c>
      <c r="G213" s="1371" t="s">
        <v>5416</v>
      </c>
      <c r="H213" s="1466"/>
    </row>
    <row r="214" spans="1:8" ht="23.25" x14ac:dyDescent="0.35">
      <c r="A214" s="1280">
        <v>209</v>
      </c>
      <c r="B214" s="947" t="s">
        <v>4913</v>
      </c>
      <c r="C214" s="945"/>
      <c r="D214" s="1387" t="s">
        <v>7289</v>
      </c>
      <c r="E214" s="1381">
        <v>50624.2</v>
      </c>
      <c r="F214" s="2898">
        <v>20924.2</v>
      </c>
      <c r="G214" s="1371" t="s">
        <v>5416</v>
      </c>
      <c r="H214" s="1466"/>
    </row>
    <row r="215" spans="1:8" ht="23.25" x14ac:dyDescent="0.35">
      <c r="A215" s="1280">
        <v>210</v>
      </c>
      <c r="B215" s="947" t="s">
        <v>6624</v>
      </c>
      <c r="C215" s="948"/>
      <c r="D215" s="1386" t="s">
        <v>7290</v>
      </c>
      <c r="E215" s="1381">
        <v>50624.2</v>
      </c>
      <c r="F215" s="2898">
        <v>50924.2</v>
      </c>
      <c r="G215" s="1381" t="s">
        <v>5416</v>
      </c>
      <c r="H215" s="1466" t="s">
        <v>7294</v>
      </c>
    </row>
    <row r="216" spans="1:8" ht="23.25" x14ac:dyDescent="0.35">
      <c r="A216" s="1280">
        <v>211</v>
      </c>
      <c r="B216" s="947" t="s">
        <v>6625</v>
      </c>
      <c r="C216" s="948"/>
      <c r="D216" s="1386" t="s">
        <v>7291</v>
      </c>
      <c r="E216" s="1381">
        <v>80624.2</v>
      </c>
      <c r="F216" s="2898">
        <v>80924.2</v>
      </c>
      <c r="G216" s="1381" t="s">
        <v>5416</v>
      </c>
      <c r="H216" s="1466" t="s">
        <v>7295</v>
      </c>
    </row>
    <row r="217" spans="1:8" ht="34.9" x14ac:dyDescent="0.35">
      <c r="A217" s="1280">
        <v>212</v>
      </c>
      <c r="B217" s="2891" t="s">
        <v>8465</v>
      </c>
      <c r="C217" s="948"/>
      <c r="D217" s="1386" t="s">
        <v>7292</v>
      </c>
      <c r="E217" s="1381">
        <v>20624</v>
      </c>
      <c r="F217" s="2898">
        <v>110924.2</v>
      </c>
      <c r="G217" s="1381" t="s">
        <v>5416</v>
      </c>
      <c r="H217" s="3812" t="s">
        <v>8459</v>
      </c>
    </row>
    <row r="218" spans="1:8" ht="23.25" x14ac:dyDescent="0.35">
      <c r="A218" s="1280">
        <v>213</v>
      </c>
      <c r="B218" s="909" t="s">
        <v>6622</v>
      </c>
      <c r="C218" s="948"/>
      <c r="D218" s="1386" t="s">
        <v>7293</v>
      </c>
      <c r="E218" s="1381">
        <v>0</v>
      </c>
      <c r="F218" s="2898">
        <v>0</v>
      </c>
      <c r="G218" s="1381" t="s">
        <v>5416</v>
      </c>
      <c r="H218" s="1466"/>
    </row>
    <row r="219" spans="1:8" ht="23.25" x14ac:dyDescent="0.35">
      <c r="A219" s="1280">
        <v>214</v>
      </c>
      <c r="B219" s="947" t="s">
        <v>4937</v>
      </c>
      <c r="C219" s="948"/>
      <c r="D219" s="1386" t="s">
        <v>6776</v>
      </c>
      <c r="E219" s="1381">
        <v>3001.49</v>
      </c>
      <c r="F219" s="2898">
        <v>3108.9</v>
      </c>
      <c r="G219" s="1371" t="s">
        <v>5415</v>
      </c>
      <c r="H219" s="1466"/>
    </row>
    <row r="220" spans="1:8" ht="23.25" x14ac:dyDescent="0.35">
      <c r="A220" s="1280">
        <v>215</v>
      </c>
      <c r="B220" s="947" t="s">
        <v>5395</v>
      </c>
      <c r="C220" s="948"/>
      <c r="D220" s="1386" t="s">
        <v>6777</v>
      </c>
      <c r="E220" s="1381">
        <v>2970.8</v>
      </c>
      <c r="F220" s="2898">
        <v>2990.8</v>
      </c>
      <c r="G220" s="1371" t="s">
        <v>5416</v>
      </c>
      <c r="H220" s="1466"/>
    </row>
    <row r="221" spans="1:8" ht="23.25" x14ac:dyDescent="0.35">
      <c r="A221" s="1280">
        <v>216</v>
      </c>
      <c r="B221" s="947" t="s">
        <v>5490</v>
      </c>
      <c r="C221" s="948"/>
      <c r="D221" s="1386" t="s">
        <v>6778</v>
      </c>
      <c r="E221" s="1381">
        <v>0</v>
      </c>
      <c r="F221" s="2898">
        <v>0</v>
      </c>
      <c r="G221" s="1371" t="s">
        <v>5415</v>
      </c>
      <c r="H221" s="1466"/>
    </row>
    <row r="222" spans="1:8" ht="23.25" x14ac:dyDescent="0.35">
      <c r="A222" s="1280">
        <v>217</v>
      </c>
      <c r="B222" s="947" t="s">
        <v>6675</v>
      </c>
      <c r="C222" s="948"/>
      <c r="D222" s="1382" t="s">
        <v>6779</v>
      </c>
      <c r="E222" s="1381">
        <v>4676.9400000000005</v>
      </c>
      <c r="F222" s="2898">
        <v>5382.2199999999993</v>
      </c>
      <c r="G222" s="1371" t="s">
        <v>5416</v>
      </c>
      <c r="H222" s="1466"/>
    </row>
    <row r="223" spans="1:8" ht="23.25" x14ac:dyDescent="0.35">
      <c r="A223" s="1280">
        <v>218</v>
      </c>
      <c r="B223" s="2950" t="s">
        <v>7304</v>
      </c>
      <c r="C223" s="948"/>
      <c r="D223" s="1386" t="s">
        <v>7303</v>
      </c>
      <c r="E223" s="1381">
        <v>4382.8499999999995</v>
      </c>
      <c r="F223" s="2889">
        <v>4722.8500000000004</v>
      </c>
      <c r="G223" s="1371" t="s">
        <v>5415</v>
      </c>
      <c r="H223" s="2951" t="s">
        <v>7306</v>
      </c>
    </row>
    <row r="224" spans="1:8" ht="23.25" x14ac:dyDescent="0.35">
      <c r="A224" s="1280">
        <v>219</v>
      </c>
      <c r="B224" s="2950" t="s">
        <v>7305</v>
      </c>
      <c r="C224" s="948"/>
      <c r="D224" s="1386" t="s">
        <v>8120</v>
      </c>
      <c r="E224" s="1381">
        <v>22285.17</v>
      </c>
      <c r="F224" s="2889">
        <v>22002.720000000001</v>
      </c>
      <c r="G224" s="1371" t="s">
        <v>5415</v>
      </c>
      <c r="H224" s="2951" t="s">
        <v>7306</v>
      </c>
    </row>
    <row r="225" spans="1:8" ht="23.25" x14ac:dyDescent="0.35">
      <c r="A225" s="1280">
        <v>220</v>
      </c>
      <c r="B225" s="992" t="s">
        <v>7307</v>
      </c>
      <c r="C225" s="993"/>
      <c r="D225" s="1389" t="s">
        <v>8121</v>
      </c>
      <c r="E225" s="1384">
        <v>5608.99</v>
      </c>
      <c r="F225" s="2889">
        <v>5618.35</v>
      </c>
      <c r="G225" s="1371" t="s">
        <v>5416</v>
      </c>
      <c r="H225" s="2951" t="s">
        <v>7306</v>
      </c>
    </row>
    <row r="226" spans="1:8" ht="23.25" x14ac:dyDescent="0.35">
      <c r="A226" s="1280">
        <v>221</v>
      </c>
      <c r="B226" s="992" t="s">
        <v>7309</v>
      </c>
      <c r="C226" s="993"/>
      <c r="D226" s="1389" t="s">
        <v>7308</v>
      </c>
      <c r="E226" s="1384">
        <v>279672.14</v>
      </c>
      <c r="F226" s="2889">
        <v>280047.14</v>
      </c>
      <c r="G226" s="1371" t="s">
        <v>5416</v>
      </c>
      <c r="H226" s="2951" t="s">
        <v>7306</v>
      </c>
    </row>
    <row r="227" spans="1:8" x14ac:dyDescent="0.35">
      <c r="A227" s="1280">
        <v>222</v>
      </c>
      <c r="B227" s="992"/>
      <c r="C227" s="993"/>
      <c r="D227" s="1389"/>
      <c r="E227" s="1384"/>
      <c r="F227" s="1381"/>
      <c r="G227" s="1371"/>
      <c r="H227" s="1466"/>
    </row>
    <row r="228" spans="1:8" x14ac:dyDescent="0.35">
      <c r="A228" s="1280">
        <v>223</v>
      </c>
      <c r="B228" s="992"/>
      <c r="C228" s="993"/>
      <c r="D228" s="1389"/>
      <c r="E228" s="1384"/>
      <c r="F228" s="1381"/>
      <c r="G228" s="1371"/>
      <c r="H228" s="1466"/>
    </row>
    <row r="229" spans="1:8" x14ac:dyDescent="0.35">
      <c r="A229" s="1280">
        <v>224</v>
      </c>
      <c r="B229" s="992"/>
      <c r="C229" s="993"/>
      <c r="D229" s="1389"/>
      <c r="E229" s="1384"/>
      <c r="F229" s="1381"/>
      <c r="G229" s="1371"/>
      <c r="H229" s="1466"/>
    </row>
    <row r="230" spans="1:8" x14ac:dyDescent="0.35">
      <c r="A230" s="1280">
        <v>225</v>
      </c>
      <c r="B230" s="992"/>
      <c r="C230" s="993"/>
      <c r="D230" s="1389"/>
      <c r="E230" s="1384"/>
      <c r="F230" s="1381"/>
      <c r="G230" s="1371"/>
      <c r="H230" s="1466"/>
    </row>
  </sheetData>
  <phoneticPr fontId="68" type="noConversion"/>
  <pageMargins left="0.19685039370078741" right="0.19685039370078741" top="0.19685039370078741" bottom="0.19685039370078741" header="0" footer="0"/>
  <pageSetup paperSize="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play_test_case">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xmlns:mc="http://schemas.openxmlformats.org/markup-compatibility/2006">
          <mc:Choice Requires="x14">
            <control shapeId="45059" r:id="rId5" name="Button 3">
              <controlPr defaultSize="0" print="0" autoFill="0" autoPict="0" macro="[0]!reset_test_selection">
                <anchor moveWithCells="1">
                  <from>
                    <xdr:col>3</xdr:col>
                    <xdr:colOff>2038350</xdr:colOff>
                    <xdr:row>1</xdr:row>
                    <xdr:rowOff>57150</xdr:rowOff>
                  </from>
                  <to>
                    <xdr:col>4</xdr:col>
                    <xdr:colOff>609600</xdr:colOff>
                    <xdr:row>3</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M34"/>
  <sheetViews>
    <sheetView showGridLines="0" topLeftCell="B1" zoomScaleNormal="100" workbookViewId="0">
      <selection activeCell="N31" sqref="N31"/>
    </sheetView>
  </sheetViews>
  <sheetFormatPr defaultColWidth="9.1328125" defaultRowHeight="11.65" x14ac:dyDescent="0.35"/>
  <cols>
    <col min="1" max="1" width="17.265625" style="206" hidden="1" customWidth="1"/>
    <col min="2" max="2" width="2.59765625" style="206" customWidth="1"/>
    <col min="3" max="4" width="21.59765625" style="206" customWidth="1"/>
    <col min="5" max="6" width="12.3984375" style="206" customWidth="1"/>
    <col min="7" max="7" width="18.265625" style="206" customWidth="1"/>
    <col min="8" max="8" width="12.3984375" style="206" customWidth="1"/>
    <col min="9" max="19" width="10.73046875" style="206" customWidth="1"/>
    <col min="20" max="16384" width="9.1328125" style="206"/>
  </cols>
  <sheetData>
    <row r="1" spans="1:13" ht="12" customHeight="1" x14ac:dyDescent="0.35">
      <c r="A1" s="206" t="s">
        <v>672</v>
      </c>
      <c r="B1" s="164"/>
      <c r="C1" s="164"/>
      <c r="D1" s="614" t="s">
        <v>3070</v>
      </c>
      <c r="E1" s="164"/>
      <c r="F1" s="164"/>
      <c r="G1" s="164"/>
      <c r="H1" s="164"/>
      <c r="I1" s="164"/>
      <c r="J1" s="164"/>
      <c r="K1" s="164"/>
      <c r="L1" s="164"/>
      <c r="M1" s="164"/>
    </row>
    <row r="2" spans="1:13" ht="12" customHeight="1" x14ac:dyDescent="0.35">
      <c r="A2" s="206">
        <v>1</v>
      </c>
      <c r="B2" s="164"/>
      <c r="C2" s="647" t="s">
        <v>671</v>
      </c>
      <c r="D2" s="648"/>
      <c r="E2" s="648"/>
      <c r="F2" s="648"/>
      <c r="G2" s="648"/>
      <c r="H2" s="648"/>
      <c r="I2" s="649"/>
      <c r="J2" s="164"/>
      <c r="K2" s="164"/>
      <c r="L2" s="164"/>
      <c r="M2" s="164"/>
    </row>
    <row r="3" spans="1:13" ht="12" customHeight="1" x14ac:dyDescent="0.35">
      <c r="A3" s="206">
        <v>2</v>
      </c>
      <c r="B3" s="164"/>
      <c r="C3" s="652"/>
      <c r="D3" s="228"/>
      <c r="E3" s="228"/>
      <c r="F3" s="228"/>
      <c r="G3" s="228"/>
      <c r="H3" s="228"/>
      <c r="I3" s="651"/>
      <c r="J3" s="164"/>
      <c r="K3" s="164"/>
      <c r="L3" s="164"/>
      <c r="M3" s="164"/>
    </row>
    <row r="4" spans="1:13" ht="12" customHeight="1" x14ac:dyDescent="0.35">
      <c r="A4" s="206">
        <v>3</v>
      </c>
      <c r="B4" s="164"/>
      <c r="C4" s="1065" t="s">
        <v>2549</v>
      </c>
      <c r="D4" s="228"/>
      <c r="E4" s="650" t="s">
        <v>2422</v>
      </c>
      <c r="F4" s="368">
        <v>203</v>
      </c>
      <c r="G4" s="650" t="str">
        <f>'REL(2)'!C38&amp;" ("&amp;FIN&amp;'REL(2)'!C40&amp;")"</f>
        <v>Tax refunded (FIN1)</v>
      </c>
      <c r="H4" s="625">
        <v>0</v>
      </c>
      <c r="I4" s="651"/>
      <c r="J4" s="164"/>
      <c r="K4" s="164"/>
      <c r="L4" s="164"/>
      <c r="M4" s="164"/>
    </row>
    <row r="5" spans="1:13" ht="12" customHeight="1" x14ac:dyDescent="0.35">
      <c r="A5" s="206">
        <v>4</v>
      </c>
      <c r="B5" s="164"/>
      <c r="C5" s="652"/>
      <c r="D5" s="228"/>
      <c r="E5" s="228"/>
      <c r="F5" s="228"/>
      <c r="G5" s="228"/>
      <c r="H5" s="228"/>
      <c r="I5" s="651"/>
      <c r="J5" s="164"/>
      <c r="K5" s="164"/>
      <c r="L5" s="164"/>
      <c r="M5" s="164"/>
    </row>
    <row r="6" spans="1:13" ht="12" customHeight="1" x14ac:dyDescent="0.35">
      <c r="A6" s="206">
        <v>5</v>
      </c>
      <c r="B6" s="164"/>
      <c r="C6" s="653" t="s">
        <v>56</v>
      </c>
      <c r="D6" s="228"/>
      <c r="E6" s="228"/>
      <c r="F6" s="228"/>
      <c r="G6" s="228"/>
      <c r="H6" s="228"/>
      <c r="I6" s="651"/>
      <c r="J6" s="164"/>
      <c r="K6" s="164"/>
      <c r="L6" s="164"/>
      <c r="M6" s="164"/>
    </row>
    <row r="7" spans="1:13" ht="12" customHeight="1" x14ac:dyDescent="0.35">
      <c r="A7" s="206">
        <v>6</v>
      </c>
      <c r="B7" s="164"/>
      <c r="C7" s="646" t="s">
        <v>1236</v>
      </c>
      <c r="D7" s="228"/>
      <c r="E7" s="650" t="s">
        <v>3035</v>
      </c>
      <c r="F7" s="228"/>
      <c r="G7" s="650" t="s">
        <v>3036</v>
      </c>
      <c r="H7" s="228"/>
      <c r="I7" s="651"/>
      <c r="J7" s="164"/>
      <c r="K7" s="164"/>
      <c r="L7" s="164"/>
      <c r="M7" s="164"/>
    </row>
    <row r="8" spans="1:13" ht="12" customHeight="1" x14ac:dyDescent="0.35">
      <c r="A8" s="206">
        <v>7</v>
      </c>
      <c r="B8" s="164"/>
      <c r="C8" s="637" t="str">
        <f>C0!C10&amp;" ("&amp;C0!C11&amp;" to "&amp;C0!C17&amp;")"</f>
        <v>INC-A (INC1 to INC7)</v>
      </c>
      <c r="D8" s="228"/>
      <c r="E8" s="630" t="str">
        <f>C0!C19&amp;" ("&amp;C0!C20&amp;" to "&amp;C0!C27&amp;")"</f>
        <v>INC-B (INC8 to INC15)</v>
      </c>
      <c r="F8" s="228"/>
      <c r="G8" s="630" t="str">
        <f>C0!C30&amp;" ("&amp;C0!C31&amp;" to "&amp;C0!C35&amp;")"</f>
        <v>INC-C (INC17 to INC21)</v>
      </c>
      <c r="H8" s="228"/>
      <c r="I8" s="651"/>
      <c r="J8" s="164"/>
      <c r="K8" s="164"/>
      <c r="L8" s="164"/>
      <c r="M8" s="164"/>
    </row>
    <row r="9" spans="1:13" ht="12" customHeight="1" x14ac:dyDescent="0.35">
      <c r="A9" s="206">
        <v>8</v>
      </c>
      <c r="B9" s="164"/>
      <c r="C9" s="652"/>
      <c r="D9" s="228"/>
      <c r="E9" s="650"/>
      <c r="F9" s="228"/>
      <c r="G9" s="650"/>
      <c r="H9" s="228"/>
      <c r="I9" s="651"/>
      <c r="J9" s="164"/>
      <c r="K9" s="164"/>
      <c r="L9" s="164"/>
      <c r="M9" s="164"/>
    </row>
    <row r="10" spans="1:13" ht="12" customHeight="1" x14ac:dyDescent="0.35">
      <c r="A10" s="206">
        <v>9</v>
      </c>
      <c r="B10" s="164"/>
      <c r="C10" s="653" t="s">
        <v>3038</v>
      </c>
      <c r="D10" s="228"/>
      <c r="E10" s="650"/>
      <c r="F10" s="228"/>
      <c r="G10" s="650"/>
      <c r="H10" s="228"/>
      <c r="I10" s="651"/>
      <c r="J10" s="164"/>
      <c r="K10" s="164"/>
      <c r="L10" s="164"/>
      <c r="M10" s="164"/>
    </row>
    <row r="11" spans="1:13" ht="12" customHeight="1" x14ac:dyDescent="0.35">
      <c r="A11" s="206">
        <v>10</v>
      </c>
      <c r="B11" s="164"/>
      <c r="C11" s="646" t="s">
        <v>1115</v>
      </c>
      <c r="D11" s="228"/>
      <c r="E11" s="650" t="s">
        <v>1116</v>
      </c>
      <c r="F11" s="228"/>
      <c r="G11" s="650" t="s">
        <v>3662</v>
      </c>
      <c r="H11" s="228"/>
      <c r="I11" s="651"/>
      <c r="J11" s="164"/>
      <c r="K11" s="164"/>
      <c r="L11" s="164"/>
      <c r="M11" s="164"/>
    </row>
    <row r="12" spans="1:13" ht="12" customHeight="1" x14ac:dyDescent="0.35">
      <c r="A12" s="206">
        <v>11</v>
      </c>
      <c r="B12" s="164"/>
      <c r="C12" s="637" t="str">
        <f>C0!C37&amp;" ("&amp;C0!C38&amp;" to "&amp;C0!C41&amp;")"</f>
        <v>REL-A (REL1 to REL4)</v>
      </c>
      <c r="D12" s="228"/>
      <c r="E12" s="630" t="str">
        <f>C0!C43&amp;" ("&amp;C0!C44&amp;" to "&amp;C0!C49&amp;")"</f>
        <v>REL-B (REL5 to REL10)</v>
      </c>
      <c r="F12" s="228"/>
      <c r="G12" s="630" t="str">
        <f>C0!C53&amp;" ("&amp;C0!C54&amp;" to "&amp;C0!C57&amp;")"</f>
        <v>REL-C (REL13 to REL16)</v>
      </c>
      <c r="H12" s="228"/>
      <c r="I12" s="651"/>
      <c r="J12" s="616" t="str">
        <f>" Components are currently "&amp;IF(A34,"visible","hidden")</f>
        <v xml:space="preserve"> Components are currently hidden</v>
      </c>
      <c r="K12" s="164"/>
      <c r="L12" s="164"/>
      <c r="M12" s="164"/>
    </row>
    <row r="13" spans="1:13" ht="12" customHeight="1" x14ac:dyDescent="0.35">
      <c r="A13" s="206">
        <v>12</v>
      </c>
      <c r="B13" s="164"/>
      <c r="C13" s="652"/>
      <c r="D13" s="228"/>
      <c r="E13" s="650"/>
      <c r="F13" s="228"/>
      <c r="G13" s="650"/>
      <c r="H13" s="228"/>
      <c r="I13" s="651"/>
      <c r="J13" s="164"/>
      <c r="K13" s="164"/>
      <c r="L13" s="164"/>
      <c r="M13" s="164"/>
    </row>
    <row r="14" spans="1:13" ht="12" customHeight="1" x14ac:dyDescent="0.35">
      <c r="A14" s="206">
        <v>13</v>
      </c>
      <c r="B14" s="164"/>
      <c r="C14" s="653" t="s">
        <v>3032</v>
      </c>
      <c r="D14" s="228"/>
      <c r="E14" s="1961" t="s">
        <v>3189</v>
      </c>
      <c r="F14" s="228"/>
      <c r="G14" s="1152" t="s">
        <v>4564</v>
      </c>
      <c r="H14" s="228"/>
      <c r="I14" s="651"/>
      <c r="J14" s="164"/>
      <c r="K14" s="164"/>
      <c r="L14" s="164"/>
      <c r="M14" s="164"/>
    </row>
    <row r="15" spans="1:13" ht="12" customHeight="1" x14ac:dyDescent="0.35">
      <c r="A15" s="206">
        <v>14</v>
      </c>
      <c r="B15" s="164"/>
      <c r="C15" s="646" t="s">
        <v>3032</v>
      </c>
      <c r="D15" s="228"/>
      <c r="E15" s="650" t="s">
        <v>2398</v>
      </c>
      <c r="F15" s="228"/>
      <c r="G15" s="612" t="s">
        <v>4584</v>
      </c>
      <c r="H15" s="228"/>
      <c r="I15" s="651"/>
      <c r="J15" s="164"/>
      <c r="K15" s="164"/>
      <c r="L15" s="164"/>
      <c r="M15" s="164"/>
    </row>
    <row r="16" spans="1:13" ht="12" customHeight="1" x14ac:dyDescent="0.35">
      <c r="A16" s="206">
        <v>15</v>
      </c>
      <c r="B16" s="164"/>
      <c r="C16" s="637" t="str">
        <f>C0!C59&amp;" ("&amp;C0!C62&amp;" to "&amp;C0!C60&amp;")"</f>
        <v>SLR (SLR2 to SLR1)</v>
      </c>
      <c r="D16" s="228"/>
      <c r="E16" s="630" t="str">
        <f>C0!C65&amp;" ("&amp;C0!C66&amp;" to "&amp;C0!C68&amp;")"</f>
        <v>CBC (CBC1 to CBC3)</v>
      </c>
      <c r="F16" s="228"/>
      <c r="G16" s="630" t="str">
        <f>C0!C70&amp;" ("&amp;C0!C71&amp;" to "&amp;C0!C76&amp;")"</f>
        <v>MAT (MAT1-5 to MAT5)</v>
      </c>
      <c r="H16" s="228"/>
      <c r="I16" s="651"/>
      <c r="J16" s="164"/>
      <c r="K16" s="164"/>
      <c r="L16" s="164"/>
      <c r="M16" s="164"/>
    </row>
    <row r="17" spans="1:13" ht="12" customHeight="1" x14ac:dyDescent="0.35">
      <c r="A17" s="206">
        <v>16</v>
      </c>
      <c r="B17" s="164"/>
      <c r="C17" s="654"/>
      <c r="D17" s="655"/>
      <c r="E17" s="655"/>
      <c r="F17" s="655"/>
      <c r="G17" s="655"/>
      <c r="H17" s="655"/>
      <c r="I17" s="656"/>
      <c r="J17" s="164"/>
      <c r="K17" s="164"/>
      <c r="L17" s="164"/>
      <c r="M17" s="164"/>
    </row>
    <row r="18" spans="1:13" ht="12" customHeight="1" x14ac:dyDescent="0.35">
      <c r="A18" s="206">
        <v>17</v>
      </c>
      <c r="B18" s="164"/>
      <c r="C18" s="164"/>
      <c r="D18" s="164"/>
      <c r="E18" s="164"/>
      <c r="F18" s="164"/>
      <c r="G18" s="164"/>
      <c r="H18" s="164"/>
      <c r="I18" s="164"/>
      <c r="J18" s="164"/>
      <c r="K18" s="164"/>
      <c r="L18" s="164"/>
      <c r="M18" s="164"/>
    </row>
    <row r="19" spans="1:13" ht="12" customHeight="1" x14ac:dyDescent="0.35">
      <c r="A19" s="206">
        <v>18</v>
      </c>
      <c r="B19" s="164"/>
      <c r="C19" s="647" t="s">
        <v>2625</v>
      </c>
      <c r="D19" s="648"/>
      <c r="E19" s="648"/>
      <c r="F19" s="648"/>
      <c r="G19" s="648"/>
      <c r="H19" s="648"/>
      <c r="I19" s="649"/>
      <c r="J19" s="164"/>
      <c r="K19" s="164"/>
      <c r="L19" s="164"/>
      <c r="M19" s="164"/>
    </row>
    <row r="20" spans="1:13" ht="12" customHeight="1" x14ac:dyDescent="0.35">
      <c r="A20" s="206">
        <v>19</v>
      </c>
      <c r="B20" s="164"/>
      <c r="C20" s="646" t="s">
        <v>3571</v>
      </c>
      <c r="D20" s="228"/>
      <c r="E20" s="650" t="s">
        <v>3572</v>
      </c>
      <c r="F20" s="228"/>
      <c r="G20" s="650" t="s">
        <v>3573</v>
      </c>
      <c r="H20" s="228"/>
      <c r="I20" s="651"/>
      <c r="J20" s="164"/>
      <c r="K20" s="164"/>
      <c r="L20" s="164"/>
      <c r="M20" s="164"/>
    </row>
    <row r="21" spans="1:13" ht="12" customHeight="1" x14ac:dyDescent="0.35">
      <c r="A21" s="206">
        <v>20</v>
      </c>
      <c r="B21" s="164"/>
      <c r="C21" s="637" t="str">
        <f>'C1'!C3&amp;" ("&amp;'C1'!C4&amp;" to "&amp;'C1'!C6&amp;")"</f>
        <v>AOI-A (AOI1 to AOI3)</v>
      </c>
      <c r="D21" s="228"/>
      <c r="E21" s="630" t="str">
        <f>'C1'!C9&amp;" ("&amp;'C1'!C10&amp;" to "&amp;'C1'!C17&amp;")"</f>
        <v>AOI-B (AOI4 to AOI11)</v>
      </c>
      <c r="F21" s="228"/>
      <c r="G21" s="630" t="str">
        <f>'C1'!C20&amp;" ("&amp;'C1'!C21&amp;" to "&amp;'C1'!C24&amp;")"</f>
        <v>AOI-C (AOI12 to AOI15)</v>
      </c>
      <c r="H21" s="228"/>
      <c r="I21" s="651"/>
      <c r="J21" s="164"/>
      <c r="K21" s="164"/>
      <c r="L21" s="164"/>
      <c r="M21" s="164"/>
    </row>
    <row r="22" spans="1:13" ht="12" customHeight="1" x14ac:dyDescent="0.35">
      <c r="B22" s="164"/>
      <c r="C22" s="652"/>
      <c r="D22" s="228"/>
      <c r="E22" s="228"/>
      <c r="F22" s="228"/>
      <c r="G22" s="228"/>
      <c r="H22" s="228"/>
      <c r="I22" s="651"/>
      <c r="J22" s="164"/>
      <c r="K22" s="164"/>
      <c r="L22" s="164"/>
      <c r="M22" s="164"/>
    </row>
    <row r="23" spans="1:13" ht="12" customHeight="1" x14ac:dyDescent="0.35">
      <c r="A23" s="40" t="s">
        <v>2894</v>
      </c>
      <c r="B23" s="164"/>
      <c r="C23" s="646" t="str">
        <f>'C1'!C26</f>
        <v>Share schemes</v>
      </c>
      <c r="D23" s="228"/>
      <c r="E23" s="650" t="str">
        <f>'C1'!C30</f>
        <v>Lump Sums</v>
      </c>
      <c r="F23" s="228"/>
      <c r="G23" s="650" t="str">
        <f>'C1'!C41</f>
        <v>Other deductions</v>
      </c>
      <c r="H23" s="228"/>
      <c r="I23" s="651"/>
      <c r="J23" s="164"/>
      <c r="K23" s="164"/>
      <c r="L23" s="164"/>
      <c r="M23" s="164"/>
    </row>
    <row r="24" spans="1:13" ht="12" customHeight="1" x14ac:dyDescent="0.35">
      <c r="A24" s="1366">
        <v>7</v>
      </c>
      <c r="B24" s="164"/>
      <c r="C24" s="637" t="str">
        <f>'C1'!C27&amp;" ("&amp;'C1'!C28&amp;")"</f>
        <v>ASE-A (ASE1)</v>
      </c>
      <c r="D24" s="228"/>
      <c r="E24" s="630" t="str">
        <f>'C1'!C31&amp;" ("&amp;'C1'!C32&amp;" to "&amp;'C1'!C39&amp;")"</f>
        <v>ASE-B (ASE3 to ASE10)</v>
      </c>
      <c r="F24" s="228"/>
      <c r="G24" s="630" t="str">
        <f>'C1'!C42&amp;" ("&amp;'C1'!C43&amp;" to "&amp;'C1'!C47&amp;")"</f>
        <v>ASE-C (ASE11 to ASE15)</v>
      </c>
      <c r="H24" s="228"/>
      <c r="I24" s="651"/>
      <c r="J24" s="164"/>
      <c r="K24" s="164"/>
      <c r="L24" s="164"/>
      <c r="M24" s="164"/>
    </row>
    <row r="25" spans="1:13" ht="12" customHeight="1" x14ac:dyDescent="0.35">
      <c r="A25" s="1367" t="str">
        <f>"03/06/"&amp;MCA_year-1</f>
        <v>03/06/1934</v>
      </c>
      <c r="B25" s="164"/>
      <c r="C25" s="652"/>
      <c r="D25" s="228"/>
      <c r="E25" s="228"/>
      <c r="F25" s="228"/>
      <c r="G25" s="228"/>
      <c r="H25" s="228"/>
      <c r="I25" s="651"/>
      <c r="J25" s="164"/>
      <c r="K25" s="164"/>
      <c r="L25" s="164"/>
      <c r="M25" s="164"/>
    </row>
    <row r="26" spans="1:13" ht="12" customHeight="1" x14ac:dyDescent="0.35">
      <c r="A26" s="1367" t="str">
        <f>"22/02/"&amp;MCA_year+1</f>
        <v>22/02/1936</v>
      </c>
      <c r="B26" s="164"/>
      <c r="C26" s="646" t="str">
        <f>AOR!C3</f>
        <v>Other tax reliefs</v>
      </c>
      <c r="D26" s="228"/>
      <c r="E26" s="657" t="str">
        <f>MCA!C2</f>
        <v>Married couple's allowance</v>
      </c>
      <c r="F26" s="228"/>
      <c r="G26" s="228" t="str">
        <f>AIL!C3</f>
        <v>Other Income Tax losses</v>
      </c>
      <c r="H26" s="228"/>
      <c r="I26" s="651"/>
      <c r="J26" s="164"/>
      <c r="K26" s="164"/>
      <c r="L26" s="164"/>
      <c r="M26" s="164"/>
    </row>
    <row r="27" spans="1:13" ht="12" customHeight="1" x14ac:dyDescent="0.35">
      <c r="A27" s="1367" t="str">
        <f>"05/03/"&amp;Tax_year_end-75</f>
        <v>05/03/1943</v>
      </c>
      <c r="B27" s="164"/>
      <c r="C27" s="637" t="str">
        <f>'C1'!C49&amp;" ("&amp;'C1'!C50&amp;" to "&amp;'C1'!C58&amp;")"</f>
        <v>AOR (AOR1 to AOR9)</v>
      </c>
      <c r="D27" s="228"/>
      <c r="E27" s="630" t="str">
        <f>'C1'!C72&amp;" ("&amp;'C1'!C73&amp;" to "&amp;'C1'!C83&amp;")"</f>
        <v>MCA (MCA1 to MCA11)</v>
      </c>
      <c r="F27" s="228"/>
      <c r="G27" s="630" t="str">
        <f>'C1'!C85&amp;" ("&amp;'C1'!C86&amp;" to "&amp;'C1'!C108&amp;")"</f>
        <v>AIL (AIL1 to AIL21)</v>
      </c>
      <c r="H27" s="228"/>
      <c r="I27" s="651"/>
      <c r="J27" s="164"/>
      <c r="K27" s="164"/>
      <c r="L27" s="164"/>
      <c r="M27" s="164"/>
    </row>
    <row r="28" spans="1:13" ht="12" customHeight="1" x14ac:dyDescent="0.35">
      <c r="A28" s="1367" t="str">
        <f>"03/01/"&amp;Tax_year_end-63</f>
        <v>03/01/1955</v>
      </c>
      <c r="B28" s="164"/>
      <c r="C28" s="654"/>
      <c r="D28" s="655"/>
      <c r="E28" s="655"/>
      <c r="F28" s="655"/>
      <c r="G28" s="655"/>
      <c r="H28" s="655"/>
      <c r="I28" s="656"/>
      <c r="J28" s="164"/>
      <c r="K28" s="164"/>
      <c r="L28" s="164"/>
      <c r="M28" s="164"/>
    </row>
    <row r="29" spans="1:13" ht="12" customHeight="1" x14ac:dyDescent="0.35">
      <c r="A29" s="1367" t="str">
        <f>"17/11/"&amp;Tax_year_end-40</f>
        <v>17/11/1978</v>
      </c>
      <c r="B29" s="164"/>
      <c r="C29" s="164"/>
      <c r="D29" s="164"/>
      <c r="E29" s="164"/>
      <c r="F29" s="164"/>
      <c r="G29" s="164"/>
      <c r="H29" s="164"/>
      <c r="I29" s="164"/>
      <c r="J29" s="164"/>
      <c r="K29" s="164"/>
      <c r="L29" s="164"/>
      <c r="M29" s="164"/>
    </row>
    <row r="30" spans="1:13" ht="12" customHeight="1" x14ac:dyDescent="0.35">
      <c r="A30" s="1563" t="str">
        <f>"02/05/"&amp;Tax_year_end-15</f>
        <v>02/05/2003</v>
      </c>
      <c r="B30" s="164"/>
      <c r="C30" s="164"/>
      <c r="D30" s="164"/>
      <c r="E30" s="164"/>
      <c r="F30" s="164"/>
      <c r="G30" s="164"/>
      <c r="H30" s="164"/>
      <c r="I30" s="164"/>
      <c r="J30" s="164"/>
      <c r="K30" s="164"/>
      <c r="L30" s="164"/>
      <c r="M30" s="164"/>
    </row>
    <row r="31" spans="1:13" ht="12" customHeight="1" x14ac:dyDescent="0.35">
      <c r="A31" s="1368" t="s">
        <v>2892</v>
      </c>
      <c r="B31" s="164"/>
      <c r="C31" s="164"/>
      <c r="D31" s="164"/>
      <c r="E31" s="164"/>
      <c r="F31" s="164"/>
      <c r="G31" s="164"/>
      <c r="H31" s="164"/>
      <c r="I31" s="164"/>
      <c r="J31" s="164"/>
      <c r="K31" s="164"/>
      <c r="L31" s="164"/>
      <c r="M31" s="164"/>
    </row>
    <row r="32" spans="1:13" ht="12" customHeight="1" x14ac:dyDescent="0.35">
      <c r="A32" s="1562" t="str">
        <f>IF(A24=1,A25,IF(A24=2,A26,IF(A24=3,A27,IF(A24=4,A28,IF(A24=5,A29,IF(A24=6,A30,A31))))))</f>
        <v>not present</v>
      </c>
      <c r="B32" s="164"/>
      <c r="C32" s="164"/>
      <c r="D32" s="164"/>
      <c r="E32" s="164"/>
      <c r="F32" s="164"/>
      <c r="G32" s="164"/>
      <c r="H32" s="164"/>
      <c r="I32" s="164"/>
      <c r="J32" s="164"/>
      <c r="K32" s="164"/>
      <c r="L32" s="164"/>
      <c r="M32" s="164"/>
    </row>
    <row r="33" spans="1:13" ht="12" customHeight="1" x14ac:dyDescent="0.35">
      <c r="A33" s="40" t="s">
        <v>5542</v>
      </c>
      <c r="B33" s="164"/>
      <c r="C33" s="164"/>
      <c r="D33" s="164"/>
      <c r="E33" s="164"/>
      <c r="F33" s="164"/>
      <c r="G33" s="164"/>
      <c r="H33" s="164"/>
      <c r="I33" s="164"/>
      <c r="J33" s="164"/>
      <c r="K33" s="164"/>
      <c r="L33" s="164"/>
      <c r="M33" s="164"/>
    </row>
    <row r="34" spans="1:13" ht="12" customHeight="1" x14ac:dyDescent="0.35">
      <c r="A34" s="595" t="b">
        <v>0</v>
      </c>
      <c r="B34" s="164"/>
      <c r="C34" s="164"/>
      <c r="D34" s="164"/>
      <c r="E34" s="164"/>
      <c r="F34" s="164"/>
      <c r="G34" s="164"/>
      <c r="H34" s="164"/>
      <c r="I34" s="164"/>
      <c r="J34" s="164"/>
      <c r="K34" s="164"/>
      <c r="L34" s="164"/>
      <c r="M34" s="164"/>
    </row>
  </sheetData>
  <sheetProtection sheet="1" objects="1" scenarios="1"/>
  <phoneticPr fontId="68" type="noConversion"/>
  <pageMargins left="0.196850393700787" right="0.196850393700787" top="0.196850393700787" bottom="0.196850393700787" header="0" footer="0"/>
  <pageSetup paperSize="9"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26" r:id="rId4" name="Button 18">
              <controlPr defaultSize="0" print="0" autoFill="0" autoPict="0" macro="[0]!test_this_case">
                <anchor moveWithCells="1">
                  <from>
                    <xdr:col>9</xdr:col>
                    <xdr:colOff>104775</xdr:colOff>
                    <xdr:row>13</xdr:row>
                    <xdr:rowOff>19050</xdr:rowOff>
                  </from>
                  <to>
                    <xdr:col>11</xdr:col>
                    <xdr:colOff>352425</xdr:colOff>
                    <xdr:row>15</xdr:row>
                    <xdr:rowOff>95250</xdr:rowOff>
                  </to>
                </anchor>
              </controlPr>
            </control>
          </mc:Choice>
        </mc:AlternateContent>
        <mc:AlternateContent xmlns:mc="http://schemas.openxmlformats.org/markup-compatibility/2006">
          <mc:Choice Requires="x14">
            <control shapeId="43027" r:id="rId5" name="Button 19">
              <controlPr defaultSize="0" print="0" autoFill="0" autoPict="0" macro="[0]!reset_test_selection">
                <anchor moveWithCells="1">
                  <from>
                    <xdr:col>9</xdr:col>
                    <xdr:colOff>104775</xdr:colOff>
                    <xdr:row>22</xdr:row>
                    <xdr:rowOff>9525</xdr:rowOff>
                  </from>
                  <to>
                    <xdr:col>11</xdr:col>
                    <xdr:colOff>371475</xdr:colOff>
                    <xdr:row>24</xdr:row>
                    <xdr:rowOff>38100</xdr:rowOff>
                  </to>
                </anchor>
              </controlPr>
            </control>
          </mc:Choice>
        </mc:AlternateContent>
        <mc:AlternateContent xmlns:mc="http://schemas.openxmlformats.org/markup-compatibility/2006">
          <mc:Choice Requires="x14">
            <control shapeId="43028" r:id="rId6" name="Button 20">
              <controlPr defaultSize="0" print="0" autoFill="0" autoPict="0" macro="[0]!Show_hide_components">
                <anchor moveWithCells="1">
                  <from>
                    <xdr:col>9</xdr:col>
                    <xdr:colOff>76200</xdr:colOff>
                    <xdr:row>8</xdr:row>
                    <xdr:rowOff>114300</xdr:rowOff>
                  </from>
                  <to>
                    <xdr:col>11</xdr:col>
                    <xdr:colOff>323850</xdr:colOff>
                    <xdr:row>10</xdr:row>
                    <xdr:rowOff>104775</xdr:rowOff>
                  </to>
                </anchor>
              </controlPr>
            </control>
          </mc:Choice>
        </mc:AlternateContent>
        <mc:AlternateContent xmlns:mc="http://schemas.openxmlformats.org/markup-compatibility/2006">
          <mc:Choice Requires="x14">
            <control shapeId="43029" r:id="rId7" name="Button 21">
              <controlPr defaultSize="0" print="0" autoFill="0" autoPict="0" macro="[0]!go_more_select">
                <anchor moveWithCells="1">
                  <from>
                    <xdr:col>9</xdr:col>
                    <xdr:colOff>85725</xdr:colOff>
                    <xdr:row>5</xdr:row>
                    <xdr:rowOff>28575</xdr:rowOff>
                  </from>
                  <to>
                    <xdr:col>11</xdr:col>
                    <xdr:colOff>323850</xdr:colOff>
                    <xdr:row>6</xdr:row>
                    <xdr:rowOff>142875</xdr:rowOff>
                  </to>
                </anchor>
              </controlPr>
            </control>
          </mc:Choice>
        </mc:AlternateContent>
        <mc:AlternateContent xmlns:mc="http://schemas.openxmlformats.org/markup-compatibility/2006">
          <mc:Choice Requires="x14">
            <control shapeId="43030" r:id="rId8" name="Button 22">
              <controlPr defaultSize="0" print="0" autoFill="0" autoPict="0" macro="[0]!record_settings">
                <anchor moveWithCells="1" sizeWithCells="1">
                  <from>
                    <xdr:col>9</xdr:col>
                    <xdr:colOff>104775</xdr:colOff>
                    <xdr:row>17</xdr:row>
                    <xdr:rowOff>104775</xdr:rowOff>
                  </from>
                  <to>
                    <xdr:col>11</xdr:col>
                    <xdr:colOff>361950</xdr:colOff>
                    <xdr:row>20</xdr:row>
                    <xdr:rowOff>38100</xdr:rowOff>
                  </to>
                </anchor>
              </controlPr>
            </control>
          </mc:Choice>
        </mc:AlternateContent>
        <mc:AlternateContent xmlns:mc="http://schemas.openxmlformats.org/markup-compatibility/2006">
          <mc:Choice Requires="x14">
            <control shapeId="43031" r:id="rId9" name="Drop Down 23">
              <controlPr defaultSize="0" autoLine="0" autoPict="0">
                <anchor moveWithCells="1">
                  <from>
                    <xdr:col>3</xdr:col>
                    <xdr:colOff>0</xdr:colOff>
                    <xdr:row>3</xdr:row>
                    <xdr:rowOff>9525</xdr:rowOff>
                  </from>
                  <to>
                    <xdr:col>3</xdr:col>
                    <xdr:colOff>914400</xdr:colOff>
                    <xdr:row>4</xdr:row>
                    <xdr:rowOff>57150</xdr:rowOff>
                  </to>
                </anchor>
              </controlPr>
            </control>
          </mc:Choice>
        </mc:AlternateContent>
        <mc:AlternateContent xmlns:mc="http://schemas.openxmlformats.org/markup-compatibility/2006">
          <mc:Choice Requires="x14">
            <control shapeId="43032" r:id="rId10" name="Drop Down 24">
              <controlPr defaultSize="0" autoLine="0" autoPict="0">
                <anchor moveWithCells="1">
                  <from>
                    <xdr:col>3</xdr:col>
                    <xdr:colOff>57150</xdr:colOff>
                    <xdr:row>14</xdr:row>
                    <xdr:rowOff>38100</xdr:rowOff>
                  </from>
                  <to>
                    <xdr:col>3</xdr:col>
                    <xdr:colOff>533400</xdr:colOff>
                    <xdr:row>15</xdr:row>
                    <xdr:rowOff>85725</xdr:rowOff>
                  </to>
                </anchor>
              </controlPr>
            </control>
          </mc:Choice>
        </mc:AlternateContent>
        <mc:AlternateContent xmlns:mc="http://schemas.openxmlformats.org/markup-compatibility/2006">
          <mc:Choice Requires="x14">
            <control shapeId="43033" r:id="rId11" name="Drop Down 25">
              <controlPr defaultSize="0" autoLine="0" autoPict="0">
                <anchor moveWithCells="1">
                  <from>
                    <xdr:col>3</xdr:col>
                    <xdr:colOff>57150</xdr:colOff>
                    <xdr:row>6</xdr:row>
                    <xdr:rowOff>28575</xdr:rowOff>
                  </from>
                  <to>
                    <xdr:col>3</xdr:col>
                    <xdr:colOff>533400</xdr:colOff>
                    <xdr:row>7</xdr:row>
                    <xdr:rowOff>76200</xdr:rowOff>
                  </to>
                </anchor>
              </controlPr>
            </control>
          </mc:Choice>
        </mc:AlternateContent>
        <mc:AlternateContent xmlns:mc="http://schemas.openxmlformats.org/markup-compatibility/2006">
          <mc:Choice Requires="x14">
            <control shapeId="43034" r:id="rId12" name="Drop Down 26">
              <controlPr defaultSize="0" autoLine="0" autoPict="0">
                <anchor moveWithCells="1">
                  <from>
                    <xdr:col>5</xdr:col>
                    <xdr:colOff>38100</xdr:colOff>
                    <xdr:row>6</xdr:row>
                    <xdr:rowOff>47625</xdr:rowOff>
                  </from>
                  <to>
                    <xdr:col>5</xdr:col>
                    <xdr:colOff>514350</xdr:colOff>
                    <xdr:row>7</xdr:row>
                    <xdr:rowOff>95250</xdr:rowOff>
                  </to>
                </anchor>
              </controlPr>
            </control>
          </mc:Choice>
        </mc:AlternateContent>
        <mc:AlternateContent xmlns:mc="http://schemas.openxmlformats.org/markup-compatibility/2006">
          <mc:Choice Requires="x14">
            <control shapeId="43035" r:id="rId13" name="Drop Down 27">
              <controlPr defaultSize="0" autoLine="0" autoPict="0">
                <anchor moveWithCells="1">
                  <from>
                    <xdr:col>7</xdr:col>
                    <xdr:colOff>57150</xdr:colOff>
                    <xdr:row>6</xdr:row>
                    <xdr:rowOff>57150</xdr:rowOff>
                  </from>
                  <to>
                    <xdr:col>7</xdr:col>
                    <xdr:colOff>533400</xdr:colOff>
                    <xdr:row>7</xdr:row>
                    <xdr:rowOff>104775</xdr:rowOff>
                  </to>
                </anchor>
              </controlPr>
            </control>
          </mc:Choice>
        </mc:AlternateContent>
        <mc:AlternateContent xmlns:mc="http://schemas.openxmlformats.org/markup-compatibility/2006">
          <mc:Choice Requires="x14">
            <control shapeId="43036" r:id="rId14" name="Drop Down 28">
              <controlPr defaultSize="0" autoLine="0" autoPict="0">
                <anchor moveWithCells="1">
                  <from>
                    <xdr:col>3</xdr:col>
                    <xdr:colOff>76200</xdr:colOff>
                    <xdr:row>10</xdr:row>
                    <xdr:rowOff>38100</xdr:rowOff>
                  </from>
                  <to>
                    <xdr:col>3</xdr:col>
                    <xdr:colOff>552450</xdr:colOff>
                    <xdr:row>11</xdr:row>
                    <xdr:rowOff>85725</xdr:rowOff>
                  </to>
                </anchor>
              </controlPr>
            </control>
          </mc:Choice>
        </mc:AlternateContent>
        <mc:AlternateContent xmlns:mc="http://schemas.openxmlformats.org/markup-compatibility/2006">
          <mc:Choice Requires="x14">
            <control shapeId="43037" r:id="rId15" name="Drop Down 29">
              <controlPr defaultSize="0" autoLine="0" autoPict="0">
                <anchor moveWithCells="1">
                  <from>
                    <xdr:col>5</xdr:col>
                    <xdr:colOff>47625</xdr:colOff>
                    <xdr:row>10</xdr:row>
                    <xdr:rowOff>47625</xdr:rowOff>
                  </from>
                  <to>
                    <xdr:col>5</xdr:col>
                    <xdr:colOff>523875</xdr:colOff>
                    <xdr:row>11</xdr:row>
                    <xdr:rowOff>95250</xdr:rowOff>
                  </to>
                </anchor>
              </controlPr>
            </control>
          </mc:Choice>
        </mc:AlternateContent>
        <mc:AlternateContent xmlns:mc="http://schemas.openxmlformats.org/markup-compatibility/2006">
          <mc:Choice Requires="x14">
            <control shapeId="43038" r:id="rId16" name="Drop Down 30">
              <controlPr defaultSize="0" autoLine="0" autoPict="0">
                <anchor moveWithCells="1">
                  <from>
                    <xdr:col>7</xdr:col>
                    <xdr:colOff>66675</xdr:colOff>
                    <xdr:row>10</xdr:row>
                    <xdr:rowOff>38100</xdr:rowOff>
                  </from>
                  <to>
                    <xdr:col>7</xdr:col>
                    <xdr:colOff>542925</xdr:colOff>
                    <xdr:row>11</xdr:row>
                    <xdr:rowOff>85725</xdr:rowOff>
                  </to>
                </anchor>
              </controlPr>
            </control>
          </mc:Choice>
        </mc:AlternateContent>
        <mc:AlternateContent xmlns:mc="http://schemas.openxmlformats.org/markup-compatibility/2006">
          <mc:Choice Requires="x14">
            <control shapeId="43039" r:id="rId17" name="Drop Down 31">
              <controlPr defaultSize="0" autoLine="0" autoPict="0">
                <anchor moveWithCells="1">
                  <from>
                    <xdr:col>3</xdr:col>
                    <xdr:colOff>76200</xdr:colOff>
                    <xdr:row>19</xdr:row>
                    <xdr:rowOff>57150</xdr:rowOff>
                  </from>
                  <to>
                    <xdr:col>3</xdr:col>
                    <xdr:colOff>552450</xdr:colOff>
                    <xdr:row>20</xdr:row>
                    <xdr:rowOff>104775</xdr:rowOff>
                  </to>
                </anchor>
              </controlPr>
            </control>
          </mc:Choice>
        </mc:AlternateContent>
        <mc:AlternateContent xmlns:mc="http://schemas.openxmlformats.org/markup-compatibility/2006">
          <mc:Choice Requires="x14">
            <control shapeId="43040" r:id="rId18" name="Drop Down 32">
              <controlPr defaultSize="0" autoLine="0" autoPict="0">
                <anchor moveWithCells="1">
                  <from>
                    <xdr:col>5</xdr:col>
                    <xdr:colOff>57150</xdr:colOff>
                    <xdr:row>19</xdr:row>
                    <xdr:rowOff>57150</xdr:rowOff>
                  </from>
                  <to>
                    <xdr:col>5</xdr:col>
                    <xdr:colOff>533400</xdr:colOff>
                    <xdr:row>20</xdr:row>
                    <xdr:rowOff>104775</xdr:rowOff>
                  </to>
                </anchor>
              </controlPr>
            </control>
          </mc:Choice>
        </mc:AlternateContent>
        <mc:AlternateContent xmlns:mc="http://schemas.openxmlformats.org/markup-compatibility/2006">
          <mc:Choice Requires="x14">
            <control shapeId="43041" r:id="rId19" name="Drop Down 33">
              <controlPr defaultSize="0" autoLine="0" autoPict="0">
                <anchor moveWithCells="1">
                  <from>
                    <xdr:col>7</xdr:col>
                    <xdr:colOff>66675</xdr:colOff>
                    <xdr:row>19</xdr:row>
                    <xdr:rowOff>28575</xdr:rowOff>
                  </from>
                  <to>
                    <xdr:col>7</xdr:col>
                    <xdr:colOff>542925</xdr:colOff>
                    <xdr:row>20</xdr:row>
                    <xdr:rowOff>76200</xdr:rowOff>
                  </to>
                </anchor>
              </controlPr>
            </control>
          </mc:Choice>
        </mc:AlternateContent>
        <mc:AlternateContent xmlns:mc="http://schemas.openxmlformats.org/markup-compatibility/2006">
          <mc:Choice Requires="x14">
            <control shapeId="43042" r:id="rId20" name="Drop Down 34">
              <controlPr defaultSize="0" autoLine="0" autoPict="0">
                <anchor moveWithCells="1">
                  <from>
                    <xdr:col>3</xdr:col>
                    <xdr:colOff>85725</xdr:colOff>
                    <xdr:row>22</xdr:row>
                    <xdr:rowOff>47625</xdr:rowOff>
                  </from>
                  <to>
                    <xdr:col>3</xdr:col>
                    <xdr:colOff>561975</xdr:colOff>
                    <xdr:row>23</xdr:row>
                    <xdr:rowOff>95250</xdr:rowOff>
                  </to>
                </anchor>
              </controlPr>
            </control>
          </mc:Choice>
        </mc:AlternateContent>
        <mc:AlternateContent xmlns:mc="http://schemas.openxmlformats.org/markup-compatibility/2006">
          <mc:Choice Requires="x14">
            <control shapeId="43043" r:id="rId21" name="Drop Down 35">
              <controlPr defaultSize="0" autoLine="0" autoPict="0">
                <anchor moveWithCells="1">
                  <from>
                    <xdr:col>5</xdr:col>
                    <xdr:colOff>47625</xdr:colOff>
                    <xdr:row>22</xdr:row>
                    <xdr:rowOff>28575</xdr:rowOff>
                  </from>
                  <to>
                    <xdr:col>5</xdr:col>
                    <xdr:colOff>523875</xdr:colOff>
                    <xdr:row>23</xdr:row>
                    <xdr:rowOff>76200</xdr:rowOff>
                  </to>
                </anchor>
              </controlPr>
            </control>
          </mc:Choice>
        </mc:AlternateContent>
        <mc:AlternateContent xmlns:mc="http://schemas.openxmlformats.org/markup-compatibility/2006">
          <mc:Choice Requires="x14">
            <control shapeId="43044" r:id="rId22" name="Drop Down 36">
              <controlPr defaultSize="0" autoLine="0" autoPict="0">
                <anchor moveWithCells="1">
                  <from>
                    <xdr:col>7</xdr:col>
                    <xdr:colOff>76200</xdr:colOff>
                    <xdr:row>22</xdr:row>
                    <xdr:rowOff>47625</xdr:rowOff>
                  </from>
                  <to>
                    <xdr:col>7</xdr:col>
                    <xdr:colOff>552450</xdr:colOff>
                    <xdr:row>23</xdr:row>
                    <xdr:rowOff>95250</xdr:rowOff>
                  </to>
                </anchor>
              </controlPr>
            </control>
          </mc:Choice>
        </mc:AlternateContent>
        <mc:AlternateContent xmlns:mc="http://schemas.openxmlformats.org/markup-compatibility/2006">
          <mc:Choice Requires="x14">
            <control shapeId="43045" r:id="rId23" name="Drop Down 37">
              <controlPr defaultSize="0" autoLine="0" autoPict="0">
                <anchor moveWithCells="1">
                  <from>
                    <xdr:col>3</xdr:col>
                    <xdr:colOff>85725</xdr:colOff>
                    <xdr:row>25</xdr:row>
                    <xdr:rowOff>19050</xdr:rowOff>
                  </from>
                  <to>
                    <xdr:col>3</xdr:col>
                    <xdr:colOff>561975</xdr:colOff>
                    <xdr:row>26</xdr:row>
                    <xdr:rowOff>66675</xdr:rowOff>
                  </to>
                </anchor>
              </controlPr>
            </control>
          </mc:Choice>
        </mc:AlternateContent>
        <mc:AlternateContent xmlns:mc="http://schemas.openxmlformats.org/markup-compatibility/2006">
          <mc:Choice Requires="x14">
            <control shapeId="43046" r:id="rId24" name="Drop Down 38">
              <controlPr defaultSize="0" autoLine="0" autoPict="0">
                <anchor moveWithCells="1">
                  <from>
                    <xdr:col>5</xdr:col>
                    <xdr:colOff>57150</xdr:colOff>
                    <xdr:row>25</xdr:row>
                    <xdr:rowOff>38100</xdr:rowOff>
                  </from>
                  <to>
                    <xdr:col>5</xdr:col>
                    <xdr:colOff>533400</xdr:colOff>
                    <xdr:row>26</xdr:row>
                    <xdr:rowOff>85725</xdr:rowOff>
                  </to>
                </anchor>
              </controlPr>
            </control>
          </mc:Choice>
        </mc:AlternateContent>
        <mc:AlternateContent xmlns:mc="http://schemas.openxmlformats.org/markup-compatibility/2006">
          <mc:Choice Requires="x14">
            <control shapeId="43047" r:id="rId25" name="Drop Down 39">
              <controlPr defaultSize="0" autoLine="0" autoPict="0">
                <anchor moveWithCells="1">
                  <from>
                    <xdr:col>7</xdr:col>
                    <xdr:colOff>85725</xdr:colOff>
                    <xdr:row>25</xdr:row>
                    <xdr:rowOff>38100</xdr:rowOff>
                  </from>
                  <to>
                    <xdr:col>7</xdr:col>
                    <xdr:colOff>561975</xdr:colOff>
                    <xdr:row>26</xdr:row>
                    <xdr:rowOff>85725</xdr:rowOff>
                  </to>
                </anchor>
              </controlPr>
            </control>
          </mc:Choice>
        </mc:AlternateContent>
        <mc:AlternateContent xmlns:mc="http://schemas.openxmlformats.org/markup-compatibility/2006">
          <mc:Choice Requires="x14">
            <control shapeId="43051" r:id="rId26" name="Drop Down 43">
              <controlPr defaultSize="0" autoLine="0" autoPict="0">
                <anchor moveWithCells="1">
                  <from>
                    <xdr:col>5</xdr:col>
                    <xdr:colOff>66675</xdr:colOff>
                    <xdr:row>14</xdr:row>
                    <xdr:rowOff>28575</xdr:rowOff>
                  </from>
                  <to>
                    <xdr:col>5</xdr:col>
                    <xdr:colOff>542925</xdr:colOff>
                    <xdr:row>15</xdr:row>
                    <xdr:rowOff>76200</xdr:rowOff>
                  </to>
                </anchor>
              </controlPr>
            </control>
          </mc:Choice>
        </mc:AlternateContent>
        <mc:AlternateContent xmlns:mc="http://schemas.openxmlformats.org/markup-compatibility/2006">
          <mc:Choice Requires="x14">
            <control shapeId="43053" r:id="rId27" name="Drop Down 45">
              <controlPr defaultSize="0" autoLine="0" autoPict="0">
                <anchor moveWithCells="1">
                  <from>
                    <xdr:col>7</xdr:col>
                    <xdr:colOff>47625</xdr:colOff>
                    <xdr:row>14</xdr:row>
                    <xdr:rowOff>19050</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N41"/>
  <sheetViews>
    <sheetView showGridLines="0" showRowColHeaders="0" topLeftCell="B1" workbookViewId="0">
      <selection activeCell="F40" sqref="F40"/>
    </sheetView>
  </sheetViews>
  <sheetFormatPr defaultColWidth="9.1328125" defaultRowHeight="11.65" x14ac:dyDescent="0.35"/>
  <cols>
    <col min="1" max="1" width="14" style="40" hidden="1" customWidth="1"/>
    <col min="2" max="2" width="1.3984375" style="40" customWidth="1"/>
    <col min="3" max="3" width="22.265625" style="41" customWidth="1"/>
    <col min="4" max="4" width="10.73046875" style="41" customWidth="1"/>
    <col min="5" max="5" width="16.73046875" style="41" customWidth="1"/>
    <col min="6" max="6" width="9.3984375" style="41" customWidth="1"/>
    <col min="7" max="7" width="6.265625" style="41" customWidth="1"/>
    <col min="8" max="8" width="13.86328125" style="41" customWidth="1"/>
    <col min="9" max="9" width="8.86328125" style="41" customWidth="1"/>
    <col min="10" max="10" width="2" style="41" customWidth="1"/>
    <col min="11" max="11" width="21" style="41" customWidth="1"/>
    <col min="12" max="12" width="12" style="41" customWidth="1"/>
    <col min="13" max="13" width="3.3984375" style="41" customWidth="1"/>
    <col min="14" max="14" width="32.265625" style="41" customWidth="1"/>
    <col min="15" max="16384" width="9.1328125" style="40"/>
  </cols>
  <sheetData>
    <row r="1" spans="1:14" ht="12" customHeight="1" x14ac:dyDescent="0.35">
      <c r="A1" s="40" t="s">
        <v>672</v>
      </c>
      <c r="B1" s="73"/>
      <c r="C1" s="73"/>
      <c r="D1" s="73"/>
      <c r="E1" s="613" t="s">
        <v>3071</v>
      </c>
      <c r="F1" s="73"/>
      <c r="G1" s="73"/>
      <c r="H1" s="73"/>
      <c r="I1" s="73"/>
      <c r="J1" s="73"/>
      <c r="K1" s="73"/>
      <c r="L1" s="73"/>
      <c r="M1" s="73"/>
      <c r="N1" s="73"/>
    </row>
    <row r="2" spans="1:14" ht="12" customHeight="1" x14ac:dyDescent="0.35">
      <c r="A2" s="40">
        <v>1</v>
      </c>
      <c r="B2" s="73"/>
      <c r="C2" s="73"/>
      <c r="D2" s="73"/>
      <c r="E2" s="73"/>
      <c r="F2" s="73"/>
      <c r="G2" s="73"/>
      <c r="H2" s="73"/>
      <c r="I2" s="73"/>
      <c r="J2" s="73"/>
      <c r="K2" s="73"/>
      <c r="L2" s="73"/>
      <c r="M2" s="73"/>
      <c r="N2" s="73"/>
    </row>
    <row r="3" spans="1:14" ht="12" customHeight="1" x14ac:dyDescent="0.35">
      <c r="A3" s="40">
        <v>2</v>
      </c>
      <c r="B3" s="73"/>
      <c r="C3" s="647" t="s">
        <v>2183</v>
      </c>
      <c r="D3" s="633"/>
      <c r="E3" s="633"/>
      <c r="F3" s="633"/>
      <c r="G3" s="633"/>
      <c r="H3" s="633"/>
      <c r="I3" s="634"/>
      <c r="J3" s="73"/>
      <c r="K3" s="73"/>
      <c r="L3" s="645"/>
      <c r="M3" s="73"/>
      <c r="N3" s="73"/>
    </row>
    <row r="4" spans="1:14" ht="12" customHeight="1" x14ac:dyDescent="0.35">
      <c r="A4" s="40">
        <v>3</v>
      </c>
      <c r="B4" s="73"/>
      <c r="C4" s="635" t="s">
        <v>58</v>
      </c>
      <c r="D4" s="73"/>
      <c r="E4" s="612" t="s">
        <v>59</v>
      </c>
      <c r="F4" s="73"/>
      <c r="G4" s="73"/>
      <c r="H4" s="612" t="s">
        <v>3104</v>
      </c>
      <c r="I4" s="636"/>
      <c r="J4" s="73"/>
      <c r="K4" s="645"/>
      <c r="L4" s="645"/>
      <c r="M4" s="73"/>
      <c r="N4" s="73"/>
    </row>
    <row r="5" spans="1:14" ht="12" customHeight="1" x14ac:dyDescent="0.35">
      <c r="A5" s="40">
        <v>4</v>
      </c>
      <c r="B5" s="73"/>
      <c r="C5" s="642" t="str">
        <f>'C2'!B2</f>
        <v>EMP-A</v>
      </c>
      <c r="D5" s="73"/>
      <c r="E5" s="629" t="s">
        <v>4009</v>
      </c>
      <c r="F5" s="73"/>
      <c r="G5" s="73"/>
      <c r="H5" s="612" t="s">
        <v>3105</v>
      </c>
      <c r="I5" s="636"/>
      <c r="J5" s="73"/>
      <c r="K5" s="73"/>
      <c r="L5" s="645"/>
      <c r="M5" s="73"/>
      <c r="N5" s="73"/>
    </row>
    <row r="6" spans="1:14" ht="12" customHeight="1" x14ac:dyDescent="0.35">
      <c r="A6" s="40">
        <v>5</v>
      </c>
      <c r="B6" s="73"/>
      <c r="C6" s="643" t="str">
        <f>"("&amp;'C2'!D3&amp;" to "&amp;'C2'!D23&amp;")"</f>
        <v>(EMP1 to EMP20)</v>
      </c>
      <c r="D6" s="640"/>
      <c r="E6" s="644" t="str">
        <f>"("&amp;'C2'!D3&amp;" to "&amp;'C2'!D23&amp;")"</f>
        <v>(EMP1 to EMP20)</v>
      </c>
      <c r="F6" s="640"/>
      <c r="G6" s="640"/>
      <c r="H6" s="644" t="str">
        <f>"("&amp;'C2'!D26&amp;" to "&amp;'C2'!D64&amp;")"</f>
        <v>(MOR1 to MOR39)</v>
      </c>
      <c r="I6" s="641"/>
      <c r="J6" s="73"/>
      <c r="K6" s="73"/>
      <c r="L6" s="645"/>
      <c r="M6" s="73"/>
      <c r="N6" s="73"/>
    </row>
    <row r="7" spans="1:14" ht="12" customHeight="1" x14ac:dyDescent="0.35">
      <c r="A7" s="40">
        <v>6</v>
      </c>
      <c r="B7" s="73"/>
      <c r="C7" s="630"/>
      <c r="D7" s="73"/>
      <c r="E7" s="629"/>
      <c r="F7" s="73"/>
      <c r="G7" s="73"/>
      <c r="H7" s="629"/>
      <c r="I7" s="73"/>
      <c r="J7" s="73"/>
      <c r="K7" s="73"/>
      <c r="L7" s="73"/>
      <c r="M7" s="73"/>
      <c r="N7" s="73"/>
    </row>
    <row r="8" spans="1:14" ht="12" customHeight="1" x14ac:dyDescent="0.35">
      <c r="A8" s="40">
        <v>7</v>
      </c>
      <c r="B8" s="73"/>
      <c r="C8" s="647" t="s">
        <v>4302</v>
      </c>
      <c r="D8" s="633"/>
      <c r="E8" s="633"/>
      <c r="F8" s="633"/>
      <c r="G8" s="633"/>
      <c r="H8" s="633"/>
      <c r="I8" s="634"/>
      <c r="J8" s="73"/>
      <c r="K8" s="73"/>
      <c r="L8" s="73"/>
      <c r="M8" s="73"/>
      <c r="N8" s="73"/>
    </row>
    <row r="9" spans="1:14" ht="12" customHeight="1" x14ac:dyDescent="0.35">
      <c r="A9" s="40">
        <v>8</v>
      </c>
      <c r="B9" s="73"/>
      <c r="C9" s="635" t="s">
        <v>2186</v>
      </c>
      <c r="D9" s="73"/>
      <c r="E9" s="612" t="s">
        <v>3926</v>
      </c>
      <c r="F9" s="73"/>
      <c r="G9" s="73"/>
      <c r="H9" s="612" t="s">
        <v>3536</v>
      </c>
      <c r="I9" s="636"/>
      <c r="J9" s="73"/>
      <c r="K9" s="1066" t="str">
        <f>"Components are currently "&amp;IF(Selector!A34,"visible","hidden")</f>
        <v>Components are currently hidden</v>
      </c>
      <c r="L9" s="73"/>
      <c r="M9" s="73"/>
      <c r="N9" s="73"/>
    </row>
    <row r="10" spans="1:14" ht="12" customHeight="1" x14ac:dyDescent="0.35">
      <c r="A10" s="40">
        <v>9</v>
      </c>
      <c r="B10" s="73"/>
      <c r="C10" s="637" t="str">
        <f>"("&amp;'C3'!C3&amp;" to "&amp;'C3'!C41&amp;")"</f>
        <v>(SSE1 to SSE38)</v>
      </c>
      <c r="D10" s="73"/>
      <c r="E10" s="630" t="str">
        <f>"("&amp;'C3'!C44&amp;" to "&amp;'C3'!C147&amp;")"</f>
        <v>(FSE1 to FSE103)</v>
      </c>
      <c r="F10" s="73"/>
      <c r="G10" s="73"/>
      <c r="H10" s="630"/>
      <c r="I10" s="636"/>
      <c r="J10" s="73"/>
      <c r="K10" s="538"/>
      <c r="L10" s="73"/>
      <c r="M10" s="73"/>
      <c r="N10" s="73"/>
    </row>
    <row r="11" spans="1:14" ht="12" customHeight="1" x14ac:dyDescent="0.35">
      <c r="A11" s="40">
        <v>10</v>
      </c>
      <c r="B11" s="73"/>
      <c r="C11" s="638"/>
      <c r="D11" s="73"/>
      <c r="E11" s="73"/>
      <c r="F11" s="73"/>
      <c r="G11" s="73"/>
      <c r="H11" s="73"/>
      <c r="I11" s="636"/>
      <c r="J11" s="73"/>
      <c r="K11" s="615"/>
      <c r="L11" s="73"/>
      <c r="M11" s="73"/>
      <c r="N11" s="73"/>
    </row>
    <row r="12" spans="1:14" ht="12" customHeight="1" x14ac:dyDescent="0.35">
      <c r="A12" s="40">
        <v>11</v>
      </c>
      <c r="B12" s="73"/>
      <c r="C12" s="635" t="s">
        <v>1168</v>
      </c>
      <c r="D12" s="73"/>
      <c r="E12" s="612" t="s">
        <v>3565</v>
      </c>
      <c r="F12" s="73"/>
      <c r="G12" s="73"/>
      <c r="H12" s="612"/>
      <c r="I12" s="636"/>
      <c r="J12" s="73"/>
      <c r="K12" s="615"/>
      <c r="L12" s="73"/>
      <c r="M12" s="73"/>
      <c r="N12" s="73"/>
    </row>
    <row r="13" spans="1:14" ht="12" customHeight="1" x14ac:dyDescent="0.35">
      <c r="A13" s="40">
        <v>12</v>
      </c>
      <c r="B13" s="73"/>
      <c r="C13" s="637" t="str">
        <f>"("&amp;'C4'!C3&amp;" to "&amp;'C4'!C34&amp;")"</f>
        <v>(SPS1 to SPS32)</v>
      </c>
      <c r="D13" s="73"/>
      <c r="E13" s="630" t="str">
        <f>"("&amp;'C4'!C37&amp;" to "&amp;'C4'!C120&amp;")"</f>
        <v>(FPS1 to FPS80)</v>
      </c>
      <c r="F13" s="73"/>
      <c r="G13" s="73"/>
      <c r="H13" s="73"/>
      <c r="I13" s="636"/>
      <c r="J13" s="73"/>
      <c r="K13" s="73"/>
      <c r="L13" s="73"/>
      <c r="M13" s="73"/>
      <c r="N13" s="73"/>
    </row>
    <row r="14" spans="1:14" ht="12" customHeight="1" x14ac:dyDescent="0.35">
      <c r="A14" s="40">
        <v>13</v>
      </c>
      <c r="B14" s="73"/>
      <c r="C14" s="639"/>
      <c r="D14" s="640"/>
      <c r="E14" s="640"/>
      <c r="F14" s="640"/>
      <c r="G14" s="640"/>
      <c r="H14" s="640"/>
      <c r="I14" s="641"/>
      <c r="J14" s="73"/>
      <c r="K14" s="73"/>
      <c r="L14" s="73"/>
      <c r="M14" s="73"/>
      <c r="N14" s="73"/>
    </row>
    <row r="15" spans="1:14" ht="12" customHeight="1" x14ac:dyDescent="0.35">
      <c r="A15" s="40">
        <v>14</v>
      </c>
      <c r="B15" s="73"/>
      <c r="C15" s="73"/>
      <c r="D15" s="73"/>
      <c r="E15" s="73"/>
      <c r="F15" s="73"/>
      <c r="G15" s="73"/>
      <c r="H15" s="73"/>
      <c r="I15" s="73"/>
      <c r="J15" s="73"/>
      <c r="K15" s="73"/>
      <c r="L15" s="73"/>
      <c r="M15" s="73"/>
      <c r="N15" s="73"/>
    </row>
    <row r="16" spans="1:14" ht="12" customHeight="1" x14ac:dyDescent="0.35">
      <c r="A16" s="40">
        <v>15</v>
      </c>
      <c r="B16" s="73"/>
      <c r="C16" s="612" t="s">
        <v>657</v>
      </c>
      <c r="D16" s="73"/>
      <c r="E16" s="650" t="s">
        <v>1423</v>
      </c>
      <c r="F16" s="73"/>
      <c r="G16" s="73"/>
      <c r="H16" s="612" t="s">
        <v>1366</v>
      </c>
      <c r="I16" s="73"/>
      <c r="J16" s="73"/>
      <c r="K16" s="73"/>
      <c r="L16" s="73"/>
      <c r="M16" s="73"/>
      <c r="N16" s="73"/>
    </row>
    <row r="17" spans="1:14" ht="12" customHeight="1" x14ac:dyDescent="0.35">
      <c r="A17" s="40">
        <v>16</v>
      </c>
      <c r="B17" s="73"/>
      <c r="C17" s="658" t="str">
        <f>"("&amp;'C5'!C2&amp;" to "&amp;'C5'!C66&amp;")"</f>
        <v>(PRO1 to PRO44)</v>
      </c>
      <c r="D17" s="73"/>
      <c r="E17" s="630" t="str">
        <f>"("&amp;'C6'!C2&amp;" to "&amp;'C6'!C132&amp;")"</f>
        <v>(FOR1 to FOR46)</v>
      </c>
      <c r="F17" s="73"/>
      <c r="G17" s="73"/>
      <c r="H17" s="630" t="str">
        <f>"("&amp;'C7'!C2&amp;" to "&amp;'C7'!C27&amp;")"</f>
        <v>(TRU1 to TRU26)</v>
      </c>
      <c r="I17" s="73"/>
      <c r="J17" s="73"/>
      <c r="K17" s="73"/>
      <c r="L17" s="73"/>
      <c r="M17" s="73"/>
      <c r="N17" s="73"/>
    </row>
    <row r="18" spans="1:14" ht="12" customHeight="1" x14ac:dyDescent="0.35">
      <c r="A18" s="40">
        <v>17</v>
      </c>
      <c r="B18" s="73"/>
      <c r="C18" s="73"/>
      <c r="D18" s="73"/>
      <c r="E18" s="73"/>
      <c r="F18" s="73"/>
      <c r="G18" s="73"/>
      <c r="H18" s="73"/>
      <c r="I18" s="73"/>
      <c r="J18" s="73"/>
      <c r="K18" s="73"/>
      <c r="L18" s="73"/>
      <c r="M18" s="73"/>
      <c r="N18" s="73"/>
    </row>
    <row r="19" spans="1:14" ht="12" customHeight="1" x14ac:dyDescent="0.35">
      <c r="A19" s="40">
        <v>18</v>
      </c>
      <c r="B19" s="73"/>
      <c r="C19" s="612" t="s">
        <v>1005</v>
      </c>
      <c r="D19" s="73"/>
      <c r="E19" s="612" t="s">
        <v>878</v>
      </c>
      <c r="F19" s="73"/>
      <c r="G19" s="73"/>
      <c r="H19" s="612" t="s">
        <v>4161</v>
      </c>
      <c r="I19" s="73"/>
      <c r="J19" s="73"/>
      <c r="K19" s="73"/>
      <c r="L19" s="73"/>
      <c r="M19" s="73"/>
      <c r="N19" s="73"/>
    </row>
    <row r="20" spans="1:14" ht="12" customHeight="1" x14ac:dyDescent="0.35">
      <c r="A20" s="39" t="s">
        <v>1147</v>
      </c>
      <c r="B20" s="73"/>
      <c r="C20" s="630" t="str">
        <f>"("&amp;'C8C9C10'!C3&amp;" to "&amp;'C8C9C10'!C56&amp;")"</f>
        <v>(CGT1 to CGT54)</v>
      </c>
      <c r="D20" s="73"/>
      <c r="E20" s="630" t="str">
        <f>"("&amp;'C8C9C10'!C59&amp;" to "&amp;'C8C9C10'!C102&amp;")"</f>
        <v>(NRD1 to NRD40)</v>
      </c>
      <c r="F20" s="73"/>
      <c r="G20" s="73"/>
      <c r="H20" s="630" t="str">
        <f>"("&amp;'C8C9C10'!C112&amp;" to "&amp;'C8C9C10'!C122&amp;")"</f>
        <v>(CAL7 to CAL17)</v>
      </c>
      <c r="I20" s="73"/>
      <c r="J20" s="73"/>
      <c r="K20" s="73"/>
      <c r="L20" s="73"/>
      <c r="M20" s="73"/>
      <c r="N20" s="73"/>
    </row>
    <row r="21" spans="1:14" ht="12" customHeight="1" x14ac:dyDescent="0.35">
      <c r="A21" s="16" t="b">
        <v>0</v>
      </c>
      <c r="B21" s="73"/>
      <c r="C21" s="73"/>
      <c r="D21" s="73"/>
      <c r="E21" s="73"/>
      <c r="F21" s="73"/>
      <c r="G21" s="73"/>
      <c r="H21" s="73"/>
      <c r="I21" s="73"/>
      <c r="J21" s="73"/>
      <c r="K21" s="73"/>
      <c r="L21" s="73"/>
      <c r="M21" s="73"/>
      <c r="N21" s="73"/>
    </row>
    <row r="22" spans="1:14" ht="12" customHeight="1" x14ac:dyDescent="0.35">
      <c r="A22" s="1157" t="s">
        <v>4632</v>
      </c>
      <c r="B22" s="73"/>
      <c r="C22" s="73"/>
      <c r="D22" s="73"/>
      <c r="E22" s="612" t="s">
        <v>4957</v>
      </c>
      <c r="F22" s="73"/>
      <c r="G22" s="73"/>
      <c r="H22" s="612" t="s">
        <v>4958</v>
      </c>
      <c r="I22" s="73"/>
      <c r="J22" s="73"/>
      <c r="K22" s="73"/>
      <c r="L22" s="73"/>
      <c r="M22" s="73"/>
      <c r="N22" s="73"/>
    </row>
    <row r="23" spans="1:14" ht="12" customHeight="1" x14ac:dyDescent="0.35">
      <c r="A23" s="116" t="b">
        <v>0</v>
      </c>
      <c r="B23" s="73"/>
      <c r="C23" s="73"/>
      <c r="D23" s="73"/>
      <c r="E23" s="630"/>
      <c r="F23" s="73"/>
      <c r="G23" s="73"/>
      <c r="H23" s="630"/>
      <c r="I23" s="73"/>
      <c r="J23" s="73"/>
      <c r="K23" s="73"/>
      <c r="L23" s="73"/>
      <c r="M23" s="73"/>
      <c r="N23" s="73"/>
    </row>
    <row r="24" spans="1:14" ht="12" customHeight="1" x14ac:dyDescent="0.35">
      <c r="A24" s="40" t="s">
        <v>1958</v>
      </c>
      <c r="B24" s="73"/>
      <c r="C24" s="73"/>
      <c r="D24" s="73"/>
      <c r="E24" s="73"/>
      <c r="F24" s="73"/>
      <c r="G24" s="73"/>
      <c r="H24" s="73"/>
      <c r="I24" s="73"/>
      <c r="J24" s="73"/>
      <c r="K24" s="73"/>
      <c r="L24" s="73"/>
      <c r="M24" s="73"/>
      <c r="N24" s="73"/>
    </row>
    <row r="25" spans="1:14" ht="12" customHeight="1" x14ac:dyDescent="0.35">
      <c r="A25" s="116" t="b">
        <v>0</v>
      </c>
      <c r="B25" s="73"/>
      <c r="C25" s="73"/>
      <c r="D25" s="73"/>
      <c r="E25" s="73"/>
      <c r="F25" s="73"/>
      <c r="G25" s="73"/>
      <c r="H25" s="73"/>
      <c r="I25" s="73"/>
      <c r="J25" s="73"/>
      <c r="K25" s="73"/>
      <c r="L25" s="73"/>
      <c r="M25" s="73"/>
      <c r="N25" s="73"/>
    </row>
    <row r="26" spans="1:14" ht="12" customHeight="1" x14ac:dyDescent="0.35">
      <c r="B26" s="73"/>
      <c r="C26" s="73"/>
      <c r="D26" s="73"/>
      <c r="E26" s="73"/>
      <c r="F26" s="73"/>
      <c r="G26" s="73"/>
      <c r="H26" s="73"/>
      <c r="I26" s="73"/>
      <c r="J26" s="73"/>
      <c r="K26" s="73"/>
      <c r="L26" s="73"/>
      <c r="M26" s="73"/>
      <c r="N26" s="73"/>
    </row>
    <row r="27" spans="1:14" ht="14.25" customHeight="1" x14ac:dyDescent="0.35">
      <c r="B27" s="73"/>
      <c r="C27" s="73"/>
      <c r="D27" s="73"/>
      <c r="E27" s="73"/>
      <c r="F27" s="73"/>
      <c r="G27" s="73"/>
      <c r="H27" s="73"/>
      <c r="I27" s="73"/>
      <c r="J27" s="73"/>
      <c r="K27" s="73"/>
      <c r="L27" s="73"/>
      <c r="M27" s="73"/>
      <c r="N27" s="73"/>
    </row>
    <row r="28" spans="1:14" ht="8.1" customHeight="1" x14ac:dyDescent="0.35">
      <c r="B28" s="73"/>
      <c r="C28" s="73"/>
      <c r="D28" s="73"/>
      <c r="E28" s="73"/>
      <c r="F28" s="73"/>
      <c r="G28" s="73"/>
      <c r="H28" s="73"/>
      <c r="I28" s="73"/>
      <c r="J28" s="73"/>
      <c r="K28" s="73"/>
      <c r="L28" s="73"/>
      <c r="M28" s="73"/>
      <c r="N28" s="73"/>
    </row>
    <row r="29" spans="1:14" ht="12" customHeight="1" x14ac:dyDescent="0.35">
      <c r="B29" s="73"/>
      <c r="C29" s="73"/>
      <c r="D29" s="73"/>
      <c r="E29" s="73"/>
      <c r="F29" s="73"/>
      <c r="G29" s="73"/>
      <c r="H29" s="73"/>
      <c r="I29" s="73"/>
      <c r="J29" s="73"/>
      <c r="K29" s="73"/>
      <c r="L29" s="73"/>
      <c r="M29" s="73"/>
      <c r="N29" s="73"/>
    </row>
    <row r="30" spans="1:14" ht="12" customHeight="1" x14ac:dyDescent="0.35">
      <c r="B30" s="73"/>
      <c r="C30" s="73"/>
      <c r="D30" s="73"/>
      <c r="E30" s="73"/>
      <c r="F30" s="73"/>
      <c r="G30" s="73"/>
      <c r="H30" s="73"/>
      <c r="I30" s="73"/>
      <c r="J30" s="73"/>
      <c r="K30" s="73"/>
      <c r="L30" s="73"/>
      <c r="M30" s="73"/>
      <c r="N30" s="73"/>
    </row>
    <row r="31" spans="1:14" ht="12" customHeight="1" x14ac:dyDescent="0.35">
      <c r="B31" s="73"/>
      <c r="C31" s="73"/>
      <c r="D31" s="73"/>
      <c r="E31" s="73"/>
      <c r="F31" s="73"/>
      <c r="G31" s="73"/>
      <c r="H31" s="73"/>
      <c r="I31" s="73"/>
      <c r="J31" s="73"/>
      <c r="K31" s="73"/>
      <c r="L31" s="73"/>
      <c r="M31" s="73"/>
      <c r="N31" s="73"/>
    </row>
    <row r="32" spans="1:14" ht="12" customHeight="1" x14ac:dyDescent="0.35">
      <c r="B32" s="73"/>
      <c r="C32" s="73"/>
      <c r="D32" s="73"/>
      <c r="E32" s="73"/>
      <c r="F32" s="73"/>
      <c r="G32" s="73"/>
      <c r="H32" s="73"/>
      <c r="I32" s="73"/>
      <c r="J32" s="73"/>
      <c r="K32" s="73"/>
      <c r="L32" s="73"/>
      <c r="M32" s="73"/>
      <c r="N32" s="73"/>
    </row>
    <row r="33" spans="2:14" ht="12" customHeight="1" x14ac:dyDescent="0.35">
      <c r="B33" s="73"/>
      <c r="C33" s="73"/>
      <c r="D33" s="73"/>
      <c r="E33" s="73"/>
      <c r="F33" s="73"/>
      <c r="G33" s="73"/>
      <c r="H33" s="73"/>
      <c r="I33" s="73"/>
      <c r="J33" s="73"/>
      <c r="K33" s="73"/>
      <c r="L33" s="73"/>
      <c r="M33" s="73"/>
      <c r="N33" s="73"/>
    </row>
    <row r="34" spans="2:14" ht="12" customHeight="1" x14ac:dyDescent="0.35">
      <c r="C34" s="40"/>
      <c r="D34" s="40"/>
      <c r="E34" s="40"/>
      <c r="F34" s="40"/>
      <c r="G34" s="40"/>
      <c r="H34" s="40"/>
      <c r="I34" s="40"/>
      <c r="J34" s="40"/>
      <c r="K34" s="40"/>
      <c r="L34" s="40"/>
      <c r="M34" s="40"/>
      <c r="N34" s="40"/>
    </row>
    <row r="35" spans="2:14" ht="12" customHeight="1" x14ac:dyDescent="0.35">
      <c r="C35" s="40"/>
      <c r="D35" s="40"/>
      <c r="E35" s="40"/>
      <c r="F35" s="40"/>
      <c r="G35" s="40"/>
      <c r="H35" s="40"/>
      <c r="I35" s="40"/>
      <c r="J35" s="40"/>
      <c r="K35" s="40"/>
      <c r="L35" s="40"/>
      <c r="M35" s="40"/>
      <c r="N35" s="40"/>
    </row>
    <row r="36" spans="2:14" x14ac:dyDescent="0.35">
      <c r="C36" s="40"/>
      <c r="D36" s="40"/>
      <c r="E36" s="40"/>
      <c r="F36" s="40"/>
      <c r="G36" s="40"/>
      <c r="H36" s="40"/>
      <c r="I36" s="40"/>
      <c r="J36" s="40"/>
      <c r="K36" s="40"/>
      <c r="L36" s="40"/>
      <c r="M36" s="40"/>
      <c r="N36" s="40"/>
    </row>
    <row r="37" spans="2:14" x14ac:dyDescent="0.35">
      <c r="C37" s="40"/>
      <c r="D37" s="40"/>
      <c r="E37" s="40"/>
      <c r="F37" s="40"/>
      <c r="G37" s="40"/>
      <c r="H37" s="40"/>
      <c r="I37" s="40"/>
      <c r="J37" s="40"/>
      <c r="K37" s="40"/>
      <c r="L37" s="40"/>
      <c r="M37" s="40"/>
      <c r="N37" s="40"/>
    </row>
    <row r="38" spans="2:14" x14ac:dyDescent="0.35">
      <c r="C38" s="40"/>
      <c r="D38" s="40"/>
      <c r="E38" s="40"/>
      <c r="F38" s="40"/>
      <c r="G38" s="40"/>
      <c r="H38" s="40"/>
      <c r="I38" s="40"/>
      <c r="J38" s="40"/>
      <c r="K38" s="40"/>
      <c r="L38" s="40"/>
      <c r="M38" s="40"/>
      <c r="N38" s="40"/>
    </row>
    <row r="39" spans="2:14" x14ac:dyDescent="0.35">
      <c r="C39" s="40"/>
      <c r="D39" s="40"/>
      <c r="E39" s="40"/>
      <c r="F39" s="40"/>
      <c r="G39" s="40"/>
      <c r="H39" s="40"/>
      <c r="I39" s="40"/>
      <c r="J39" s="40"/>
      <c r="K39" s="40"/>
      <c r="L39" s="40"/>
      <c r="M39" s="40"/>
      <c r="N39" s="40"/>
    </row>
    <row r="40" spans="2:14" x14ac:dyDescent="0.35">
      <c r="C40" s="40"/>
      <c r="D40" s="40"/>
      <c r="E40" s="40"/>
      <c r="F40" s="40"/>
      <c r="G40" s="40"/>
      <c r="H40" s="40"/>
      <c r="I40" s="40"/>
      <c r="J40" s="40"/>
      <c r="K40" s="40"/>
      <c r="L40" s="40"/>
      <c r="M40" s="40"/>
      <c r="N40" s="40"/>
    </row>
    <row r="41" spans="2:14" x14ac:dyDescent="0.35">
      <c r="C41" s="40"/>
      <c r="D41" s="40"/>
      <c r="E41" s="40"/>
      <c r="F41" s="40"/>
      <c r="G41" s="40"/>
      <c r="H41" s="40"/>
      <c r="I41" s="40"/>
      <c r="J41" s="40"/>
      <c r="K41" s="40"/>
      <c r="L41" s="40"/>
      <c r="M41" s="40"/>
      <c r="N41" s="40"/>
    </row>
  </sheetData>
  <sheetProtection sheet="1" objects="1" scenarios="1"/>
  <phoneticPr fontId="68" type="noConversion"/>
  <pageMargins left="0.75" right="0.75" top="1" bottom="1" header="0.5" footer="0.5"/>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52" r:id="rId4" name="Check Box 20">
              <controlPr defaultSize="0" autoFill="0" autoLine="0" autoPict="0">
                <anchor moveWithCells="1">
                  <from>
                    <xdr:col>8</xdr:col>
                    <xdr:colOff>161925</xdr:colOff>
                    <xdr:row>10</xdr:row>
                    <xdr:rowOff>85725</xdr:rowOff>
                  </from>
                  <to>
                    <xdr:col>8</xdr:col>
                    <xdr:colOff>466725</xdr:colOff>
                    <xdr:row>12</xdr:row>
                    <xdr:rowOff>0</xdr:rowOff>
                  </to>
                </anchor>
              </controlPr>
            </control>
          </mc:Choice>
        </mc:AlternateContent>
        <mc:AlternateContent xmlns:mc="http://schemas.openxmlformats.org/markup-compatibility/2006">
          <mc:Choice Requires="x14">
            <control shapeId="44056" r:id="rId5" name="Button 24">
              <controlPr defaultSize="0" print="0" autoFill="0" autoPict="0" macro="[0]!record_settings">
                <anchor moveWithCells="1" sizeWithCells="1">
                  <from>
                    <xdr:col>10</xdr:col>
                    <xdr:colOff>9525</xdr:colOff>
                    <xdr:row>14</xdr:row>
                    <xdr:rowOff>66675</xdr:rowOff>
                  </from>
                  <to>
                    <xdr:col>11</xdr:col>
                    <xdr:colOff>409575</xdr:colOff>
                    <xdr:row>16</xdr:row>
                    <xdr:rowOff>133350</xdr:rowOff>
                  </to>
                </anchor>
              </controlPr>
            </control>
          </mc:Choice>
        </mc:AlternateContent>
        <mc:AlternateContent xmlns:mc="http://schemas.openxmlformats.org/markup-compatibility/2006">
          <mc:Choice Requires="x14">
            <control shapeId="44057" r:id="rId6" name="Button 25">
              <controlPr defaultSize="0" print="0" autoFill="0" autoPict="0" macro="[0]!Show_hide_components">
                <anchor moveWithCells="1">
                  <from>
                    <xdr:col>10</xdr:col>
                    <xdr:colOff>9525</xdr:colOff>
                    <xdr:row>5</xdr:row>
                    <xdr:rowOff>95250</xdr:rowOff>
                  </from>
                  <to>
                    <xdr:col>11</xdr:col>
                    <xdr:colOff>400050</xdr:colOff>
                    <xdr:row>7</xdr:row>
                    <xdr:rowOff>85725</xdr:rowOff>
                  </to>
                </anchor>
              </controlPr>
            </control>
          </mc:Choice>
        </mc:AlternateContent>
        <mc:AlternateContent xmlns:mc="http://schemas.openxmlformats.org/markup-compatibility/2006">
          <mc:Choice Requires="x14">
            <control shapeId="44058" r:id="rId7" name="Button 26">
              <controlPr defaultSize="0" print="0" autoFill="0" autoPict="0" macro="[0]!reset_test_selection">
                <anchor moveWithCells="1">
                  <from>
                    <xdr:col>10</xdr:col>
                    <xdr:colOff>19050</xdr:colOff>
                    <xdr:row>18</xdr:row>
                    <xdr:rowOff>85725</xdr:rowOff>
                  </from>
                  <to>
                    <xdr:col>11</xdr:col>
                    <xdr:colOff>409575</xdr:colOff>
                    <xdr:row>20</xdr:row>
                    <xdr:rowOff>114300</xdr:rowOff>
                  </to>
                </anchor>
              </controlPr>
            </control>
          </mc:Choice>
        </mc:AlternateContent>
        <mc:AlternateContent xmlns:mc="http://schemas.openxmlformats.org/markup-compatibility/2006">
          <mc:Choice Requires="x14">
            <control shapeId="44059" r:id="rId8" name="Button 27">
              <controlPr defaultSize="0" print="0" autoFill="0" autoPict="0" macro="[0]!go_select">
                <anchor moveWithCells="1">
                  <from>
                    <xdr:col>9</xdr:col>
                    <xdr:colOff>123825</xdr:colOff>
                    <xdr:row>2</xdr:row>
                    <xdr:rowOff>0</xdr:rowOff>
                  </from>
                  <to>
                    <xdr:col>11</xdr:col>
                    <xdr:colOff>390525</xdr:colOff>
                    <xdr:row>3</xdr:row>
                    <xdr:rowOff>123825</xdr:rowOff>
                  </to>
                </anchor>
              </controlPr>
            </control>
          </mc:Choice>
        </mc:AlternateContent>
        <mc:AlternateContent xmlns:mc="http://schemas.openxmlformats.org/markup-compatibility/2006">
          <mc:Choice Requires="x14">
            <control shapeId="44060" r:id="rId9" name="Button 28">
              <controlPr defaultSize="0" print="0" autoFill="0" autoPict="0" macro="[0]!test_this_case">
                <anchor moveWithCells="1">
                  <from>
                    <xdr:col>10</xdr:col>
                    <xdr:colOff>19050</xdr:colOff>
                    <xdr:row>10</xdr:row>
                    <xdr:rowOff>9525</xdr:rowOff>
                  </from>
                  <to>
                    <xdr:col>11</xdr:col>
                    <xdr:colOff>400050</xdr:colOff>
                    <xdr:row>12</xdr:row>
                    <xdr:rowOff>85725</xdr:rowOff>
                  </to>
                </anchor>
              </controlPr>
            </control>
          </mc:Choice>
        </mc:AlternateContent>
        <mc:AlternateContent xmlns:mc="http://schemas.openxmlformats.org/markup-compatibility/2006">
          <mc:Choice Requires="x14">
            <control shapeId="44062" r:id="rId10" name="Drop Down 30">
              <controlPr defaultSize="0" autoLine="0" autoPict="0">
                <anchor moveWithCells="1">
                  <from>
                    <xdr:col>3</xdr:col>
                    <xdr:colOff>28575</xdr:colOff>
                    <xdr:row>3</xdr:row>
                    <xdr:rowOff>66675</xdr:rowOff>
                  </from>
                  <to>
                    <xdr:col>3</xdr:col>
                    <xdr:colOff>504825</xdr:colOff>
                    <xdr:row>4</xdr:row>
                    <xdr:rowOff>114300</xdr:rowOff>
                  </to>
                </anchor>
              </controlPr>
            </control>
          </mc:Choice>
        </mc:AlternateContent>
        <mc:AlternateContent xmlns:mc="http://schemas.openxmlformats.org/markup-compatibility/2006">
          <mc:Choice Requires="x14">
            <control shapeId="44063" r:id="rId11" name="Drop Down 31">
              <controlPr defaultSize="0" autoLine="0" autoPict="0">
                <anchor moveWithCells="1">
                  <from>
                    <xdr:col>5</xdr:col>
                    <xdr:colOff>57150</xdr:colOff>
                    <xdr:row>3</xdr:row>
                    <xdr:rowOff>47625</xdr:rowOff>
                  </from>
                  <to>
                    <xdr:col>5</xdr:col>
                    <xdr:colOff>533400</xdr:colOff>
                    <xdr:row>4</xdr:row>
                    <xdr:rowOff>95250</xdr:rowOff>
                  </to>
                </anchor>
              </controlPr>
            </control>
          </mc:Choice>
        </mc:AlternateContent>
        <mc:AlternateContent xmlns:mc="http://schemas.openxmlformats.org/markup-compatibility/2006">
          <mc:Choice Requires="x14">
            <control shapeId="44064" r:id="rId12" name="Drop Down 32">
              <controlPr defaultSize="0" autoLine="0" autoPict="0">
                <anchor moveWithCells="1">
                  <from>
                    <xdr:col>8</xdr:col>
                    <xdr:colOff>28575</xdr:colOff>
                    <xdr:row>3</xdr:row>
                    <xdr:rowOff>47625</xdr:rowOff>
                  </from>
                  <to>
                    <xdr:col>8</xdr:col>
                    <xdr:colOff>504825</xdr:colOff>
                    <xdr:row>4</xdr:row>
                    <xdr:rowOff>95250</xdr:rowOff>
                  </to>
                </anchor>
              </controlPr>
            </control>
          </mc:Choice>
        </mc:AlternateContent>
        <mc:AlternateContent xmlns:mc="http://schemas.openxmlformats.org/markup-compatibility/2006">
          <mc:Choice Requires="x14">
            <control shapeId="44065" r:id="rId13" name="Drop Down 33">
              <controlPr defaultSize="0" autoLine="0" autoPict="0">
                <anchor moveWithCells="1">
                  <from>
                    <xdr:col>3</xdr:col>
                    <xdr:colOff>28575</xdr:colOff>
                    <xdr:row>8</xdr:row>
                    <xdr:rowOff>47625</xdr:rowOff>
                  </from>
                  <to>
                    <xdr:col>3</xdr:col>
                    <xdr:colOff>504825</xdr:colOff>
                    <xdr:row>9</xdr:row>
                    <xdr:rowOff>95250</xdr:rowOff>
                  </to>
                </anchor>
              </controlPr>
            </control>
          </mc:Choice>
        </mc:AlternateContent>
        <mc:AlternateContent xmlns:mc="http://schemas.openxmlformats.org/markup-compatibility/2006">
          <mc:Choice Requires="x14">
            <control shapeId="44066" r:id="rId14" name="Drop Down 34">
              <controlPr defaultSize="0" autoLine="0" autoPict="0">
                <anchor moveWithCells="1">
                  <from>
                    <xdr:col>5</xdr:col>
                    <xdr:colOff>47625</xdr:colOff>
                    <xdr:row>8</xdr:row>
                    <xdr:rowOff>57150</xdr:rowOff>
                  </from>
                  <to>
                    <xdr:col>5</xdr:col>
                    <xdr:colOff>523875</xdr:colOff>
                    <xdr:row>9</xdr:row>
                    <xdr:rowOff>104775</xdr:rowOff>
                  </to>
                </anchor>
              </controlPr>
            </control>
          </mc:Choice>
        </mc:AlternateContent>
        <mc:AlternateContent xmlns:mc="http://schemas.openxmlformats.org/markup-compatibility/2006">
          <mc:Choice Requires="x14">
            <control shapeId="44067" r:id="rId15" name="Drop Down 35">
              <controlPr defaultSize="0" autoLine="0" autoPict="0">
                <anchor moveWithCells="1">
                  <from>
                    <xdr:col>8</xdr:col>
                    <xdr:colOff>28575</xdr:colOff>
                    <xdr:row>8</xdr:row>
                    <xdr:rowOff>38100</xdr:rowOff>
                  </from>
                  <to>
                    <xdr:col>8</xdr:col>
                    <xdr:colOff>504825</xdr:colOff>
                    <xdr:row>9</xdr:row>
                    <xdr:rowOff>85725</xdr:rowOff>
                  </to>
                </anchor>
              </controlPr>
            </control>
          </mc:Choice>
        </mc:AlternateContent>
        <mc:AlternateContent xmlns:mc="http://schemas.openxmlformats.org/markup-compatibility/2006">
          <mc:Choice Requires="x14">
            <control shapeId="44068" r:id="rId16" name="Drop Down 36">
              <controlPr defaultSize="0" autoLine="0" autoPict="0">
                <anchor moveWithCells="1">
                  <from>
                    <xdr:col>3</xdr:col>
                    <xdr:colOff>28575</xdr:colOff>
                    <xdr:row>11</xdr:row>
                    <xdr:rowOff>38100</xdr:rowOff>
                  </from>
                  <to>
                    <xdr:col>3</xdr:col>
                    <xdr:colOff>504825</xdr:colOff>
                    <xdr:row>12</xdr:row>
                    <xdr:rowOff>85725</xdr:rowOff>
                  </to>
                </anchor>
              </controlPr>
            </control>
          </mc:Choice>
        </mc:AlternateContent>
        <mc:AlternateContent xmlns:mc="http://schemas.openxmlformats.org/markup-compatibility/2006">
          <mc:Choice Requires="x14">
            <control shapeId="44069" r:id="rId17" name="Drop Down 37">
              <controlPr defaultSize="0" autoLine="0" autoPict="0">
                <anchor moveWithCells="1">
                  <from>
                    <xdr:col>5</xdr:col>
                    <xdr:colOff>47625</xdr:colOff>
                    <xdr:row>11</xdr:row>
                    <xdr:rowOff>28575</xdr:rowOff>
                  </from>
                  <to>
                    <xdr:col>5</xdr:col>
                    <xdr:colOff>523875</xdr:colOff>
                    <xdr:row>12</xdr:row>
                    <xdr:rowOff>76200</xdr:rowOff>
                  </to>
                </anchor>
              </controlPr>
            </control>
          </mc:Choice>
        </mc:AlternateContent>
        <mc:AlternateContent xmlns:mc="http://schemas.openxmlformats.org/markup-compatibility/2006">
          <mc:Choice Requires="x14">
            <control shapeId="44070" r:id="rId18" name="Drop Down 38">
              <controlPr defaultSize="0" autoLine="0" autoPict="0">
                <anchor moveWithCells="1">
                  <from>
                    <xdr:col>3</xdr:col>
                    <xdr:colOff>28575</xdr:colOff>
                    <xdr:row>15</xdr:row>
                    <xdr:rowOff>28575</xdr:rowOff>
                  </from>
                  <to>
                    <xdr:col>3</xdr:col>
                    <xdr:colOff>504825</xdr:colOff>
                    <xdr:row>16</xdr:row>
                    <xdr:rowOff>76200</xdr:rowOff>
                  </to>
                </anchor>
              </controlPr>
            </control>
          </mc:Choice>
        </mc:AlternateContent>
        <mc:AlternateContent xmlns:mc="http://schemas.openxmlformats.org/markup-compatibility/2006">
          <mc:Choice Requires="x14">
            <control shapeId="44071" r:id="rId19" name="Drop Down 39">
              <controlPr defaultSize="0" autoLine="0" autoPict="0">
                <anchor moveWithCells="1">
                  <from>
                    <xdr:col>5</xdr:col>
                    <xdr:colOff>47625</xdr:colOff>
                    <xdr:row>15</xdr:row>
                    <xdr:rowOff>28575</xdr:rowOff>
                  </from>
                  <to>
                    <xdr:col>5</xdr:col>
                    <xdr:colOff>523875</xdr:colOff>
                    <xdr:row>16</xdr:row>
                    <xdr:rowOff>76200</xdr:rowOff>
                  </to>
                </anchor>
              </controlPr>
            </control>
          </mc:Choice>
        </mc:AlternateContent>
        <mc:AlternateContent xmlns:mc="http://schemas.openxmlformats.org/markup-compatibility/2006">
          <mc:Choice Requires="x14">
            <control shapeId="44072" r:id="rId20" name="Drop Down 40">
              <controlPr defaultSize="0" autoLine="0" autoPict="0">
                <anchor moveWithCells="1">
                  <from>
                    <xdr:col>8</xdr:col>
                    <xdr:colOff>28575</xdr:colOff>
                    <xdr:row>15</xdr:row>
                    <xdr:rowOff>28575</xdr:rowOff>
                  </from>
                  <to>
                    <xdr:col>8</xdr:col>
                    <xdr:colOff>504825</xdr:colOff>
                    <xdr:row>16</xdr:row>
                    <xdr:rowOff>76200</xdr:rowOff>
                  </to>
                </anchor>
              </controlPr>
            </control>
          </mc:Choice>
        </mc:AlternateContent>
        <mc:AlternateContent xmlns:mc="http://schemas.openxmlformats.org/markup-compatibility/2006">
          <mc:Choice Requires="x14">
            <control shapeId="44073" r:id="rId21" name="Drop Down 41">
              <controlPr defaultSize="0" autoLine="0" autoPict="0">
                <anchor moveWithCells="1">
                  <from>
                    <xdr:col>3</xdr:col>
                    <xdr:colOff>28575</xdr:colOff>
                    <xdr:row>18</xdr:row>
                    <xdr:rowOff>57150</xdr:rowOff>
                  </from>
                  <to>
                    <xdr:col>3</xdr:col>
                    <xdr:colOff>504825</xdr:colOff>
                    <xdr:row>19</xdr:row>
                    <xdr:rowOff>104775</xdr:rowOff>
                  </to>
                </anchor>
              </controlPr>
            </control>
          </mc:Choice>
        </mc:AlternateContent>
        <mc:AlternateContent xmlns:mc="http://schemas.openxmlformats.org/markup-compatibility/2006">
          <mc:Choice Requires="x14">
            <control shapeId="44074" r:id="rId22" name="Drop Down 42">
              <controlPr defaultSize="0" autoLine="0" autoPict="0">
                <anchor moveWithCells="1">
                  <from>
                    <xdr:col>5</xdr:col>
                    <xdr:colOff>47625</xdr:colOff>
                    <xdr:row>18</xdr:row>
                    <xdr:rowOff>47625</xdr:rowOff>
                  </from>
                  <to>
                    <xdr:col>5</xdr:col>
                    <xdr:colOff>523875</xdr:colOff>
                    <xdr:row>19</xdr:row>
                    <xdr:rowOff>95250</xdr:rowOff>
                  </to>
                </anchor>
              </controlPr>
            </control>
          </mc:Choice>
        </mc:AlternateContent>
        <mc:AlternateContent xmlns:mc="http://schemas.openxmlformats.org/markup-compatibility/2006">
          <mc:Choice Requires="x14">
            <control shapeId="44079" r:id="rId23" name="Drop Down 47">
              <controlPr defaultSize="0" autoLine="0" autoPict="0">
                <anchor moveWithCells="1">
                  <from>
                    <xdr:col>8</xdr:col>
                    <xdr:colOff>28575</xdr:colOff>
                    <xdr:row>18</xdr:row>
                    <xdr:rowOff>47625</xdr:rowOff>
                  </from>
                  <to>
                    <xdr:col>8</xdr:col>
                    <xdr:colOff>504825</xdr:colOff>
                    <xdr:row>19</xdr:row>
                    <xdr:rowOff>95250</xdr:rowOff>
                  </to>
                </anchor>
              </controlPr>
            </control>
          </mc:Choice>
        </mc:AlternateContent>
        <mc:AlternateContent xmlns:mc="http://schemas.openxmlformats.org/markup-compatibility/2006">
          <mc:Choice Requires="x14">
            <control shapeId="44080" r:id="rId24" name="Check Box 48">
              <controlPr defaultSize="0" autoFill="0" autoLine="0" autoPict="0">
                <anchor moveWithCells="1">
                  <from>
                    <xdr:col>8</xdr:col>
                    <xdr:colOff>161925</xdr:colOff>
                    <xdr:row>12</xdr:row>
                    <xdr:rowOff>28575</xdr:rowOff>
                  </from>
                  <to>
                    <xdr:col>8</xdr:col>
                    <xdr:colOff>466725</xdr:colOff>
                    <xdr:row>13</xdr:row>
                    <xdr:rowOff>95250</xdr:rowOff>
                  </to>
                </anchor>
              </controlPr>
            </control>
          </mc:Choice>
        </mc:AlternateContent>
        <mc:AlternateContent xmlns:mc="http://schemas.openxmlformats.org/markup-compatibility/2006">
          <mc:Choice Requires="x14">
            <control shapeId="44081" r:id="rId25" name="Drop Down 49">
              <controlPr defaultSize="0" autoLine="0" autoPict="0">
                <anchor moveWithCells="1">
                  <from>
                    <xdr:col>5</xdr:col>
                    <xdr:colOff>47625</xdr:colOff>
                    <xdr:row>21</xdr:row>
                    <xdr:rowOff>38100</xdr:rowOff>
                  </from>
                  <to>
                    <xdr:col>5</xdr:col>
                    <xdr:colOff>523875</xdr:colOff>
                    <xdr:row>22</xdr:row>
                    <xdr:rowOff>85725</xdr:rowOff>
                  </to>
                </anchor>
              </controlPr>
            </control>
          </mc:Choice>
        </mc:AlternateContent>
        <mc:AlternateContent xmlns:mc="http://schemas.openxmlformats.org/markup-compatibility/2006">
          <mc:Choice Requires="x14">
            <control shapeId="44082" r:id="rId26" name="Drop Down 50">
              <controlPr defaultSize="0" autoLine="0" autoPict="0">
                <anchor moveWithCells="1">
                  <from>
                    <xdr:col>8</xdr:col>
                    <xdr:colOff>38100</xdr:colOff>
                    <xdr:row>21</xdr:row>
                    <xdr:rowOff>47625</xdr:rowOff>
                  </from>
                  <to>
                    <xdr:col>8</xdr:col>
                    <xdr:colOff>514350</xdr:colOff>
                    <xdr:row>22</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rgb="FFFFFF99"/>
  </sheetPr>
  <dimension ref="A1:BJ90"/>
  <sheetViews>
    <sheetView showGridLines="0" zoomScale="113" workbookViewId="0">
      <selection activeCell="Z4" sqref="Z4"/>
    </sheetView>
  </sheetViews>
  <sheetFormatPr defaultColWidth="9.1328125" defaultRowHeight="11.65" x14ac:dyDescent="0.35"/>
  <cols>
    <col min="1" max="1" width="7" style="590" customWidth="1"/>
    <col min="2" max="2" width="11.3984375" style="589" customWidth="1"/>
    <col min="3" max="3" width="2.3984375" style="589" customWidth="1"/>
    <col min="4" max="4" width="5.59765625" style="589" customWidth="1"/>
    <col min="5" max="5" width="11.86328125" style="589" customWidth="1"/>
    <col min="6" max="6" width="2.73046875" style="589" customWidth="1"/>
    <col min="7" max="7" width="5.265625" style="589" customWidth="1"/>
    <col min="8" max="8" width="12" style="589" customWidth="1"/>
    <col min="9" max="9" width="2.3984375" style="589" customWidth="1"/>
    <col min="10" max="10" width="4.86328125" style="589" customWidth="1"/>
    <col min="11" max="11" width="12.59765625" style="589" customWidth="1"/>
    <col min="12" max="12" width="2.265625" style="589" customWidth="1"/>
    <col min="13" max="13" width="7.59765625" style="590" customWidth="1"/>
    <col min="14" max="14" width="12.73046875" style="589" customWidth="1"/>
    <col min="15" max="15" width="2.3984375" style="589" customWidth="1"/>
    <col min="16" max="16" width="8" style="589" customWidth="1"/>
    <col min="17" max="17" width="11.59765625" style="589" customWidth="1"/>
    <col min="18" max="18" width="2.73046875" style="589" customWidth="1"/>
    <col min="19" max="19" width="4.73046875" style="589" customWidth="1"/>
    <col min="20" max="20" width="11" style="589" customWidth="1"/>
    <col min="21" max="21" width="3.1328125" style="589" customWidth="1"/>
    <col min="22" max="22" width="4.73046875" style="589" customWidth="1"/>
    <col min="23" max="23" width="11.86328125" style="589" customWidth="1"/>
    <col min="24" max="24" width="2.86328125" style="589" customWidth="1"/>
    <col min="25" max="25" width="5.265625" style="589" customWidth="1"/>
    <col min="26" max="26" width="12.86328125" style="589" customWidth="1"/>
    <col min="27" max="27" width="3.3984375" style="589" customWidth="1"/>
    <col min="28" max="28" width="4.265625" style="148" customWidth="1"/>
    <col min="29" max="29" width="11" style="148" customWidth="1"/>
    <col min="30" max="30" width="2.73046875" style="148" customWidth="1"/>
    <col min="31" max="31" width="4.1328125" style="148" customWidth="1"/>
    <col min="32" max="32" width="12" style="148" customWidth="1"/>
    <col min="33" max="33" width="2.73046875" style="148" customWidth="1"/>
    <col min="34" max="34" width="4.73046875" style="148" customWidth="1"/>
    <col min="35" max="35" width="11.86328125" style="148" customWidth="1"/>
    <col min="36" max="36" width="2.73046875" style="148" customWidth="1"/>
    <col min="37" max="37" width="4.265625" style="148" customWidth="1"/>
    <col min="38" max="38" width="13.59765625" style="148" customWidth="1"/>
    <col min="39" max="39" width="1.73046875" style="148" customWidth="1"/>
    <col min="40" max="40" width="4.59765625" style="148" customWidth="1"/>
    <col min="41" max="41" width="12.265625" style="148" customWidth="1"/>
    <col min="42" max="42" width="2.73046875" style="148" customWidth="1"/>
    <col min="43" max="43" width="4.1328125" style="148" customWidth="1"/>
    <col min="44" max="44" width="11.86328125" style="148" customWidth="1"/>
    <col min="45" max="45" width="2.73046875" style="148" customWidth="1"/>
    <col min="46" max="46" width="6.265625" style="148" customWidth="1"/>
    <col min="47" max="47" width="11.265625" style="148" customWidth="1"/>
    <col min="48" max="48" width="2.1328125" style="148" customWidth="1"/>
    <col min="49" max="49" width="6.265625" style="148" customWidth="1"/>
    <col min="50" max="50" width="11" style="148" customWidth="1"/>
    <col min="51" max="51" width="2.1328125" style="148" customWidth="1"/>
    <col min="52" max="52" width="4.265625" style="148" customWidth="1"/>
    <col min="53" max="53" width="12.265625" style="148" customWidth="1"/>
    <col min="54" max="54" width="2.59765625" style="148" customWidth="1"/>
    <col min="55" max="55" width="4.3984375" style="148" customWidth="1"/>
    <col min="56" max="56" width="10.265625" style="148" customWidth="1"/>
    <col min="57" max="57" width="2.73046875" style="148" customWidth="1"/>
    <col min="58" max="58" width="5.1328125" style="148" customWidth="1"/>
    <col min="59" max="59" width="11.59765625" style="148" customWidth="1"/>
    <col min="60" max="60" width="2" style="148" customWidth="1"/>
    <col min="61" max="61" width="14.59765625" style="590" customWidth="1"/>
    <col min="62" max="62" width="13.59765625" style="148" customWidth="1"/>
    <col min="63" max="63" width="3.59765625" style="148" customWidth="1"/>
    <col min="64" max="64" width="6.73046875" style="148" customWidth="1"/>
    <col min="65" max="65" width="13.265625" style="148" customWidth="1"/>
    <col min="66" max="16384" width="9.1328125" style="148"/>
  </cols>
  <sheetData>
    <row r="1" spans="1:62" x14ac:dyDescent="0.35">
      <c r="A1" s="606"/>
      <c r="B1" s="115" t="str">
        <f>IF(Selector!F4="","","Test case "&amp;Selector!F4)</f>
        <v>Test case 203</v>
      </c>
      <c r="C1" s="115"/>
      <c r="D1" s="115"/>
      <c r="E1" s="115"/>
      <c r="F1" s="115"/>
      <c r="G1" s="606"/>
      <c r="H1" s="115"/>
      <c r="I1" s="115"/>
      <c r="J1" s="606"/>
      <c r="K1" s="115"/>
      <c r="L1" s="115"/>
      <c r="M1" s="606"/>
      <c r="N1" s="115"/>
      <c r="O1" s="115"/>
      <c r="P1" s="115"/>
      <c r="Q1" s="115"/>
      <c r="R1" s="115"/>
      <c r="S1" s="115"/>
      <c r="T1" s="115"/>
      <c r="U1" s="115"/>
      <c r="V1" s="606"/>
      <c r="W1" s="115"/>
      <c r="X1" s="115"/>
      <c r="Y1" s="115"/>
      <c r="Z1" s="115"/>
      <c r="AA1" s="115"/>
      <c r="AB1" s="115"/>
      <c r="AC1" s="115"/>
      <c r="AD1" s="115"/>
      <c r="AE1" s="115"/>
      <c r="AF1" s="115"/>
      <c r="AG1" s="115"/>
      <c r="AH1" s="115"/>
      <c r="AI1" s="115"/>
      <c r="AJ1" s="115"/>
      <c r="AK1" s="115"/>
      <c r="AL1" s="115"/>
      <c r="AM1" s="115"/>
      <c r="AN1" s="115"/>
      <c r="AO1" s="115"/>
      <c r="AP1" s="115"/>
      <c r="AQ1" s="606"/>
      <c r="AR1" s="115"/>
      <c r="AS1" s="115"/>
      <c r="AT1" s="115"/>
      <c r="AU1" s="115"/>
      <c r="AV1" s="115"/>
      <c r="AW1" s="115"/>
      <c r="AX1" s="115"/>
      <c r="AY1" s="115"/>
      <c r="AZ1" s="115"/>
      <c r="BA1" s="115"/>
      <c r="BB1" s="115"/>
      <c r="BC1" s="115"/>
      <c r="BD1" s="115"/>
      <c r="BE1" s="115"/>
      <c r="BF1" s="115"/>
      <c r="BG1" s="115"/>
      <c r="BH1" s="115"/>
      <c r="BI1" s="606"/>
      <c r="BJ1" s="115"/>
    </row>
    <row r="2" spans="1:62" x14ac:dyDescent="0.35">
      <c r="A2" s="2251"/>
      <c r="B2" s="2252"/>
      <c r="C2" s="2253" t="s">
        <v>2363</v>
      </c>
      <c r="D2" s="2254"/>
      <c r="E2" s="2255"/>
      <c r="F2" s="115"/>
      <c r="G2" s="2251"/>
      <c r="H2" s="2252"/>
      <c r="I2" s="2253" t="s">
        <v>2364</v>
      </c>
      <c r="J2" s="2254"/>
      <c r="K2" s="2255"/>
      <c r="L2" s="115"/>
      <c r="M2" s="2251"/>
      <c r="N2" s="2256" t="s">
        <v>2365</v>
      </c>
      <c r="O2" s="115"/>
      <c r="P2" s="2251"/>
      <c r="Q2" s="2256" t="s">
        <v>2802</v>
      </c>
      <c r="R2" s="115"/>
      <c r="S2" s="2251"/>
      <c r="T2" s="2256" t="s">
        <v>4010</v>
      </c>
      <c r="U2" s="115"/>
      <c r="V2" s="2251"/>
      <c r="W2" s="2252"/>
      <c r="X2" s="2265" t="s">
        <v>2366</v>
      </c>
      <c r="Y2" s="2253"/>
      <c r="Z2" s="2266"/>
      <c r="AA2" s="115"/>
      <c r="AB2" s="2251"/>
      <c r="AC2" s="2252"/>
      <c r="AD2" s="2253" t="s">
        <v>2801</v>
      </c>
      <c r="AE2" s="2252"/>
      <c r="AF2" s="2255"/>
      <c r="AG2" s="115"/>
      <c r="AH2" s="2251"/>
      <c r="AI2" s="2256" t="s">
        <v>2803</v>
      </c>
      <c r="AJ2" s="115"/>
      <c r="AK2" s="2251"/>
      <c r="AL2" s="2254"/>
      <c r="AM2" s="2253" t="s">
        <v>2804</v>
      </c>
      <c r="AN2" s="2254"/>
      <c r="AO2" s="2256"/>
      <c r="AP2" s="115"/>
      <c r="AQ2" s="2251"/>
      <c r="AR2" s="2256" t="s">
        <v>2367</v>
      </c>
      <c r="AS2" s="115"/>
      <c r="AT2" s="2251"/>
      <c r="AU2" s="2252"/>
      <c r="AV2" s="2256" t="s">
        <v>4011</v>
      </c>
      <c r="AW2" s="2251"/>
      <c r="AX2" s="2256"/>
      <c r="AY2" s="115"/>
      <c r="AZ2" s="2251"/>
      <c r="BA2" s="2256" t="s">
        <v>4012</v>
      </c>
      <c r="BB2" s="115"/>
      <c r="BC2" s="2251"/>
      <c r="BD2" s="2256" t="s">
        <v>2799</v>
      </c>
      <c r="BE2" s="115"/>
      <c r="BF2" s="2251"/>
      <c r="BG2" s="2256" t="s">
        <v>2800</v>
      </c>
      <c r="BH2" s="115"/>
      <c r="BI2" s="2251"/>
      <c r="BJ2" s="2256" t="s">
        <v>2368</v>
      </c>
    </row>
    <row r="3" spans="1:62" ht="12" thickBot="1" x14ac:dyDescent="0.4">
      <c r="A3" s="1124" t="s">
        <v>668</v>
      </c>
      <c r="B3" s="148"/>
      <c r="C3" s="148"/>
      <c r="D3" s="611" t="s">
        <v>3037</v>
      </c>
      <c r="E3" s="1125" t="str">
        <f>"Selected  = "&amp;REL_A_IND-1&amp;"/"&amp;REL_B_IND-1&amp;"/"&amp;REL_C_IND-1</f>
        <v>Selected  = 0/2/0</v>
      </c>
      <c r="F3" s="148"/>
      <c r="G3" s="1124" t="s">
        <v>3570</v>
      </c>
      <c r="H3" s="1125" t="str">
        <f>"Selected  = "&amp;AOI_A_IND-1&amp;"/"&amp;AOI_B_IND-1&amp;"/"&amp;AOI_C_IND-1</f>
        <v>Selected  = 0/0/0</v>
      </c>
      <c r="I3" s="148"/>
      <c r="J3" s="1124" t="s">
        <v>627</v>
      </c>
      <c r="K3" s="1125" t="str">
        <f>"Selected  = "&amp;MCA_IND-1</f>
        <v>Selected  = 0</v>
      </c>
      <c r="L3" s="148"/>
      <c r="M3" s="1124" t="s">
        <v>4008</v>
      </c>
      <c r="N3" s="1450" t="str">
        <f>"Selected  = "&amp;EMP_A_IND-1</f>
        <v>Selected  = 0</v>
      </c>
      <c r="O3" s="148"/>
      <c r="P3" s="1124" t="s">
        <v>2184</v>
      </c>
      <c r="Q3" s="1450" t="str">
        <f>"Selected  = "&amp;MOR_IND-1</f>
        <v>Selected  = 0</v>
      </c>
      <c r="R3" s="148"/>
      <c r="S3" s="1124" t="s">
        <v>2185</v>
      </c>
      <c r="T3" s="1450" t="str">
        <f>"Selected  = "&amp;SE_A_IND-1</f>
        <v>Selected  = 0</v>
      </c>
      <c r="U3" s="148"/>
      <c r="V3" s="1124" t="s">
        <v>3925</v>
      </c>
      <c r="W3" s="1450" t="str">
        <f>"Selected  = "&amp;SE_B_IND-1</f>
        <v>Selected  = 0</v>
      </c>
      <c r="X3" s="148"/>
      <c r="Y3" s="1124" t="s">
        <v>3925</v>
      </c>
      <c r="Z3" s="1450" t="str">
        <f>"Selected  = "&amp;SE_B_IND-1</f>
        <v>Selected  = 0</v>
      </c>
      <c r="AA3" s="148"/>
      <c r="AB3" s="1124" t="s">
        <v>3927</v>
      </c>
      <c r="AC3" s="1450" t="str">
        <f>"Selected  = "&amp;LUN_IND-1</f>
        <v>Selected  = 0</v>
      </c>
      <c r="AE3" s="1124" t="s">
        <v>3927</v>
      </c>
      <c r="AF3" s="1450" t="str">
        <f>"Selected  = "&amp;LUN_IND-1</f>
        <v>Selected  = 0</v>
      </c>
      <c r="AH3" s="1124" t="s">
        <v>2385</v>
      </c>
      <c r="AI3" s="1450" t="str">
        <f>"Selected  = "&amp;PS_A_IND-1</f>
        <v>Selected  = 0</v>
      </c>
      <c r="AK3" s="1124" t="s">
        <v>3564</v>
      </c>
      <c r="AL3" s="1450" t="str">
        <f>"Selected  = "&amp;PS_B_IND-1</f>
        <v>Selected  = 0</v>
      </c>
      <c r="AM3" s="1450"/>
      <c r="AN3" s="1124" t="s">
        <v>3564</v>
      </c>
      <c r="AO3" s="1450" t="str">
        <f>"Selected  = "&amp;PS_B_IND-1</f>
        <v>Selected  = 0</v>
      </c>
      <c r="AQ3" s="1124" t="s">
        <v>3566</v>
      </c>
      <c r="AR3" s="1450" t="str">
        <f>"Selected  = "&amp;PRO_IND-1</f>
        <v>Selected  = 9</v>
      </c>
      <c r="AT3" s="1124" t="s">
        <v>3567</v>
      </c>
      <c r="AU3" s="1450" t="str">
        <f>"Selected  = "&amp;FOR_IND-1</f>
        <v>Selected  = 0</v>
      </c>
      <c r="AW3" s="1124" t="s">
        <v>3567</v>
      </c>
      <c r="AX3" s="1450" t="str">
        <f>"Selected  = "&amp;FOR_IND-1</f>
        <v>Selected  = 0</v>
      </c>
      <c r="AZ3" s="1124" t="s">
        <v>3568</v>
      </c>
      <c r="BA3" s="1450" t="str">
        <f>"Selected  = "&amp;TRU_IND-1</f>
        <v>Selected  = 0</v>
      </c>
      <c r="BC3" s="1124" t="s">
        <v>2951</v>
      </c>
      <c r="BD3" s="1450" t="str">
        <f>"Selected  = "&amp;CGT_IND-1</f>
        <v>Selected  = 0</v>
      </c>
      <c r="BF3" s="1124" t="s">
        <v>3569</v>
      </c>
      <c r="BG3" s="1450" t="str">
        <f>"Selected  = "&amp;NRD_IND-1</f>
        <v>Selected  = 6</v>
      </c>
      <c r="BH3" s="115"/>
      <c r="BI3" s="606" t="s">
        <v>579</v>
      </c>
      <c r="BJ3" s="619" t="str">
        <f>"Selected  = "&amp;CAL_IND-1</f>
        <v>Selected  = 0</v>
      </c>
    </row>
    <row r="4" spans="1:62" ht="12" thickBot="1" x14ac:dyDescent="0.4">
      <c r="A4" s="2247" t="s">
        <v>990</v>
      </c>
      <c r="B4" s="2257" t="str">
        <f>Selector!A32</f>
        <v>not present</v>
      </c>
      <c r="C4" s="148"/>
      <c r="D4" s="607" t="s">
        <v>990</v>
      </c>
      <c r="E4" s="2273" t="str">
        <f>IF(C0!B38&lt;&gt;"",C0!B38,"")</f>
        <v/>
      </c>
      <c r="F4" s="148"/>
      <c r="G4" s="607" t="s">
        <v>990</v>
      </c>
      <c r="H4" s="2249" t="str">
        <f>IF('C1'!B4&lt;&gt;"",'C1'!B4,"")</f>
        <v/>
      </c>
      <c r="I4" s="148"/>
      <c r="J4" s="607" t="s">
        <v>990</v>
      </c>
      <c r="K4" s="2249" t="str">
        <f>IF('C1'!B73&lt;&gt;0,'C1'!B73,"")</f>
        <v/>
      </c>
      <c r="L4" s="148"/>
      <c r="M4" s="607" t="s">
        <v>990</v>
      </c>
      <c r="N4" s="2249" t="str">
        <f>IF('C2'!B3&lt;&gt;0,'C2'!B3,"")</f>
        <v/>
      </c>
      <c r="O4" s="148"/>
      <c r="P4" s="607" t="s">
        <v>990</v>
      </c>
      <c r="Q4" s="2249" t="str">
        <f>IF('C2'!C26&lt;&gt;0,'C2'!C26,"")</f>
        <v/>
      </c>
      <c r="R4" s="148"/>
      <c r="S4" s="607" t="s">
        <v>990</v>
      </c>
      <c r="T4" s="2249" t="str">
        <f>IF('C3'!B3&lt;&gt;0,'C3'!B3,"")</f>
        <v/>
      </c>
      <c r="U4" s="148"/>
      <c r="V4" s="607" t="s">
        <v>990</v>
      </c>
      <c r="W4" s="2249" t="str">
        <f>IF('C3'!B44&lt;&gt;0,'C3'!B44,"")</f>
        <v/>
      </c>
      <c r="X4" s="148"/>
      <c r="Y4" s="2267" t="s">
        <v>2982</v>
      </c>
      <c r="Z4" s="2268"/>
      <c r="AA4" s="148"/>
      <c r="AB4" s="607" t="s">
        <v>990</v>
      </c>
      <c r="AC4" s="2249" t="str">
        <f>IF('C3'!B150&lt;&gt;0,'C3'!B150,"")</f>
        <v/>
      </c>
      <c r="AE4" s="607" t="s">
        <v>3057</v>
      </c>
      <c r="AF4" s="2249" t="str">
        <f>IF('C3'!B200&lt;&gt;0,'C3'!B200,"")</f>
        <v/>
      </c>
      <c r="AH4" s="607" t="s">
        <v>990</v>
      </c>
      <c r="AI4" s="2269" t="str">
        <f>IF('C4'!B3&lt;&gt;0,'C4'!B3,"")</f>
        <v/>
      </c>
      <c r="AK4" s="607" t="s">
        <v>990</v>
      </c>
      <c r="AL4" s="2270" t="str">
        <f>IF('C4'!B37&lt;&gt;0,'C4'!B37,"")</f>
        <v/>
      </c>
      <c r="AM4" s="631"/>
      <c r="AN4" s="607" t="s">
        <v>3060</v>
      </c>
      <c r="AO4" s="2273" t="str">
        <f>IF('C4'!B90&lt;&gt;0,'C4'!B90,"")</f>
        <v/>
      </c>
      <c r="AQ4" s="607" t="s">
        <v>990</v>
      </c>
      <c r="AR4" s="2250">
        <f>IF('C5'!B2&lt;&gt;0,'C5'!B2,"")</f>
        <v>2</v>
      </c>
      <c r="AT4" s="2271">
        <v>1</v>
      </c>
      <c r="AU4" s="2249" t="str">
        <f>IF('C6'!B2&lt;&gt;0,'C6'!B2,"")</f>
        <v/>
      </c>
      <c r="AW4" s="2271">
        <v>14</v>
      </c>
      <c r="AX4" s="2249" t="str">
        <f>IF('C6'!B75&lt;&gt;0,'C6'!B75,"")</f>
        <v/>
      </c>
      <c r="AZ4" s="607" t="s">
        <v>990</v>
      </c>
      <c r="BA4" s="2249" t="str">
        <f>IF('C7'!B2&lt;&gt;0,'C7'!B2,"")</f>
        <v/>
      </c>
      <c r="BC4" s="607" t="s">
        <v>990</v>
      </c>
      <c r="BD4" s="2249" t="str">
        <f>IF('C8C9C10'!B3&lt;&gt;0,'C8C9C10'!B3,"")</f>
        <v/>
      </c>
      <c r="BF4" s="607" t="s">
        <v>990</v>
      </c>
      <c r="BG4" s="2269" t="str">
        <f>IF('C8C9C10'!B59&lt;&gt;"",'C8C9C10'!B59,"")</f>
        <v>Y</v>
      </c>
      <c r="BI4" s="607" t="s">
        <v>990</v>
      </c>
      <c r="BJ4" s="2249">
        <f>IF(box_18_3&lt;0,"",box_18_3)</f>
        <v>0</v>
      </c>
    </row>
    <row r="5" spans="1:62" x14ac:dyDescent="0.35">
      <c r="A5" s="2247" t="s">
        <v>2371</v>
      </c>
      <c r="B5" s="2257"/>
      <c r="C5" s="148"/>
      <c r="D5" s="2248" t="s">
        <v>2371</v>
      </c>
      <c r="E5" s="2273" t="str">
        <f>IF(C0!B39&lt;&gt;"",C0!B39,"")</f>
        <v/>
      </c>
      <c r="F5" s="148"/>
      <c r="G5" s="2248" t="s">
        <v>2371</v>
      </c>
      <c r="H5" s="2249" t="str">
        <f>IF('C1'!B5&lt;&gt;"",'C1'!B5,"")</f>
        <v/>
      </c>
      <c r="I5" s="148"/>
      <c r="J5" s="2248" t="s">
        <v>2371</v>
      </c>
      <c r="K5" s="2249" t="str">
        <f>IF('C1'!B74&lt;&gt;0,'C1'!B74,"")</f>
        <v/>
      </c>
      <c r="L5" s="148"/>
      <c r="M5" s="2248" t="s">
        <v>2371</v>
      </c>
      <c r="N5" s="2249" t="str">
        <f>IF('C2'!B4&lt;&gt;0,'C2'!B4,"")</f>
        <v/>
      </c>
      <c r="O5" s="148"/>
      <c r="P5" s="2248" t="s">
        <v>2371</v>
      </c>
      <c r="Q5" s="2249" t="str">
        <f>IF('C2'!C27&lt;&gt;0,'C2'!C27,"")</f>
        <v/>
      </c>
      <c r="R5" s="148"/>
      <c r="S5" s="2248" t="s">
        <v>2371</v>
      </c>
      <c r="T5" s="2249" t="str">
        <f>IF('C3'!B4&lt;&gt;0,'C3'!B4,"")</f>
        <v/>
      </c>
      <c r="U5" s="148"/>
      <c r="V5" s="2248" t="s">
        <v>2371</v>
      </c>
      <c r="W5" s="2249" t="str">
        <f>IF('C3'!B45&lt;&gt;0,'C3'!B45,"")</f>
        <v/>
      </c>
      <c r="X5" s="148"/>
      <c r="Y5" s="2267" t="s">
        <v>2985</v>
      </c>
      <c r="Z5" s="2268"/>
      <c r="AA5" s="148"/>
      <c r="AB5" s="2248" t="s">
        <v>2371</v>
      </c>
      <c r="AC5" s="2249" t="str">
        <f>IF('C3'!B151&lt;&gt;0,'C3'!B151,"")</f>
        <v/>
      </c>
      <c r="AE5" s="2248" t="s">
        <v>3060</v>
      </c>
      <c r="AF5" s="2249" t="str">
        <f>IF('C3'!B201&lt;&gt;0,'C3'!B201,"")</f>
        <v/>
      </c>
      <c r="AH5" s="2248" t="s">
        <v>2371</v>
      </c>
      <c r="AI5" s="2269" t="str">
        <f>IF('C4'!B4&lt;&gt;0,'C4'!B4,"")</f>
        <v/>
      </c>
      <c r="AK5" s="2248" t="s">
        <v>2371</v>
      </c>
      <c r="AL5" s="2270" t="str">
        <f>IF('C4'!B38&lt;&gt;0,'C4'!B38,"")</f>
        <v/>
      </c>
      <c r="AM5" s="631"/>
      <c r="AN5" s="2248" t="s">
        <v>2982</v>
      </c>
      <c r="AO5" s="2273" t="str">
        <f>IF('C4'!B91&lt;&gt;0,'C4'!B91,"")</f>
        <v/>
      </c>
      <c r="AQ5" s="2248" t="s">
        <v>2371</v>
      </c>
      <c r="AR5" s="2269" t="str">
        <f>IF('C5'!B3&lt;&gt;"",'C5'!B3,"")</f>
        <v/>
      </c>
      <c r="AT5" s="2272">
        <v>2</v>
      </c>
      <c r="AU5" s="2249" t="str">
        <f>IF('C6'!B3&lt;&gt;0,'C6'!B3,"")</f>
        <v/>
      </c>
      <c r="AW5" s="3037">
        <v>14.1</v>
      </c>
      <c r="AX5" s="3038" t="str">
        <f>IF('C6'!B76&lt;&gt;0,'C6'!B76,"")</f>
        <v/>
      </c>
      <c r="AZ5" s="2248" t="s">
        <v>2371</v>
      </c>
      <c r="BA5" s="2249" t="str">
        <f>IF('C7'!B3&lt;&gt;0,'C7'!B3,"")</f>
        <v/>
      </c>
      <c r="BC5" s="2248" t="s">
        <v>2371</v>
      </c>
      <c r="BD5" s="2249" t="str">
        <f>IF('C8C9C10'!B4&lt;&gt;0,'C8C9C10'!B4,"")</f>
        <v/>
      </c>
      <c r="BF5" s="2248" t="s">
        <v>2371</v>
      </c>
      <c r="BG5" s="2269" t="str">
        <f>IF('C8C9C10'!B60&lt;&gt;"",'C8C9C10'!B60,"")</f>
        <v>N</v>
      </c>
      <c r="BI5" s="2248" t="s">
        <v>2371</v>
      </c>
      <c r="BJ5" s="2249" t="str">
        <f>IF(box_18_3&lt;0,-1*box_18_3,"")</f>
        <v/>
      </c>
    </row>
    <row r="6" spans="1:62" ht="12" thickBot="1" x14ac:dyDescent="0.4">
      <c r="A6" s="2247" t="s">
        <v>2374</v>
      </c>
      <c r="B6" s="2258"/>
      <c r="C6" s="148"/>
      <c r="D6" s="2248" t="s">
        <v>2374</v>
      </c>
      <c r="E6" s="2273" t="str">
        <f>IF(C0!B40&lt;&gt;"",C0!B40,"")</f>
        <v/>
      </c>
      <c r="F6" s="148"/>
      <c r="G6" s="610" t="s">
        <v>2374</v>
      </c>
      <c r="H6" s="2249" t="str">
        <f>IF('C1'!B6&lt;&gt;"",'C1'!B6,"")</f>
        <v/>
      </c>
      <c r="I6" s="148"/>
      <c r="J6" s="2248" t="s">
        <v>2374</v>
      </c>
      <c r="K6" s="2249" t="str">
        <f>IF('C1'!B75&lt;&gt;0,'C1'!B75,"")</f>
        <v/>
      </c>
      <c r="L6" s="148"/>
      <c r="M6" s="2248" t="s">
        <v>2374</v>
      </c>
      <c r="N6" s="2249" t="str">
        <f>IF('C2'!B5&lt;&gt;0,'C2'!B5,"")</f>
        <v/>
      </c>
      <c r="O6" s="148"/>
      <c r="P6" s="2248" t="s">
        <v>2374</v>
      </c>
      <c r="Q6" s="2249" t="str">
        <f>IF('C2'!C28&lt;&gt;0,'C2'!C28,"")</f>
        <v/>
      </c>
      <c r="R6" s="148"/>
      <c r="S6" s="2248" t="s">
        <v>2374</v>
      </c>
      <c r="T6" s="2249" t="str">
        <f>IF('C3'!B5&lt;&gt;0,'C3'!B5,"")</f>
        <v/>
      </c>
      <c r="U6" s="148"/>
      <c r="V6" s="2248" t="s">
        <v>2374</v>
      </c>
      <c r="W6" s="2249" t="str">
        <f>IF('C3'!B46&lt;&gt;0,'C3'!B46,"")</f>
        <v/>
      </c>
      <c r="X6" s="148"/>
      <c r="Y6" s="2248" t="s">
        <v>2988</v>
      </c>
      <c r="Z6" s="2249" t="str">
        <f>IF('C3'!B99&lt;&gt;0,'C3'!B99,"")</f>
        <v/>
      </c>
      <c r="AA6" s="148"/>
      <c r="AB6" s="2248" t="s">
        <v>2374</v>
      </c>
      <c r="AC6" s="2249" t="str">
        <f>IF('C3'!B152&lt;&gt;0,'C3'!B152,"")</f>
        <v/>
      </c>
      <c r="AE6" s="2248" t="s">
        <v>2982</v>
      </c>
      <c r="AF6" s="2249" t="str">
        <f>IF('C3'!B202&lt;&gt;0,'C3'!B202,"")</f>
        <v/>
      </c>
      <c r="AH6" s="2248" t="s">
        <v>2374</v>
      </c>
      <c r="AI6" s="2273" t="str">
        <f>IF('C4'!B5&lt;&gt;0,'C4'!B5,"")</f>
        <v/>
      </c>
      <c r="AK6" s="2248" t="s">
        <v>2374</v>
      </c>
      <c r="AL6" s="2283" t="str">
        <f>IF('C4'!B39&lt;&gt;0,'C4'!B39,"")</f>
        <v/>
      </c>
      <c r="AM6" s="632"/>
      <c r="AN6" s="2248" t="s">
        <v>2985</v>
      </c>
      <c r="AO6" s="2273" t="str">
        <f>IF('C4'!B92&lt;&gt;0,'C4'!B92,"")</f>
        <v/>
      </c>
      <c r="AQ6" s="2248" t="s">
        <v>2374</v>
      </c>
      <c r="AR6" s="2269" t="str">
        <f>IF('C5'!B4&lt;&gt;"",'C5'!B4,"")</f>
        <v/>
      </c>
      <c r="AT6" s="2272" t="s">
        <v>4400</v>
      </c>
      <c r="AU6" s="2249" t="str">
        <f>IF('C6'!B4&lt;&gt;0,'C6'!B4,"")</f>
        <v/>
      </c>
      <c r="AW6" s="3037">
        <v>14.2</v>
      </c>
      <c r="AX6" s="3038" t="str">
        <f>IF('C6'!B77&lt;&gt;"",'C6'!B77,"")</f>
        <v/>
      </c>
      <c r="AZ6" s="2248" t="s">
        <v>2374</v>
      </c>
      <c r="BA6" s="2249" t="str">
        <f>IF('C7'!B4&lt;&gt;0,'C7'!B4,"")</f>
        <v/>
      </c>
      <c r="BC6" s="2248" t="s">
        <v>2374</v>
      </c>
      <c r="BD6" s="2250" t="str">
        <f>IF('C8C9C10'!B5&lt;&gt;0,'C8C9C10'!B5,"")</f>
        <v/>
      </c>
      <c r="BF6" s="2248" t="s">
        <v>2374</v>
      </c>
      <c r="BG6" s="2269" t="str">
        <f>IF('C8C9C10'!B61&lt;&gt;"",'C8C9C10'!B61,"")</f>
        <v>N</v>
      </c>
      <c r="BI6" s="2248" t="s">
        <v>2374</v>
      </c>
      <c r="BJ6" s="2273" t="str">
        <f>IF(C0!B60="Y",'Tax due (c12)'!G28,"")</f>
        <v/>
      </c>
    </row>
    <row r="7" spans="1:62" ht="12" thickBot="1" x14ac:dyDescent="0.4">
      <c r="A7" s="2247" t="s">
        <v>2377</v>
      </c>
      <c r="B7" s="2258"/>
      <c r="C7" s="148"/>
      <c r="D7" s="610" t="s">
        <v>2377</v>
      </c>
      <c r="E7" s="2273" t="str">
        <f>IF(C0!B41&lt;&gt;"",C0!B41,"")</f>
        <v/>
      </c>
      <c r="F7" s="148"/>
      <c r="G7" s="607" t="s">
        <v>2377</v>
      </c>
      <c r="H7" s="2249" t="str">
        <f>IF('C1'!B10&lt;&gt;"",'C1'!B10,"")</f>
        <v/>
      </c>
      <c r="I7" s="148"/>
      <c r="J7" s="2248" t="s">
        <v>2377</v>
      </c>
      <c r="K7" s="2249" t="str">
        <f>IF('C1'!B76&lt;&gt;0,'C1'!B76,"")</f>
        <v/>
      </c>
      <c r="L7" s="148"/>
      <c r="M7" s="2248" t="s">
        <v>2377</v>
      </c>
      <c r="N7" s="2249" t="str">
        <f>IF('C2'!B6&lt;&gt;0,'C2'!B6,"")</f>
        <v/>
      </c>
      <c r="O7" s="148"/>
      <c r="P7" s="2248" t="s">
        <v>2377</v>
      </c>
      <c r="Q7" s="2249" t="str">
        <f>IF('C2'!C29&lt;&gt;0,'C2'!C29,"")</f>
        <v/>
      </c>
      <c r="R7" s="148"/>
      <c r="S7" s="2248" t="s">
        <v>2377</v>
      </c>
      <c r="T7" s="2249" t="str">
        <f>IF('C3'!B6&lt;&gt;0,'C3'!B6,"")</f>
        <v/>
      </c>
      <c r="U7" s="148"/>
      <c r="V7" s="2248" t="s">
        <v>2377</v>
      </c>
      <c r="W7" s="2249" t="str">
        <f>IF('C3'!B47&lt;&gt;0,'C3'!B47,"")</f>
        <v/>
      </c>
      <c r="X7" s="148"/>
      <c r="Y7" s="2248" t="s">
        <v>2401</v>
      </c>
      <c r="Z7" s="2249" t="str">
        <f>IF('C3'!B100&lt;&gt;0,'C3'!B100,"")</f>
        <v/>
      </c>
      <c r="AA7" s="148"/>
      <c r="AB7" s="2248" t="s">
        <v>2377</v>
      </c>
      <c r="AC7" s="2249" t="str">
        <f>IF('C3'!B153&lt;&gt;0,'C3'!B153,"")</f>
        <v/>
      </c>
      <c r="AE7" s="2248" t="s">
        <v>2985</v>
      </c>
      <c r="AF7" s="2249" t="str">
        <f>IF('C3'!B203&lt;&gt;0,'C3'!B203,"")</f>
        <v/>
      </c>
      <c r="AH7" s="2248" t="s">
        <v>2377</v>
      </c>
      <c r="AI7" s="2273" t="str">
        <f>IF('C4'!B6&lt;&gt;0,'C4'!B6,"")</f>
        <v/>
      </c>
      <c r="AK7" s="2248" t="s">
        <v>2377</v>
      </c>
      <c r="AL7" s="2283" t="str">
        <f>IF('C4'!B40&lt;&gt;0,'C4'!B40,"")</f>
        <v/>
      </c>
      <c r="AM7" s="632"/>
      <c r="AN7" s="2248" t="s">
        <v>2988</v>
      </c>
      <c r="AO7" s="2273" t="str">
        <f>IF('C4'!B93&lt;&gt;0,'C4'!B93,"")</f>
        <v/>
      </c>
      <c r="AQ7" s="2248" t="s">
        <v>2377</v>
      </c>
      <c r="AR7" s="2269" t="str">
        <f>IF('C5'!B5&lt;&gt;"",'C5'!B5,"")</f>
        <v/>
      </c>
      <c r="AT7" s="2272" t="s">
        <v>4401</v>
      </c>
      <c r="AU7" s="2249" t="str">
        <f>IF('C6'!B5&lt;&gt;0,'C6'!B5,"")</f>
        <v/>
      </c>
      <c r="AW7" s="2272">
        <v>15</v>
      </c>
      <c r="AX7" s="2250" t="str">
        <f>IF('C6'!B78&lt;&gt;0,'C6'!B78,"")</f>
        <v/>
      </c>
      <c r="AZ7" s="2248" t="s">
        <v>2377</v>
      </c>
      <c r="BA7" s="2249" t="str">
        <f>IF('C7'!B5&lt;&gt;0,'C7'!B5,"")</f>
        <v/>
      </c>
      <c r="BC7" s="2248" t="s">
        <v>2377</v>
      </c>
      <c r="BD7" s="2249" t="str">
        <f>IF(CGT_IND-1&gt;0,'C8C9C10'!B6,"")</f>
        <v/>
      </c>
      <c r="BF7" s="2248" t="s">
        <v>6645</v>
      </c>
      <c r="BG7" s="2269" t="str">
        <f>IF('C8C9C10'!B62&lt;&gt;"",'C8C9C10'!B62,"")</f>
        <v>N</v>
      </c>
      <c r="BI7" s="2248" t="s">
        <v>2377</v>
      </c>
      <c r="BJ7" s="2249">
        <f>'Tax due (c12)'!G8</f>
        <v>0</v>
      </c>
    </row>
    <row r="8" spans="1:62" ht="12" thickBot="1" x14ac:dyDescent="0.4">
      <c r="A8" s="2691" t="s">
        <v>6368</v>
      </c>
      <c r="B8" s="2258">
        <f>IF(C0!B8&lt;&gt;"",C0!B8,"")</f>
        <v>1</v>
      </c>
      <c r="C8" s="148"/>
      <c r="D8" s="607" t="s">
        <v>2380</v>
      </c>
      <c r="E8" s="2273">
        <f>IF(C0!B44&lt;&gt;"",C0!B44,"")</f>
        <v>3450</v>
      </c>
      <c r="F8" s="148"/>
      <c r="G8" s="2248" t="s">
        <v>2380</v>
      </c>
      <c r="H8" s="2250" t="str">
        <f>IF('C1'!B11&lt;&gt;"",'C1'!B11,"")</f>
        <v/>
      </c>
      <c r="I8" s="148"/>
      <c r="J8" s="2248" t="s">
        <v>2380</v>
      </c>
      <c r="K8" s="2249" t="str">
        <f>IF('C1'!B77&lt;&gt;0,'C1'!B77,"")</f>
        <v/>
      </c>
      <c r="L8" s="148"/>
      <c r="M8" s="2248" t="s">
        <v>2380</v>
      </c>
      <c r="N8" s="2249" t="str">
        <f>IF('C2'!B7&lt;&gt;0,'C2'!B7,"")</f>
        <v/>
      </c>
      <c r="O8" s="148"/>
      <c r="P8" s="2248" t="s">
        <v>2380</v>
      </c>
      <c r="Q8" s="2249" t="str">
        <f>IF('C2'!C30&lt;&gt;0,'C2'!C30,"")</f>
        <v/>
      </c>
      <c r="R8" s="148"/>
      <c r="S8" s="2248" t="s">
        <v>2380</v>
      </c>
      <c r="T8" s="2249" t="str">
        <f>IF('C3'!B7&lt;&gt;0,'C3'!B7,"")</f>
        <v/>
      </c>
      <c r="U8" s="148"/>
      <c r="V8" s="2248" t="s">
        <v>2380</v>
      </c>
      <c r="W8" s="2249" t="str">
        <f>IF('C3'!B48&lt;&gt;0,'C3'!B48,"")</f>
        <v/>
      </c>
      <c r="X8" s="148"/>
      <c r="Y8" s="2248" t="s">
        <v>1873</v>
      </c>
      <c r="Z8" s="2249" t="str">
        <f>IF('C3'!B101&lt;&gt;0,'C3'!B101,"")</f>
        <v/>
      </c>
      <c r="AA8" s="148"/>
      <c r="AB8" s="2248" t="s">
        <v>2380</v>
      </c>
      <c r="AC8" s="2249" t="str">
        <f>IF('C3'!B154&lt;&gt;0,'C3'!B154,"")</f>
        <v/>
      </c>
      <c r="AE8" s="2248" t="s">
        <v>2988</v>
      </c>
      <c r="AF8" s="2249" t="str">
        <f>IF('C3'!B204&lt;&gt;0,'C3'!B204,"")</f>
        <v/>
      </c>
      <c r="AH8" s="2248" t="s">
        <v>2380</v>
      </c>
      <c r="AI8" s="2273" t="str">
        <f>IF('C4'!B7&lt;&gt;0,'C4'!B7,"")</f>
        <v/>
      </c>
      <c r="AK8" s="2248" t="s">
        <v>2380</v>
      </c>
      <c r="AL8" s="2270" t="str">
        <f>IF('C4'!B41&lt;&gt;0,'C4'!B41,"")</f>
        <v/>
      </c>
      <c r="AM8" s="632"/>
      <c r="AN8" s="2248" t="s">
        <v>2401</v>
      </c>
      <c r="AO8" s="2273" t="str">
        <f>IF('C4'!B94&lt;&gt;"",'C4'!B94,"")</f>
        <v/>
      </c>
      <c r="AQ8" s="2248" t="s">
        <v>2380</v>
      </c>
      <c r="AR8" s="2273" t="str">
        <f>IF('C5'!B6&lt;&gt;0,'C5'!B6,"")</f>
        <v/>
      </c>
      <c r="AT8" s="2272" t="s">
        <v>4402</v>
      </c>
      <c r="AU8" s="2249" t="str">
        <f>IF('C6'!B6&lt;&gt;0,'C6'!B6,"")</f>
        <v/>
      </c>
      <c r="AW8" s="2272">
        <v>16</v>
      </c>
      <c r="AX8" s="2249" t="str">
        <f>IF('C6'!B79&lt;&gt;0,'C6'!B79,"")</f>
        <v/>
      </c>
      <c r="AZ8" s="2248" t="s">
        <v>2380</v>
      </c>
      <c r="BA8" s="2249" t="str">
        <f>IF('C7'!B6&lt;&gt;0,'C7'!B6,"")</f>
        <v/>
      </c>
      <c r="BC8" s="2248" t="s">
        <v>2380</v>
      </c>
      <c r="BD8" s="2249" t="str">
        <f>IF('C8C9C10'!B7&lt;&gt;0,'C8C9C10'!B7,"")</f>
        <v/>
      </c>
      <c r="BF8" s="2248" t="s">
        <v>2377</v>
      </c>
      <c r="BG8" s="2269" t="str">
        <f>IF('C8C9C10'!B63&lt;&gt;"",'C8C9C10'!B63,"")</f>
        <v>Y</v>
      </c>
      <c r="BI8" s="2248" t="s">
        <v>4929</v>
      </c>
      <c r="BJ8" s="2249">
        <f>'Tax due (c12)'!G16</f>
        <v>0</v>
      </c>
    </row>
    <row r="9" spans="1:62" x14ac:dyDescent="0.35">
      <c r="C9" s="148"/>
      <c r="D9" s="2248" t="s">
        <v>2383</v>
      </c>
      <c r="E9" s="2273">
        <f>IF(C0!B45&lt;&gt;"",C0!B45,"")</f>
        <v>3000</v>
      </c>
      <c r="F9" s="148"/>
      <c r="G9" s="2248" t="s">
        <v>2383</v>
      </c>
      <c r="H9" s="2249" t="str">
        <f>IF('C1'!B12&lt;&gt;"",'C1'!B12,"")</f>
        <v/>
      </c>
      <c r="I9" s="148"/>
      <c r="J9" s="2248" t="s">
        <v>2383</v>
      </c>
      <c r="K9" s="2249" t="str">
        <f>IF('C1'!B78&lt;&gt;0,'C1'!B78,"")</f>
        <v/>
      </c>
      <c r="L9" s="148"/>
      <c r="M9" s="2248" t="s">
        <v>2383</v>
      </c>
      <c r="N9" s="2249" t="str">
        <f>IF('C2'!B8&lt;&gt;0,'C2'!B8,"")</f>
        <v/>
      </c>
      <c r="O9" s="148"/>
      <c r="P9" s="2248" t="s">
        <v>2383</v>
      </c>
      <c r="Q9" s="2249" t="str">
        <f>IF('C2'!C31&lt;&gt;0,'C2'!C31,"")</f>
        <v/>
      </c>
      <c r="R9" s="148"/>
      <c r="S9" s="2248" t="s">
        <v>2383</v>
      </c>
      <c r="T9" s="2249" t="str">
        <f>IF('C3'!B8&lt;&gt;0,'C3'!B8,"")</f>
        <v/>
      </c>
      <c r="U9" s="148"/>
      <c r="V9" s="2248" t="s">
        <v>2383</v>
      </c>
      <c r="W9" s="2249" t="str">
        <f>IF('C3'!B49&lt;&gt;0,'C3'!B49,"")</f>
        <v/>
      </c>
      <c r="X9" s="148"/>
      <c r="Y9" s="2267" t="s">
        <v>1875</v>
      </c>
      <c r="Z9" s="2268"/>
      <c r="AA9" s="148"/>
      <c r="AB9" s="2248" t="s">
        <v>2383</v>
      </c>
      <c r="AC9" s="2249" t="str">
        <f>IF('C3'!B155&lt;&gt;0,'C3'!B155,"")</f>
        <v/>
      </c>
      <c r="AE9" s="2248" t="s">
        <v>2401</v>
      </c>
      <c r="AF9" s="2249" t="str">
        <f>IF('C3'!B205&lt;&gt;0,'C3'!B205,"")</f>
        <v/>
      </c>
      <c r="AH9" s="2248" t="s">
        <v>2383</v>
      </c>
      <c r="AI9" s="2273" t="str">
        <f>IF('C4'!B8&lt;&gt;0,'C4'!B8,"")</f>
        <v/>
      </c>
      <c r="AK9" s="2248" t="s">
        <v>2383</v>
      </c>
      <c r="AL9" s="2283" t="str">
        <f>IF('C4'!B42&lt;&gt;0,'C4'!B42,"")</f>
        <v/>
      </c>
      <c r="AN9" s="2248" t="s">
        <v>1873</v>
      </c>
      <c r="AO9" s="2273" t="str">
        <f>IF('C4'!B95&lt;&gt;0,'C4'!B95,"")</f>
        <v/>
      </c>
      <c r="AQ9" s="3149" t="s">
        <v>8412</v>
      </c>
      <c r="AR9" s="2748" t="str">
        <f>IF('C5'!B7&lt;&gt;0,'C5'!B7,"")</f>
        <v/>
      </c>
      <c r="AT9" s="2272" t="s">
        <v>4403</v>
      </c>
      <c r="AU9" s="2249" t="str">
        <f>IF('C6'!B7&lt;&gt;0,'C6'!B7,"")</f>
        <v/>
      </c>
      <c r="AW9" s="2272">
        <v>17</v>
      </c>
      <c r="AX9" s="2249" t="str">
        <f>IF('C6'!B80&lt;&gt;0,'C6'!B80,"")</f>
        <v/>
      </c>
      <c r="AZ9" s="2248" t="s">
        <v>2383</v>
      </c>
      <c r="BA9" s="2249" t="str">
        <f>IF('C7'!B7&lt;&gt;0,'C7'!B7,"")</f>
        <v/>
      </c>
      <c r="BC9" s="2248" t="s">
        <v>2383</v>
      </c>
      <c r="BD9" s="2249" t="str">
        <f>IF('C8C9C10'!B8&lt;&gt;0,'C8C9C10'!B8,"")</f>
        <v/>
      </c>
      <c r="BF9" s="2248" t="s">
        <v>2380</v>
      </c>
      <c r="BG9" s="2269" t="str">
        <f>IF('C8C9C10'!B64&lt;&gt;"",'C8C9C10'!B64,"")</f>
        <v>N</v>
      </c>
      <c r="BI9" s="2248" t="s">
        <v>2380</v>
      </c>
      <c r="BJ9" s="2249" t="str">
        <f>IF('Tax due (c12)'!G59&gt;0,'Tax due (c12)'!G59,"")</f>
        <v/>
      </c>
    </row>
    <row r="10" spans="1:62" ht="12" thickBot="1" x14ac:dyDescent="0.4">
      <c r="A10" s="609" t="s">
        <v>3033</v>
      </c>
      <c r="B10" s="1125" t="str">
        <f>"Selected  = "&amp;INC_A_IND-1&amp;"/"&amp;INC_B_IND-1&amp;"/"&amp;INC_C_IND-1</f>
        <v>Selected  = 2/11/0</v>
      </c>
      <c r="C10" s="148"/>
      <c r="D10" s="2248" t="s">
        <v>4221</v>
      </c>
      <c r="E10" s="2273" t="str">
        <f>IF(C0!B46&lt;&gt;"",C0!B46,"")</f>
        <v/>
      </c>
      <c r="F10" s="148"/>
      <c r="G10" s="2248" t="s">
        <v>4221</v>
      </c>
      <c r="H10" s="2250" t="str">
        <f>IF('C1'!B13&lt;&gt;"",'C1'!B13,"")</f>
        <v/>
      </c>
      <c r="I10" s="148"/>
      <c r="J10" s="2248" t="s">
        <v>4221</v>
      </c>
      <c r="K10" s="2249" t="str">
        <f>IF('C1'!B79&lt;&gt;0,'C1'!B79,"")</f>
        <v/>
      </c>
      <c r="L10" s="148"/>
      <c r="M10" s="2248" t="s">
        <v>1791</v>
      </c>
      <c r="N10" s="2249" t="str">
        <f>IF('C2'!B9&lt;&gt;0,'C2'!B9,"")</f>
        <v/>
      </c>
      <c r="O10" s="148"/>
      <c r="P10" s="2248" t="s">
        <v>4221</v>
      </c>
      <c r="Q10" s="2249" t="str">
        <f>IF('C2'!C32&lt;&gt;0,'C2'!C32,"")</f>
        <v/>
      </c>
      <c r="R10" s="148"/>
      <c r="S10" s="2248" t="s">
        <v>4221</v>
      </c>
      <c r="T10" s="2249" t="str">
        <f>IF('C3'!B9&lt;&gt;0,'C3'!B9,"")</f>
        <v/>
      </c>
      <c r="U10" s="148"/>
      <c r="V10" s="2248" t="s">
        <v>4221</v>
      </c>
      <c r="W10" s="2249" t="str">
        <f>IF('C3'!B50&lt;&gt;0,'C3'!B50,"")</f>
        <v/>
      </c>
      <c r="X10" s="148"/>
      <c r="Y10" s="2248" t="s">
        <v>1878</v>
      </c>
      <c r="Z10" s="2249" t="str">
        <f>IF('C3'!B103&lt;&gt;0,'C3'!B103,"")</f>
        <v/>
      </c>
      <c r="AA10" s="148"/>
      <c r="AB10" s="3433" t="s">
        <v>4221</v>
      </c>
      <c r="AC10" s="3434"/>
      <c r="AE10" s="2248" t="s">
        <v>1873</v>
      </c>
      <c r="AF10" s="2249" t="str">
        <f>IF('C3'!B206&lt;&gt;0,'C3'!B206,"")</f>
        <v/>
      </c>
      <c r="AH10" s="2248" t="s">
        <v>4221</v>
      </c>
      <c r="AI10" s="2273" t="str">
        <f>IF('C4'!B9&lt;&gt;0,'C4'!B9,"")</f>
        <v/>
      </c>
      <c r="AK10" s="2248" t="s">
        <v>4221</v>
      </c>
      <c r="AL10" s="2283" t="str">
        <f>IF('C4'!B43&lt;&gt;0,'C4'!B43,"")</f>
        <v/>
      </c>
      <c r="AN10" s="2248" t="s">
        <v>1875</v>
      </c>
      <c r="AO10" s="2273" t="str">
        <f>IF('C4'!B96&lt;&gt;"",'C4'!B96,"")</f>
        <v/>
      </c>
      <c r="AQ10" s="3149" t="s">
        <v>8413</v>
      </c>
      <c r="AR10" s="2748" t="str">
        <f>IF('C5'!B8&lt;&gt;"",'C5'!B8,"")</f>
        <v/>
      </c>
      <c r="AT10" s="2272" t="s">
        <v>4404</v>
      </c>
      <c r="AU10" s="2249" t="str">
        <f>IF('C6'!B8&lt;&gt;0,'C6'!B8,"")</f>
        <v/>
      </c>
      <c r="AW10" s="2272">
        <v>18</v>
      </c>
      <c r="AX10" s="2249" t="str">
        <f>IF('C6'!B81&lt;&gt;0,'C6'!B81,"")</f>
        <v/>
      </c>
      <c r="AZ10" s="2248" t="s">
        <v>4221</v>
      </c>
      <c r="BA10" s="2249" t="str">
        <f>IF('C7'!B8&lt;&gt;0,'C7'!B8,"")</f>
        <v/>
      </c>
      <c r="BC10" s="2248" t="s">
        <v>4221</v>
      </c>
      <c r="BD10" s="2249" t="str">
        <f>IF('C8C9C10'!B9&lt;&gt;0,'C8C9C10'!B9,"")</f>
        <v/>
      </c>
      <c r="BF10" s="2248" t="s">
        <v>2383</v>
      </c>
      <c r="BG10" s="2284" t="str">
        <f>IF('C8C9C10'!B65&lt;&gt;"",'C8C9C10'!B65,"")</f>
        <v/>
      </c>
      <c r="BI10" s="2248" t="s">
        <v>2383</v>
      </c>
      <c r="BJ10" s="2249" t="str">
        <f>IF('Tax due (c12)'!G34&gt;0,'Tax due (c12)'!G34,"")</f>
        <v/>
      </c>
    </row>
    <row r="11" spans="1:62" x14ac:dyDescent="0.35">
      <c r="A11" s="607" t="s">
        <v>990</v>
      </c>
      <c r="B11" s="2249">
        <f>IF(C0!B11&lt;&gt;"",C0!B11,"")</f>
        <v>321</v>
      </c>
      <c r="C11" s="148"/>
      <c r="D11" s="2248" t="s">
        <v>4224</v>
      </c>
      <c r="E11" s="2273" t="str">
        <f>IF(C0!B47&lt;&gt;"",C0!B47,"")</f>
        <v/>
      </c>
      <c r="F11" s="148"/>
      <c r="G11" s="2248" t="s">
        <v>4224</v>
      </c>
      <c r="H11" s="2249" t="str">
        <f>IF('C1'!B14&lt;&gt;"",'C1'!B14,"")</f>
        <v/>
      </c>
      <c r="I11" s="148"/>
      <c r="J11" s="2248" t="s">
        <v>4224</v>
      </c>
      <c r="K11" s="2249" t="str">
        <f>IF('C1'!B80&lt;&gt;0,'C1'!B80,"")</f>
        <v/>
      </c>
      <c r="L11" s="148"/>
      <c r="M11" s="2248" t="s">
        <v>4221</v>
      </c>
      <c r="N11" s="2249" t="str">
        <f>IF('C2'!B10&lt;&gt;0,'C2'!B10,"")</f>
        <v/>
      </c>
      <c r="O11" s="148"/>
      <c r="P11" s="2248" t="s">
        <v>4224</v>
      </c>
      <c r="Q11" s="2249" t="str">
        <f>IF('C2'!C33&lt;&gt;0,'C2'!C33,"")</f>
        <v/>
      </c>
      <c r="R11" s="148"/>
      <c r="S11" s="2248" t="s">
        <v>4224</v>
      </c>
      <c r="T11" s="2249" t="str">
        <f>IF('C3'!B10&lt;&gt;0,'C3'!B10,"")</f>
        <v/>
      </c>
      <c r="U11" s="148"/>
      <c r="V11" s="2248" t="s">
        <v>4224</v>
      </c>
      <c r="W11" s="2249" t="str">
        <f>IF('C3'!B51&lt;&gt;0,'C3'!B51,"")</f>
        <v/>
      </c>
      <c r="X11" s="148"/>
      <c r="Y11" s="2248" t="s">
        <v>42</v>
      </c>
      <c r="Z11" s="2249" t="str">
        <f>IF('C3'!B104&lt;&gt;0,'C3'!B104,"")</f>
        <v/>
      </c>
      <c r="AA11" s="148"/>
      <c r="AB11" s="2248" t="s">
        <v>4224</v>
      </c>
      <c r="AC11" s="2249" t="str">
        <f>IF('C3'!B157&lt;&gt;0,'C3'!B157,"")</f>
        <v/>
      </c>
      <c r="AE11" s="2248" t="s">
        <v>1875</v>
      </c>
      <c r="AF11" s="2249" t="str">
        <f>IF('C3'!B207&lt;&gt;0,'C3'!B207,"")</f>
        <v/>
      </c>
      <c r="AH11" s="2248" t="s">
        <v>4224</v>
      </c>
      <c r="AI11" s="2273" t="str">
        <f>IF('C4'!B10&lt;&gt;0,'C4'!B10,"")</f>
        <v/>
      </c>
      <c r="AK11" s="2248" t="s">
        <v>4224</v>
      </c>
      <c r="AL11" s="2285" t="str">
        <f>IF('C4'!B44&lt;&gt;"",'C4'!B44,"")</f>
        <v/>
      </c>
      <c r="AN11" s="2248" t="s">
        <v>1878</v>
      </c>
      <c r="AO11" s="2273" t="str">
        <f>IF('C4'!B97&lt;&gt;0,'C4'!B97,"")</f>
        <v/>
      </c>
      <c r="AQ11" s="2248" t="s">
        <v>2383</v>
      </c>
      <c r="AR11" s="2273" t="str">
        <f>IF('C5'!B9&lt;&gt;0,'C5'!B9,"")</f>
        <v/>
      </c>
      <c r="AT11" s="2272" t="s">
        <v>4405</v>
      </c>
      <c r="AU11" s="2249" t="str">
        <f>IF('C6'!B9&lt;&gt;0,'C6'!B9,"")</f>
        <v/>
      </c>
      <c r="AW11" s="2272">
        <v>19</v>
      </c>
      <c r="AX11" s="2249" t="str">
        <f>IF('C6'!B82&lt;&gt;0,'C6'!B82,"")</f>
        <v/>
      </c>
      <c r="AZ11" s="2248" t="s">
        <v>4224</v>
      </c>
      <c r="BA11" s="2249" t="str">
        <f>IF('C7'!B9&lt;&gt;0,'C7'!B9,"")</f>
        <v/>
      </c>
      <c r="BC11" s="2248" t="s">
        <v>4224</v>
      </c>
      <c r="BD11" s="2269" t="str">
        <f>IF('C8C9C10'!B10&lt;&gt;0,'C8C9C10'!B10,"")</f>
        <v/>
      </c>
      <c r="BF11" s="2248" t="s">
        <v>4221</v>
      </c>
      <c r="BG11" s="2269" t="str">
        <f>IF('C8C9C10'!B66&lt;&gt;"",'C8C9C10'!B66,"")</f>
        <v>N</v>
      </c>
      <c r="BI11" s="2248" t="s">
        <v>4221</v>
      </c>
      <c r="BJ11" s="2249" t="str">
        <f>IF('C8C9C10'!B112&lt;&gt;0,'C8C9C10'!B112,"")</f>
        <v/>
      </c>
    </row>
    <row r="12" spans="1:62" x14ac:dyDescent="0.35">
      <c r="A12" s="2248" t="s">
        <v>2371</v>
      </c>
      <c r="B12" s="2249">
        <f>IF(C0!B12&lt;&gt;"",C0!B12,"")</f>
        <v>1625</v>
      </c>
      <c r="C12" s="148"/>
      <c r="D12" s="2248" t="s">
        <v>3056</v>
      </c>
      <c r="E12" s="2273" t="str">
        <f>IF(C0!B48&lt;&gt;"",C0!B48,"")</f>
        <v/>
      </c>
      <c r="F12" s="148"/>
      <c r="G12" s="2248" t="s">
        <v>3056</v>
      </c>
      <c r="H12" s="2250" t="str">
        <f>IF('C1'!B15&lt;&gt;"",'C1'!B15,"")</f>
        <v/>
      </c>
      <c r="I12" s="148"/>
      <c r="J12" s="2248" t="s">
        <v>3056</v>
      </c>
      <c r="K12" s="2249" t="str">
        <f>IF('C1'!B81&lt;&gt;0,'C1'!B81,"")</f>
        <v/>
      </c>
      <c r="L12" s="148"/>
      <c r="M12" s="2248" t="s">
        <v>4224</v>
      </c>
      <c r="N12" s="2249" t="str">
        <f>IF('C2'!B11&lt;&gt;0,'C2'!B11,"")</f>
        <v/>
      </c>
      <c r="O12" s="148"/>
      <c r="P12" s="2248" t="s">
        <v>3056</v>
      </c>
      <c r="Q12" s="2249" t="str">
        <f>IF('C2'!C34&lt;&gt;0,'C2'!C34,"")</f>
        <v/>
      </c>
      <c r="R12" s="148"/>
      <c r="S12" s="2248" t="s">
        <v>3056</v>
      </c>
      <c r="T12" s="2249" t="str">
        <f>IF('C3'!B11&lt;&gt;0,'C3'!B11,"")</f>
        <v/>
      </c>
      <c r="U12" s="148"/>
      <c r="V12" s="2248" t="s">
        <v>3056</v>
      </c>
      <c r="W12" s="2249" t="str">
        <f>IF('C3'!B52&lt;&gt;0,'C3'!B52,"")</f>
        <v/>
      </c>
      <c r="X12" s="148"/>
      <c r="Y12" s="2248" t="s">
        <v>44</v>
      </c>
      <c r="Z12" s="2249" t="str">
        <f>IF('C3'!B105&lt;&gt;0,'C3'!B105,"")</f>
        <v/>
      </c>
      <c r="AA12" s="148"/>
      <c r="AB12" s="2248" t="s">
        <v>3056</v>
      </c>
      <c r="AC12" s="2249" t="str">
        <f>IF('C3'!B158&lt;&gt;0,'C3'!B158,"")</f>
        <v/>
      </c>
      <c r="AE12" s="2248" t="s">
        <v>1878</v>
      </c>
      <c r="AF12" s="2249" t="str">
        <f>IF('C3'!B208&lt;&gt;0,'C3'!B208,"")</f>
        <v/>
      </c>
      <c r="AH12" s="2248" t="s">
        <v>3056</v>
      </c>
      <c r="AI12" s="2273" t="str">
        <f>IF('C4'!B11&lt;&gt;0,'C4'!B11,"")</f>
        <v/>
      </c>
      <c r="AK12" s="2248" t="s">
        <v>3056</v>
      </c>
      <c r="AL12" s="2285" t="str">
        <f>IF('C4'!B45&lt;&gt;"",'C4'!B45,"")</f>
        <v/>
      </c>
      <c r="AN12" s="2248" t="s">
        <v>42</v>
      </c>
      <c r="AO12" s="2273" t="str">
        <f>IF('C4'!B98&lt;&gt;0,'C4'!B98,"")</f>
        <v/>
      </c>
      <c r="AQ12" s="2248" t="s">
        <v>4221</v>
      </c>
      <c r="AR12" s="2273" t="str">
        <f>IF('C5'!B10&lt;&gt;0,'C5'!B10,"")</f>
        <v/>
      </c>
      <c r="AT12" s="2272" t="s">
        <v>4406</v>
      </c>
      <c r="AU12" s="2249" t="str">
        <f>IF('C6'!B10&lt;&gt;0,'C6'!B10,"")</f>
        <v/>
      </c>
      <c r="AW12" s="2272">
        <v>20</v>
      </c>
      <c r="AX12" s="2249" t="str">
        <f>IF('C6'!B83&lt;&gt;0,'C6'!B83,"")</f>
        <v/>
      </c>
      <c r="AZ12" s="2248" t="s">
        <v>3056</v>
      </c>
      <c r="BA12" s="2249" t="str">
        <f>IF('C7'!B10&lt;&gt;0,'C7'!B10,"")</f>
        <v/>
      </c>
      <c r="BC12" s="2248" t="s">
        <v>3056</v>
      </c>
      <c r="BD12" s="2249" t="str">
        <f>IF('C8C9C10'!B11&lt;&gt;0,'C8C9C10'!B11,"")</f>
        <v/>
      </c>
      <c r="BF12" s="2248" t="s">
        <v>4224</v>
      </c>
      <c r="BG12" s="2269" t="str">
        <f>IF('C8C9C10'!B67&lt;&gt;"",'C8C9C10'!B67,"")</f>
        <v>N</v>
      </c>
      <c r="BI12" s="2248" t="s">
        <v>4224</v>
      </c>
      <c r="BJ12" s="2249" t="str">
        <f>IF('C8C9C10'!B113&lt;&gt;0,'C8C9C10'!B113,"")</f>
        <v/>
      </c>
    </row>
    <row r="13" spans="1:62" ht="12" thickBot="1" x14ac:dyDescent="0.4">
      <c r="A13" s="2248" t="s">
        <v>2374</v>
      </c>
      <c r="B13" s="2249" t="str">
        <f>IF(C0!B13&lt;&gt;"",C0!B13,"")</f>
        <v/>
      </c>
      <c r="C13" s="148"/>
      <c r="D13" s="2248" t="s">
        <v>3059</v>
      </c>
      <c r="E13" s="2273" t="str">
        <f>IF(C0!B49&lt;&gt;"",C0!B49,"")</f>
        <v/>
      </c>
      <c r="F13" s="148"/>
      <c r="G13" s="2248" t="s">
        <v>3059</v>
      </c>
      <c r="H13" s="2249" t="str">
        <f>IF('C1'!B16&lt;&gt;"",'C1'!B16,"")</f>
        <v/>
      </c>
      <c r="I13" s="148"/>
      <c r="J13" s="2248" t="s">
        <v>3059</v>
      </c>
      <c r="K13" s="2249" t="str">
        <f>IF('C1'!B82&lt;&gt;0,'C1'!B82,"")</f>
        <v/>
      </c>
      <c r="L13" s="148"/>
      <c r="M13" s="2248" t="s">
        <v>3056</v>
      </c>
      <c r="N13" s="2249" t="str">
        <f>IF('C2'!B12&lt;&gt;0,'C2'!B12,"")</f>
        <v/>
      </c>
      <c r="O13" s="148"/>
      <c r="P13" s="2248" t="s">
        <v>3059</v>
      </c>
      <c r="Q13" s="2249" t="str">
        <f>IF('C2'!C35&lt;&gt;0,'C2'!C35,"")</f>
        <v/>
      </c>
      <c r="R13" s="148"/>
      <c r="S13" s="2248" t="s">
        <v>3059</v>
      </c>
      <c r="T13" s="2249" t="str">
        <f>IF('C3'!B12&lt;&gt;0,'C3'!B12,"")</f>
        <v/>
      </c>
      <c r="U13" s="148"/>
      <c r="V13" s="2248" t="s">
        <v>3059</v>
      </c>
      <c r="W13" s="2249" t="str">
        <f>IF('C3'!B53&lt;&gt;0,'C3'!B53,"")</f>
        <v/>
      </c>
      <c r="X13" s="148"/>
      <c r="Y13" s="2248" t="s">
        <v>46</v>
      </c>
      <c r="Z13" s="2249" t="str">
        <f>IF('C3'!B106&lt;&gt;0,'C3'!B106,"")</f>
        <v/>
      </c>
      <c r="AA13" s="148"/>
      <c r="AB13" s="3433" t="s">
        <v>3059</v>
      </c>
      <c r="AC13" s="3434"/>
      <c r="AE13" s="2248" t="s">
        <v>42</v>
      </c>
      <c r="AF13" s="2249" t="str">
        <f>IF('C3'!B209&lt;&gt;0,'C3'!B209,"")</f>
        <v/>
      </c>
      <c r="AH13" s="2248" t="s">
        <v>3059</v>
      </c>
      <c r="AI13" s="2273" t="str">
        <f>IF('C4'!B12&lt;&gt;0,'C4'!B12,"")</f>
        <v/>
      </c>
      <c r="AK13" s="2248" t="s">
        <v>3059</v>
      </c>
      <c r="AL13" s="2285" t="str">
        <f>IF('C4'!B46&lt;&gt;0,'C4'!B46,"")</f>
        <v/>
      </c>
      <c r="AN13" s="2248" t="s">
        <v>44</v>
      </c>
      <c r="AO13" s="2273" t="str">
        <f>IF('C4'!B99&lt;&gt;0,'C4'!B99,"")</f>
        <v/>
      </c>
      <c r="AQ13" s="2248" t="s">
        <v>4224</v>
      </c>
      <c r="AR13" s="2273" t="str">
        <f>IF('C5'!B11&lt;&gt;0,'C5'!B11,"")</f>
        <v/>
      </c>
      <c r="AT13" s="2272" t="s">
        <v>4407</v>
      </c>
      <c r="AU13" s="2249" t="str">
        <f>IF('C6'!B11&lt;&gt;0,'C6'!B11,"")</f>
        <v/>
      </c>
      <c r="AW13" s="2272">
        <v>21</v>
      </c>
      <c r="AX13" s="2249" t="str">
        <f>IF('C6'!B84&lt;&gt;0,'C6'!B84,"")</f>
        <v/>
      </c>
      <c r="AZ13" s="2248" t="s">
        <v>3059</v>
      </c>
      <c r="BA13" s="2249" t="str">
        <f>IF('C7'!B11&lt;&gt;0,'C7'!B11,"")</f>
        <v/>
      </c>
      <c r="BC13" s="2248" t="s">
        <v>3059</v>
      </c>
      <c r="BD13" s="2249" t="str">
        <f>IF('C8C9C10'!B12&lt;&gt;0,'C8C9C10'!B12,"")</f>
        <v/>
      </c>
      <c r="BF13" s="2248" t="s">
        <v>3056</v>
      </c>
      <c r="BG13" s="2269" t="str">
        <f>IF('C8C9C10'!B68&lt;&gt;"",'C8C9C10'!B68,"")</f>
        <v>N</v>
      </c>
      <c r="BI13" s="2248" t="s">
        <v>3056</v>
      </c>
      <c r="BJ13" s="2249" t="str">
        <f>IF('C8C9C10'!B114&lt;&gt;0,'C8C9C10'!B114,"")</f>
        <v/>
      </c>
    </row>
    <row r="14" spans="1:62" ht="12" thickBot="1" x14ac:dyDescent="0.4">
      <c r="A14" s="607" t="s">
        <v>2377</v>
      </c>
      <c r="B14" s="2249">
        <f>IF(C0!B14&lt;&gt;"",C0!B14,"")</f>
        <v>128</v>
      </c>
      <c r="C14" s="148"/>
      <c r="D14" s="2248" t="s">
        <v>2981</v>
      </c>
      <c r="E14" s="2273" t="str">
        <f>IF(C0!B50&lt;&gt;"",C0!B50,"")</f>
        <v/>
      </c>
      <c r="F14" s="148"/>
      <c r="G14" s="610" t="s">
        <v>2981</v>
      </c>
      <c r="H14" s="2249" t="str">
        <f>IF('C1'!B17&lt;&gt;"",'C1'!B17,"")</f>
        <v/>
      </c>
      <c r="I14" s="148"/>
      <c r="J14" s="610" t="s">
        <v>2981</v>
      </c>
      <c r="K14" s="2249" t="str">
        <f>IF('C1'!B83&lt;&gt;0,'C1'!B83,"")</f>
        <v/>
      </c>
      <c r="L14" s="148"/>
      <c r="M14" s="2248" t="s">
        <v>3059</v>
      </c>
      <c r="N14" s="2249" t="str">
        <f>IF('C2'!B13&lt;&gt;0,'C2'!B13,"")</f>
        <v/>
      </c>
      <c r="O14" s="148"/>
      <c r="P14" s="2248" t="s">
        <v>2981</v>
      </c>
      <c r="Q14" s="2249" t="str">
        <f>IF('C2'!C36&lt;&gt;0,'C2'!C36,"")</f>
        <v/>
      </c>
      <c r="R14" s="148"/>
      <c r="S14" s="3149" t="s">
        <v>8452</v>
      </c>
      <c r="T14" s="3038" t="str">
        <f>IF('C3'!B13&lt;&gt;0,'C3'!B13,"")</f>
        <v/>
      </c>
      <c r="U14" s="148"/>
      <c r="V14" s="2248" t="s">
        <v>2981</v>
      </c>
      <c r="W14" s="2249" t="str">
        <f>IF('C3'!B54&lt;&gt;0,'C3'!B54,"")</f>
        <v/>
      </c>
      <c r="X14" s="148"/>
      <c r="Y14" s="2248" t="s">
        <v>48</v>
      </c>
      <c r="Z14" s="2249" t="str">
        <f>IF('C3'!B107&lt;&gt;0,'C3'!B107,"")</f>
        <v/>
      </c>
      <c r="AA14" s="148"/>
      <c r="AB14" s="2248" t="s">
        <v>2981</v>
      </c>
      <c r="AC14" s="2249" t="str">
        <f>IF('C3'!B160&lt;&gt;0,'C3'!B160,"")</f>
        <v/>
      </c>
      <c r="AE14" s="2248" t="s">
        <v>44</v>
      </c>
      <c r="AF14" s="2249" t="str">
        <f>IF('C3'!B210&lt;&gt;0,'C3'!B210,"")</f>
        <v/>
      </c>
      <c r="AH14" s="2248" t="s">
        <v>2981</v>
      </c>
      <c r="AI14" s="2273" t="str">
        <f>IF('C4'!B13&lt;&gt;0,'C4'!B13,"")</f>
        <v/>
      </c>
      <c r="AK14" s="2248" t="s">
        <v>2981</v>
      </c>
      <c r="AL14" s="2285" t="str">
        <f>IF('C4'!B47&lt;&gt;"",'C4'!B47,"")</f>
        <v/>
      </c>
      <c r="AN14" s="2248" t="s">
        <v>46</v>
      </c>
      <c r="AO14" s="2273" t="str">
        <f>IF('C4'!B100&lt;&gt;0,'C4'!B100,"")</f>
        <v/>
      </c>
      <c r="AQ14" s="2248" t="s">
        <v>3056</v>
      </c>
      <c r="AR14" s="2273" t="str">
        <f>IF('C5'!B12&lt;&gt;0,'C5'!B12,"")</f>
        <v/>
      </c>
      <c r="AT14" s="2272" t="s">
        <v>4408</v>
      </c>
      <c r="AU14" s="2249" t="str">
        <f>IF('C6'!B12&lt;&gt;0,'C6'!B12,"")</f>
        <v/>
      </c>
      <c r="AW14" s="2272">
        <v>22</v>
      </c>
      <c r="AX14" s="2249" t="str">
        <f>IF('C6'!B85&lt;&gt;0,'C6'!B85,"")</f>
        <v/>
      </c>
      <c r="AZ14" s="2248" t="s">
        <v>2981</v>
      </c>
      <c r="BA14" s="2249" t="str">
        <f>IF('C7'!B12&lt;&gt;0,'C7'!B12,"")</f>
        <v/>
      </c>
      <c r="BC14" s="2248" t="s">
        <v>2981</v>
      </c>
      <c r="BD14" s="2249" t="str">
        <f>IF('C8C9C10'!B13&lt;&gt;0,'C8C9C10'!B13,"")</f>
        <v/>
      </c>
      <c r="BF14" s="2248" t="s">
        <v>3059</v>
      </c>
      <c r="BG14" s="2250">
        <f>IF('C8C9C10'!B69&lt;&gt;"",'C8C9C10'!B69,"")</f>
        <v>84</v>
      </c>
      <c r="BI14" s="2248" t="s">
        <v>3059</v>
      </c>
      <c r="BJ14" s="2249" t="str">
        <f>IF('C8C9C10'!B115&lt;&gt;0,'C8C9C10'!B115,"")</f>
        <v/>
      </c>
    </row>
    <row r="15" spans="1:62" ht="12" thickBot="1" x14ac:dyDescent="0.4">
      <c r="A15" s="2248" t="s">
        <v>2380</v>
      </c>
      <c r="B15" s="2249" t="str">
        <f>IF(C0!B15&lt;&gt;"",C0!B15,"")</f>
        <v/>
      </c>
      <c r="C15" s="148"/>
      <c r="D15" s="610" t="s">
        <v>2984</v>
      </c>
      <c r="E15" s="2273" t="str">
        <f>IF(C0!B51&lt;&gt;"",C0!B51,"")</f>
        <v/>
      </c>
      <c r="F15" s="148"/>
      <c r="G15" s="607" t="s">
        <v>2984</v>
      </c>
      <c r="H15" s="2249" t="str">
        <f>IF('C1'!B21&lt;&gt;"",'C1'!B21,"")</f>
        <v/>
      </c>
      <c r="I15" s="148"/>
      <c r="J15" s="148"/>
      <c r="K15" s="148"/>
      <c r="L15" s="148"/>
      <c r="M15" s="2248" t="s">
        <v>2981</v>
      </c>
      <c r="N15" s="2249" t="str">
        <f>IF('C2'!B14&lt;&gt;0,'C2'!B14,"")</f>
        <v/>
      </c>
      <c r="O15" s="148"/>
      <c r="P15" s="2248" t="s">
        <v>2984</v>
      </c>
      <c r="Q15" s="2249" t="str">
        <f>IF('C2'!C37&lt;&gt;0,'C2'!C37,"")</f>
        <v/>
      </c>
      <c r="R15" s="148"/>
      <c r="S15" s="2248" t="s">
        <v>2981</v>
      </c>
      <c r="T15" s="2249" t="str">
        <f>IF('C3'!B14&lt;&gt;0,'C3'!B14,"")</f>
        <v/>
      </c>
      <c r="U15" s="148"/>
      <c r="V15" s="2248" t="s">
        <v>2984</v>
      </c>
      <c r="W15" s="2249" t="str">
        <f>IF('C3'!B55&lt;&gt;0,'C3'!B55,"")</f>
        <v/>
      </c>
      <c r="X15" s="148"/>
      <c r="Y15" s="2248" t="s">
        <v>50</v>
      </c>
      <c r="Z15" s="2249" t="str">
        <f>IF('C3'!B108&lt;&gt;0,'C3'!B108,"")</f>
        <v/>
      </c>
      <c r="AA15" s="148"/>
      <c r="AB15" s="2248" t="s">
        <v>2984</v>
      </c>
      <c r="AC15" s="2249" t="str">
        <f>IF('C3'!B161&lt;&gt;0,'C3'!B161,"")</f>
        <v/>
      </c>
      <c r="AE15" s="2248" t="s">
        <v>46</v>
      </c>
      <c r="AF15" s="2249" t="str">
        <f>IF('C3'!B211&lt;&gt;0,'C3'!B211,"")</f>
        <v/>
      </c>
      <c r="AH15" s="2248" t="s">
        <v>2984</v>
      </c>
      <c r="AI15" s="2273" t="str">
        <f>IF('C4'!B14&lt;&gt;0,'C4'!B14,"")</f>
        <v/>
      </c>
      <c r="AK15" s="2248" t="s">
        <v>2984</v>
      </c>
      <c r="AL15" s="2285" t="str">
        <f>IF('C4'!B48&lt;&gt;0,'C4'!B48,"")</f>
        <v/>
      </c>
      <c r="AN15" s="2248" t="s">
        <v>48</v>
      </c>
      <c r="AO15" s="2273" t="str">
        <f>IF('C4'!B101&lt;&gt;0,'C4'!B101,"")</f>
        <v/>
      </c>
      <c r="AQ15" s="2248" t="s">
        <v>3059</v>
      </c>
      <c r="AR15" s="2273" t="str">
        <f>IF('C5'!B13&lt;&gt;0,'C5'!B13,"")</f>
        <v/>
      </c>
      <c r="AT15" s="2272" t="s">
        <v>4409</v>
      </c>
      <c r="AU15" s="2249" t="str">
        <f>IF('C6'!B13&lt;&gt;0,'C6'!B13,"")</f>
        <v/>
      </c>
      <c r="AW15" s="2272">
        <v>23</v>
      </c>
      <c r="AX15" s="2249" t="str">
        <f>IF('C6'!B86&lt;&gt;0,'C6'!B86,"")</f>
        <v/>
      </c>
      <c r="AZ15" s="2248" t="s">
        <v>2984</v>
      </c>
      <c r="BA15" s="2249" t="str">
        <f>IF('C7'!B13&lt;&gt;0,'C7'!B13,"")</f>
        <v/>
      </c>
      <c r="BC15" s="2248" t="s">
        <v>2984</v>
      </c>
      <c r="BD15" s="2249" t="str">
        <f>IF('C8C9C10'!B14&lt;&gt;0,'C8C9C10'!B14,"")</f>
        <v/>
      </c>
      <c r="BF15" s="2248" t="s">
        <v>2981</v>
      </c>
      <c r="BG15" s="2250">
        <f>IF('C8C9C10'!B70&lt;&gt;"",'C8C9C10'!B70,"")</f>
        <v>0</v>
      </c>
      <c r="BI15" s="2248" t="s">
        <v>2981</v>
      </c>
      <c r="BJ15" s="2249" t="str">
        <f>IF('C8C9C10'!B116&lt;&gt;0,'C8C9C10'!B116,"")</f>
        <v/>
      </c>
    </row>
    <row r="16" spans="1:62" ht="12" thickBot="1" x14ac:dyDescent="0.4">
      <c r="A16" s="2248" t="s">
        <v>2383</v>
      </c>
      <c r="B16" s="2249" t="str">
        <f>IF(C0!B16&lt;&gt;"",C0!B16,"")</f>
        <v/>
      </c>
      <c r="C16" s="148"/>
      <c r="D16" s="607" t="s">
        <v>2987</v>
      </c>
      <c r="E16" s="2269" t="str">
        <f>IF(C0!B54&lt;&gt;"",C0!B54,"")</f>
        <v/>
      </c>
      <c r="F16" s="148"/>
      <c r="G16" s="2248" t="s">
        <v>2987</v>
      </c>
      <c r="H16" s="2249" t="str">
        <f>IF('C1'!B22&lt;&gt;"",'C1'!B22,"")</f>
        <v/>
      </c>
      <c r="I16" s="148"/>
      <c r="J16" s="1124" t="s">
        <v>4114</v>
      </c>
      <c r="K16" s="1125" t="str">
        <f>"Selected  = "&amp;AIL_IND-1</f>
        <v>Selected  = 0</v>
      </c>
      <c r="L16" s="148"/>
      <c r="M16" s="2248" t="s">
        <v>2984</v>
      </c>
      <c r="N16" s="2249" t="str">
        <f>IF('C2'!B15&lt;&gt;0,'C2'!B15,"")</f>
        <v/>
      </c>
      <c r="O16" s="148"/>
      <c r="P16" s="2248" t="s">
        <v>2987</v>
      </c>
      <c r="Q16" s="2249" t="str">
        <f>IF('C2'!C38&lt;&gt;0,'C2'!C38,"")</f>
        <v/>
      </c>
      <c r="R16" s="148"/>
      <c r="S16" s="2248" t="s">
        <v>2984</v>
      </c>
      <c r="T16" s="2249" t="str">
        <f>IF('C3'!B15&lt;&gt;0,'C3'!B15,"")</f>
        <v/>
      </c>
      <c r="U16" s="148"/>
      <c r="V16" s="2248" t="s">
        <v>2987</v>
      </c>
      <c r="W16" s="2249" t="str">
        <f>IF('C3'!B56&lt;&gt;0,'C3'!B56,"")</f>
        <v/>
      </c>
      <c r="X16" s="148"/>
      <c r="Y16" s="2248" t="s">
        <v>1900</v>
      </c>
      <c r="Z16" s="2249" t="str">
        <f>IF('C3'!B109&lt;&gt;0,'C3'!B109,"")</f>
        <v/>
      </c>
      <c r="AA16" s="148"/>
      <c r="AB16" s="2248" t="s">
        <v>2987</v>
      </c>
      <c r="AC16" s="2249" t="str">
        <f>IF('C3'!B162&lt;&gt;0,'C3'!B162,"")</f>
        <v/>
      </c>
      <c r="AE16" s="2248" t="s">
        <v>48</v>
      </c>
      <c r="AF16" s="2249" t="str">
        <f>IF('C3'!B212&lt;&gt;0,'C3'!B212,"")</f>
        <v/>
      </c>
      <c r="AH16" s="2248" t="s">
        <v>2987</v>
      </c>
      <c r="AI16" s="2273" t="str">
        <f>IF('C4'!B15&lt;&gt;0,'C4'!B15,"")</f>
        <v/>
      </c>
      <c r="AK16" s="2248" t="s">
        <v>2987</v>
      </c>
      <c r="AL16" s="2285" t="str">
        <f>IF('C4'!B49&lt;&gt;0,'C4'!B49,"")</f>
        <v/>
      </c>
      <c r="AN16" s="3149" t="s">
        <v>8368</v>
      </c>
      <c r="AO16" s="2748" t="str">
        <f>IF('C4'!B102&lt;&gt;0,'C4'!B102,"")</f>
        <v/>
      </c>
      <c r="AQ16" s="2248" t="s">
        <v>2981</v>
      </c>
      <c r="AR16" s="2273" t="str">
        <f>IF('C5'!B14&lt;&gt;0,'C5'!B14,"")</f>
        <v/>
      </c>
      <c r="AT16" s="2272" t="s">
        <v>4410</v>
      </c>
      <c r="AU16" s="2249" t="str">
        <f>IF('C6'!B14&lt;&gt;0,'C6'!B14,"")</f>
        <v/>
      </c>
      <c r="AW16" s="2272">
        <v>24</v>
      </c>
      <c r="AX16" s="2249" t="str">
        <f>IF('C6'!B87&lt;&gt;0,'C6'!B87,"")</f>
        <v/>
      </c>
      <c r="AZ16" s="2248" t="s">
        <v>2987</v>
      </c>
      <c r="BA16" s="2249" t="str">
        <f>IF('C7'!B14&lt;&gt;0,'C7'!B14,"")</f>
        <v/>
      </c>
      <c r="BC16" s="2248" t="s">
        <v>2987</v>
      </c>
      <c r="BD16" s="2249" t="str">
        <f>IF('C8C9C10'!B15&lt;&gt;0,'C8C9C10'!B15,"")</f>
        <v/>
      </c>
      <c r="BF16" s="2248" t="s">
        <v>2984</v>
      </c>
      <c r="BG16" s="2250">
        <f>IF('C8C9C10'!B71&lt;&gt;"",'C8C9C10'!B71,"")</f>
        <v>0</v>
      </c>
      <c r="BI16" s="2248" t="s">
        <v>2984</v>
      </c>
      <c r="BJ16" s="2249" t="str">
        <f>IF('C8C9C10'!B117&lt;&gt;0,'C8C9C10'!B117,"")</f>
        <v/>
      </c>
    </row>
    <row r="17" spans="1:62" ht="12" thickBot="1" x14ac:dyDescent="0.4">
      <c r="A17" s="607" t="s">
        <v>4221</v>
      </c>
      <c r="B17" s="2249" t="str">
        <f>IF(C0!B17&lt;&gt;"",C0!B17,"")</f>
        <v/>
      </c>
      <c r="C17" s="148"/>
      <c r="D17" s="2248" t="s">
        <v>883</v>
      </c>
      <c r="E17" s="2269" t="str">
        <f>IF(C0!B55&lt;&gt;"",C0!B55,"")</f>
        <v/>
      </c>
      <c r="F17" s="148"/>
      <c r="G17" s="2248" t="s">
        <v>883</v>
      </c>
      <c r="H17" s="2249" t="str">
        <f>IF('C1'!B23&lt;&gt;"",'C1'!B23,"")</f>
        <v/>
      </c>
      <c r="I17" s="148"/>
      <c r="J17" s="607" t="s">
        <v>990</v>
      </c>
      <c r="K17" s="2249" t="str">
        <f>IF('C1'!B86&lt;&gt;0,'C1'!B86,"")</f>
        <v/>
      </c>
      <c r="L17" s="148"/>
      <c r="M17" s="2248" t="s">
        <v>2987</v>
      </c>
      <c r="N17" s="2249" t="str">
        <f>IF('C2'!B16&lt;&gt;0,'C2'!B16,"")</f>
        <v/>
      </c>
      <c r="O17" s="148"/>
      <c r="P17" s="2248" t="s">
        <v>883</v>
      </c>
      <c r="Q17" s="2249" t="str">
        <f>IF('C2'!C39&lt;&gt;0,'C2'!C39,"")</f>
        <v/>
      </c>
      <c r="R17" s="148"/>
      <c r="S17" s="2248" t="s">
        <v>2987</v>
      </c>
      <c r="T17" s="2249" t="str">
        <f>IF('C3'!B16&lt;&gt;0,'C3'!B16,"")</f>
        <v/>
      </c>
      <c r="U17" s="148"/>
      <c r="V17" s="2248" t="s">
        <v>883</v>
      </c>
      <c r="W17" s="2249" t="str">
        <f>IF('C3'!B57&lt;&gt;0,'C3'!B57,"")</f>
        <v/>
      </c>
      <c r="X17" s="148"/>
      <c r="Y17" s="2248" t="s">
        <v>1902</v>
      </c>
      <c r="Z17" s="2249" t="str">
        <f>IF('C3'!B110&lt;&gt;0,'C3'!B110,"")</f>
        <v/>
      </c>
      <c r="AA17" s="148"/>
      <c r="AB17" s="2248" t="s">
        <v>883</v>
      </c>
      <c r="AC17" s="2249" t="str">
        <f>IF('C3'!B163&lt;&gt;0,'C3'!B163,"")</f>
        <v/>
      </c>
      <c r="AE17" s="2248" t="s">
        <v>50</v>
      </c>
      <c r="AF17" s="2249" t="str">
        <f>IF('C3'!B213&lt;&gt;0,'C3'!B213,"")</f>
        <v/>
      </c>
      <c r="AH17" s="2248" t="s">
        <v>883</v>
      </c>
      <c r="AI17" s="2273" t="str">
        <f>IF('C4'!B16&lt;&gt;0,'C4'!B16,"")</f>
        <v/>
      </c>
      <c r="AK17" s="2248" t="s">
        <v>883</v>
      </c>
      <c r="AL17" s="2285" t="str">
        <f>IF('C4'!B50&lt;&gt;"",'C4'!B50,"")</f>
        <v/>
      </c>
      <c r="AN17" s="2747" t="s">
        <v>7691</v>
      </c>
      <c r="AO17" s="2748" t="str">
        <f>IF('C4'!B103&lt;&gt;0,'C4'!B103,"")</f>
        <v/>
      </c>
      <c r="AQ17" s="2248" t="s">
        <v>2984</v>
      </c>
      <c r="AR17" s="2273" t="str">
        <f>IF('C5'!B15&lt;&gt;0,'C5'!B15,"")</f>
        <v/>
      </c>
      <c r="AT17" s="2272" t="s">
        <v>4411</v>
      </c>
      <c r="AU17" s="2249" t="str">
        <f>IF('C6'!B15&lt;&gt;0,'C6'!B15,"")</f>
        <v/>
      </c>
      <c r="AW17" s="3037">
        <v>24.1</v>
      </c>
      <c r="AX17" s="3038" t="str">
        <f>IF('C6'!B88&lt;&gt;0,'C6'!B88,"")</f>
        <v/>
      </c>
      <c r="AZ17" s="2248" t="s">
        <v>883</v>
      </c>
      <c r="BA17" s="2249" t="str">
        <f>IF('C7'!B15&lt;&gt;0,'C7'!B15,"")</f>
        <v/>
      </c>
      <c r="BC17" s="2248" t="s">
        <v>883</v>
      </c>
      <c r="BD17" s="2250" t="str">
        <f>IF('C8C9C10'!B16&lt;&gt;0,'C8C9C10'!B16,"")</f>
        <v/>
      </c>
      <c r="BF17" s="2248" t="s">
        <v>2987</v>
      </c>
      <c r="BG17" s="2250">
        <f>IF('C8C9C10'!B72&lt;&gt;"",'C8C9C10'!B72,"")</f>
        <v>0</v>
      </c>
      <c r="BI17" s="2248" t="s">
        <v>2987</v>
      </c>
      <c r="BJ17" s="2249" t="str">
        <f>IF('C8C9C10'!B118&lt;&gt;0,'C8C9C10'!B118,"")</f>
        <v/>
      </c>
    </row>
    <row r="18" spans="1:62" ht="12" thickBot="1" x14ac:dyDescent="0.4">
      <c r="A18" s="2248" t="s">
        <v>4224</v>
      </c>
      <c r="B18" s="2249">
        <f>IF(C0!B20&lt;&gt;"",C0!B20,"")</f>
        <v>14206</v>
      </c>
      <c r="C18" s="148"/>
      <c r="D18" s="2248" t="s">
        <v>2403</v>
      </c>
      <c r="E18" s="2269" t="str">
        <f>IF(C0!B56&lt;&gt;"",C0!B56,"")</f>
        <v/>
      </c>
      <c r="F18" s="148"/>
      <c r="G18" s="610" t="s">
        <v>2403</v>
      </c>
      <c r="H18" s="2249" t="str">
        <f>IF('C1'!B24&lt;&gt;"",'C1'!B24,"")</f>
        <v/>
      </c>
      <c r="I18" s="148"/>
      <c r="J18" s="2248" t="s">
        <v>2371</v>
      </c>
      <c r="K18" s="2249" t="str">
        <f>IF('C1'!B87&lt;&gt;0,'C1'!B87,"")</f>
        <v/>
      </c>
      <c r="L18" s="148"/>
      <c r="M18" s="2248" t="s">
        <v>883</v>
      </c>
      <c r="N18" s="2249" t="str">
        <f>IF('C2'!B17&lt;&gt;0,'C2'!B17,"")</f>
        <v/>
      </c>
      <c r="O18" s="148"/>
      <c r="P18" s="2248" t="s">
        <v>2403</v>
      </c>
      <c r="Q18" s="2249" t="str">
        <f>IF('C2'!C40&lt;&gt;0,'C2'!C40,"")</f>
        <v/>
      </c>
      <c r="R18" s="148"/>
      <c r="S18" s="2248" t="s">
        <v>883</v>
      </c>
      <c r="T18" s="2249" t="str">
        <f>IF('C3'!B17&lt;&gt;0,'C3'!B17,"")</f>
        <v/>
      </c>
      <c r="U18" s="148"/>
      <c r="V18" s="2248" t="s">
        <v>2403</v>
      </c>
      <c r="W18" s="2249" t="str">
        <f>IF('C3'!B58&lt;&gt;0,'C3'!B58,"")</f>
        <v/>
      </c>
      <c r="X18" s="148"/>
      <c r="Y18" s="2248" t="s">
        <v>1904</v>
      </c>
      <c r="Z18" s="2249" t="str">
        <f>IF('C3'!B111&lt;&gt;0,'C3'!B111,"")</f>
        <v/>
      </c>
      <c r="AA18" s="148"/>
      <c r="AB18" s="2248" t="s">
        <v>2403</v>
      </c>
      <c r="AC18" s="2249" t="str">
        <f>IF('C3'!B164&lt;&gt;0,'C3'!B164,"")</f>
        <v/>
      </c>
      <c r="AE18" s="2248" t="s">
        <v>1900</v>
      </c>
      <c r="AF18" s="2249" t="str">
        <f>IF('C3'!B214&lt;&gt;0,'C3'!B214,"")</f>
        <v/>
      </c>
      <c r="AH18" s="3433" t="s">
        <v>2403</v>
      </c>
      <c r="AI18" s="3434"/>
      <c r="AK18" s="3433" t="s">
        <v>2403</v>
      </c>
      <c r="AL18" s="3435"/>
      <c r="AN18" s="2248" t="s">
        <v>50</v>
      </c>
      <c r="AO18" s="2273" t="str">
        <f>IF('C4'!B104&lt;&gt;0,'C4'!B104,"")</f>
        <v/>
      </c>
      <c r="AQ18" s="2248" t="s">
        <v>2987</v>
      </c>
      <c r="AR18" s="2273" t="str">
        <f>IF('C5'!B16&lt;&gt;0,'C5'!B16,"")</f>
        <v/>
      </c>
      <c r="AT18" s="2272">
        <v>3</v>
      </c>
      <c r="AU18" s="2249" t="str">
        <f>IF('C6'!B16&lt;&gt;0,'C6'!B16,"")</f>
        <v/>
      </c>
      <c r="AW18" s="2272" t="s">
        <v>4400</v>
      </c>
      <c r="AX18" s="2249" t="str">
        <f>IF('C6'!B89&lt;&gt;0,'C6'!B89,"")</f>
        <v/>
      </c>
      <c r="AZ18" s="2248" t="s">
        <v>2403</v>
      </c>
      <c r="BA18" s="2249" t="str">
        <f>IF('C7'!B16&lt;&gt;0,'C7'!B16,"")</f>
        <v/>
      </c>
      <c r="BC18" s="2248" t="s">
        <v>2403</v>
      </c>
      <c r="BD18" s="2249" t="str">
        <f>IF('C8C9C10'!B17&lt;&gt;0,'C8C9C10'!B17,"")</f>
        <v/>
      </c>
      <c r="BF18" s="2248" t="s">
        <v>883</v>
      </c>
      <c r="BG18" s="2250" t="str">
        <f>IF('C8C9C10'!B73&lt;&gt;"",'C8C9C10'!B73,"")</f>
        <v/>
      </c>
      <c r="BI18" s="2248" t="s">
        <v>883</v>
      </c>
      <c r="BJ18" s="2249" t="str">
        <f>IF('C8C9C10'!B119&lt;&gt;0,'C8C9C10'!B119,"")</f>
        <v/>
      </c>
    </row>
    <row r="19" spans="1:62" ht="12" thickBot="1" x14ac:dyDescent="0.4">
      <c r="A19" s="2248" t="s">
        <v>3056</v>
      </c>
      <c r="B19" s="2249" t="str">
        <f>IF(C0!B21&lt;&gt;"",C0!B21,"")</f>
        <v/>
      </c>
      <c r="C19" s="148"/>
      <c r="D19" s="610" t="s">
        <v>1874</v>
      </c>
      <c r="E19" s="2269" t="str">
        <f>IF(C0!B57&lt;&gt;"",C0!B57,"")</f>
        <v/>
      </c>
      <c r="F19" s="148"/>
      <c r="G19" s="1124"/>
      <c r="H19" s="148"/>
      <c r="I19" s="148"/>
      <c r="J19" s="2248" t="s">
        <v>2374</v>
      </c>
      <c r="K19" s="2249" t="str">
        <f>IF('C1'!B88&lt;&gt;0,'C1'!B88,"")</f>
        <v/>
      </c>
      <c r="L19" s="148"/>
      <c r="M19" s="2248" t="s">
        <v>2403</v>
      </c>
      <c r="N19" s="2249" t="str">
        <f>IF('C2'!B18&lt;&gt;0,'C2'!B18,"")</f>
        <v/>
      </c>
      <c r="O19" s="148"/>
      <c r="P19" s="2248" t="s">
        <v>1874</v>
      </c>
      <c r="Q19" s="2249" t="str">
        <f>IF('C2'!C41&lt;&gt;0,'C2'!C41,"")</f>
        <v/>
      </c>
      <c r="R19" s="148"/>
      <c r="S19" s="2248" t="s">
        <v>2403</v>
      </c>
      <c r="T19" s="2249" t="str">
        <f>IF('C3'!B18&lt;&gt;0,'C3'!B18,"")</f>
        <v/>
      </c>
      <c r="U19" s="148"/>
      <c r="V19" s="2248" t="s">
        <v>1874</v>
      </c>
      <c r="W19" s="2249" t="str">
        <f>IF('C3'!B59&lt;&gt;0,'C3'!B59,"")</f>
        <v/>
      </c>
      <c r="X19" s="148"/>
      <c r="Y19" s="2248" t="s">
        <v>1906</v>
      </c>
      <c r="Z19" s="2249" t="str">
        <f>IF('C3'!B112&lt;&gt;0,'C3'!B112,"")</f>
        <v/>
      </c>
      <c r="AA19" s="148"/>
      <c r="AB19" s="2248" t="s">
        <v>1874</v>
      </c>
      <c r="AC19" s="2249" t="str">
        <f>IF('C3'!B165&lt;&gt;0,'C3'!B165,"")</f>
        <v/>
      </c>
      <c r="AE19" s="610" t="s">
        <v>1902</v>
      </c>
      <c r="AF19" s="2249" t="str">
        <f>IF('C3'!B215&lt;&gt;0,'C3'!B215,"")</f>
        <v/>
      </c>
      <c r="AH19" s="2248" t="s">
        <v>1874</v>
      </c>
      <c r="AI19" s="2273" t="str">
        <f>IF('C4'!B18&lt;&gt;0,'C4'!B18,"")</f>
        <v/>
      </c>
      <c r="AK19" s="2248" t="s">
        <v>1874</v>
      </c>
      <c r="AL19" s="2285" t="str">
        <f>IF('C4'!B52&lt;&gt;"",'C4'!B52,"")</f>
        <v/>
      </c>
      <c r="AN19" s="2248" t="s">
        <v>1900</v>
      </c>
      <c r="AO19" s="2273" t="str">
        <f>IF('C4'!B105&lt;&gt;0,'C4'!B105,"")</f>
        <v/>
      </c>
      <c r="AQ19" s="2248" t="s">
        <v>883</v>
      </c>
      <c r="AR19" s="2273" t="str">
        <f>IF('C5'!B17&lt;&gt;0,'C5'!B17,"")</f>
        <v/>
      </c>
      <c r="AT19" s="2272">
        <v>4</v>
      </c>
      <c r="AU19" s="2249" t="str">
        <f>IF('C6'!B17&lt;&gt;0,'C6'!B17,"")</f>
        <v/>
      </c>
      <c r="AW19" s="2272" t="s">
        <v>4438</v>
      </c>
      <c r="AX19" s="2249" t="str">
        <f>IF('C6'!B90&lt;&gt;0,'C6'!B90,"")</f>
        <v/>
      </c>
      <c r="AZ19" s="2248" t="s">
        <v>1874</v>
      </c>
      <c r="BA19" s="2249" t="str">
        <f>IF('C7'!B17&lt;&gt;0,'C7'!B17,"")</f>
        <v/>
      </c>
      <c r="BC19" s="2248" t="s">
        <v>1874</v>
      </c>
      <c r="BD19" s="2249" t="str">
        <f>IF('C8C9C10'!B18&lt;&gt;0,'C8C9C10'!B18,"")</f>
        <v/>
      </c>
      <c r="BF19" s="2248" t="s">
        <v>2403</v>
      </c>
      <c r="BG19" s="2269" t="str">
        <f>IF('C8C9C10'!B74&lt;&gt;"",'C8C9C10'!B74,"")</f>
        <v>N</v>
      </c>
      <c r="BI19" s="2248" t="s">
        <v>2403</v>
      </c>
      <c r="BJ19" s="2249" t="str">
        <f>IF('C8C9C10'!B120&lt;&gt;0,'C8C9C10'!B120,"")</f>
        <v/>
      </c>
    </row>
    <row r="20" spans="1:62" ht="12" thickBot="1" x14ac:dyDescent="0.4">
      <c r="A20" s="607" t="s">
        <v>3059</v>
      </c>
      <c r="B20" s="2249" t="str">
        <f>IF(C0!B22&lt;&gt;"",C0!B22,"")</f>
        <v/>
      </c>
      <c r="C20" s="148"/>
      <c r="F20" s="148"/>
      <c r="G20" s="1124" t="s">
        <v>6</v>
      </c>
      <c r="H20" s="1125" t="str">
        <f>"Selected  = "&amp;ASE_A_IND-1&amp;"/"&amp;ASE_B_IND-1&amp;"/"&amp;ASE_C_IND-1</f>
        <v>Selected  = 0/0/0</v>
      </c>
      <c r="I20" s="148"/>
      <c r="J20" s="2248" t="s">
        <v>2377</v>
      </c>
      <c r="K20" s="2249" t="str">
        <f>IF('C1'!B89&lt;&gt;0,'C1'!B89,"")</f>
        <v/>
      </c>
      <c r="L20" s="148"/>
      <c r="M20" s="2248" t="s">
        <v>1874</v>
      </c>
      <c r="N20" s="2249" t="str">
        <f>IF('C2'!B19&lt;&gt;0,'C2'!B19,"")</f>
        <v/>
      </c>
      <c r="O20" s="148"/>
      <c r="P20" s="2248" t="s">
        <v>1877</v>
      </c>
      <c r="Q20" s="2249" t="str">
        <f>IF('C2'!C42&lt;&gt;0,'C2'!C42,"")</f>
        <v/>
      </c>
      <c r="R20" s="148"/>
      <c r="S20" s="2248" t="s">
        <v>1874</v>
      </c>
      <c r="T20" s="2249" t="str">
        <f>IF('C3'!B19&lt;&gt;0,'C3'!B19,"")</f>
        <v/>
      </c>
      <c r="U20" s="148"/>
      <c r="V20" s="3149" t="s">
        <v>8453</v>
      </c>
      <c r="W20" s="3038" t="str">
        <f>IF('C3'!B60&lt;&gt;0,'C3'!B60,"")</f>
        <v/>
      </c>
      <c r="X20" s="148"/>
      <c r="Y20" s="2248" t="s">
        <v>1908</v>
      </c>
      <c r="Z20" s="2249" t="str">
        <f>IF('C3'!B113&lt;&gt;0,'C3'!B113,"")</f>
        <v/>
      </c>
      <c r="AA20" s="148"/>
      <c r="AB20" s="2248" t="s">
        <v>1877</v>
      </c>
      <c r="AC20" s="2249" t="str">
        <f>IF('C3'!B166&lt;&gt;0,'C3'!B166,"")</f>
        <v/>
      </c>
      <c r="AH20" s="2248" t="s">
        <v>1877</v>
      </c>
      <c r="AI20" s="2273" t="str">
        <f>IF('C4'!B19&lt;&gt;0,'C4'!B19,"")</f>
        <v/>
      </c>
      <c r="AK20" s="2248" t="s">
        <v>1877</v>
      </c>
      <c r="AL20" s="2285" t="str">
        <f>IF('C4'!B53&lt;&gt;0,'C4'!B53,"")</f>
        <v/>
      </c>
      <c r="AN20" s="2248" t="s">
        <v>1902</v>
      </c>
      <c r="AO20" s="2273" t="str">
        <f>IF('C4'!B106&lt;&gt;0,'C4'!B106,"")</f>
        <v/>
      </c>
      <c r="AQ20" s="2248" t="s">
        <v>2403</v>
      </c>
      <c r="AR20" s="2273" t="str">
        <f>IF('C5'!B18&lt;&gt;0,'C5'!B18,"")</f>
        <v/>
      </c>
      <c r="AT20" s="2272" t="s">
        <v>4400</v>
      </c>
      <c r="AU20" s="2249" t="str">
        <f>IF('C6'!B18&lt;&gt;0,'C6'!B18,"")</f>
        <v/>
      </c>
      <c r="AW20" s="2272" t="s">
        <v>4439</v>
      </c>
      <c r="AX20" s="2249" t="str">
        <f>IF('C6'!B91&lt;&gt;0,'C6'!B91,"")</f>
        <v/>
      </c>
      <c r="AZ20" s="2248" t="s">
        <v>1877</v>
      </c>
      <c r="BA20" s="2249" t="str">
        <f>IF('C7'!B18&lt;&gt;0,'C7'!B18,"")</f>
        <v/>
      </c>
      <c r="BC20" s="2248" t="s">
        <v>1877</v>
      </c>
      <c r="BD20" s="2249" t="str">
        <f>IF('C8C9C10'!B19&lt;&gt;0,'C8C9C10'!B19,"")</f>
        <v/>
      </c>
      <c r="BF20" s="2248" t="s">
        <v>1874</v>
      </c>
      <c r="BG20" s="2269" t="str">
        <f>IF('C8C9C10'!B75&lt;&gt;"",'C8C9C10'!B75,"")</f>
        <v>N</v>
      </c>
      <c r="BI20" s="2248" t="s">
        <v>1874</v>
      </c>
      <c r="BJ20" s="2249" t="str">
        <f>IF('C8C9C10'!B121&lt;&gt;0,'C8C9C10'!B121,"")</f>
        <v/>
      </c>
    </row>
    <row r="21" spans="1:62" ht="12" thickBot="1" x14ac:dyDescent="0.4">
      <c r="A21" s="2248" t="s">
        <v>2981</v>
      </c>
      <c r="B21" s="2249">
        <f>IF(C0!B23&lt;&gt;"",C0!B23,"")</f>
        <v>5300</v>
      </c>
      <c r="C21" s="148"/>
      <c r="D21" s="1124" t="s">
        <v>942</v>
      </c>
      <c r="E21" s="1125"/>
      <c r="F21" s="148"/>
      <c r="G21" s="607" t="s">
        <v>990</v>
      </c>
      <c r="H21" s="2249" t="str">
        <f>IF('C1'!B28&lt;&gt;0,'C1'!B28,"")</f>
        <v/>
      </c>
      <c r="I21" s="148"/>
      <c r="J21" s="2248" t="s">
        <v>2380</v>
      </c>
      <c r="K21" s="2249" t="str">
        <f>IF('C1'!B90&lt;&gt;0,'C1'!B90,"")</f>
        <v/>
      </c>
      <c r="L21" s="148"/>
      <c r="M21" s="2248" t="s">
        <v>1877</v>
      </c>
      <c r="N21" s="2249" t="str">
        <f>IF('C2'!B20&lt;&gt;0,'C2'!B20,"")</f>
        <v/>
      </c>
      <c r="O21" s="148"/>
      <c r="P21" s="2248" t="s">
        <v>1880</v>
      </c>
      <c r="Q21" s="2249" t="str">
        <f>IF('C2'!C43&lt;&gt;0,'C2'!C43,"")</f>
        <v/>
      </c>
      <c r="R21" s="148"/>
      <c r="S21" s="2248" t="s">
        <v>1877</v>
      </c>
      <c r="T21" s="2249" t="str">
        <f>IF('C3'!B20&lt;&gt;0,'C3'!B20,"")</f>
        <v/>
      </c>
      <c r="U21" s="148"/>
      <c r="V21" s="2248" t="s">
        <v>1877</v>
      </c>
      <c r="W21" s="2249" t="str">
        <f>IF('C3'!B61&lt;&gt;0,'C3'!B61,"")</f>
        <v/>
      </c>
      <c r="X21" s="148"/>
      <c r="Y21" s="2248" t="s">
        <v>1910</v>
      </c>
      <c r="Z21" s="2249" t="str">
        <f>IF('C3'!B114&lt;&gt;0,'C3'!B114,"")</f>
        <v/>
      </c>
      <c r="AA21" s="148"/>
      <c r="AB21" s="2248" t="s">
        <v>1880</v>
      </c>
      <c r="AC21" s="2249" t="str">
        <f>IF('C3'!B167&lt;&gt;0,'C3'!B167,"")</f>
        <v/>
      </c>
      <c r="AH21" s="2248" t="s">
        <v>1880</v>
      </c>
      <c r="AI21" s="2273" t="str">
        <f>IF('C4'!B20&lt;&gt;0,'C4'!B20,"")</f>
        <v/>
      </c>
      <c r="AK21" s="2248" t="s">
        <v>1880</v>
      </c>
      <c r="AL21" s="2285" t="str">
        <f>IF('C4'!B54&lt;&gt;"",'C4'!B54,"")</f>
        <v/>
      </c>
      <c r="AN21" s="2248" t="s">
        <v>1904</v>
      </c>
      <c r="AO21" s="2273" t="str">
        <f>IF('C4'!B107&lt;&gt;0,'C4'!B107,"")</f>
        <v/>
      </c>
      <c r="AQ21" s="2248" t="s">
        <v>1874</v>
      </c>
      <c r="AR21" s="2273" t="str">
        <f>IF('C5'!B19&lt;&gt;0,'C5'!B19,"")</f>
        <v/>
      </c>
      <c r="AT21" s="2272" t="s">
        <v>4401</v>
      </c>
      <c r="AU21" s="2249" t="str">
        <f>IF('C6'!B19&lt;&gt;0,'C6'!B19,"")</f>
        <v/>
      </c>
      <c r="AW21" s="2272" t="s">
        <v>4440</v>
      </c>
      <c r="AX21" s="2249" t="str">
        <f>IF('C6'!B92&lt;&gt;0,'C6'!B92,"")</f>
        <v/>
      </c>
      <c r="AZ21" s="2248" t="s">
        <v>1880</v>
      </c>
      <c r="BA21" s="2249" t="str">
        <f>IF('C7'!B19&lt;&gt;0,'C7'!B19,"")</f>
        <v/>
      </c>
      <c r="BC21" s="2248" t="s">
        <v>1880</v>
      </c>
      <c r="BD21" s="2273" t="str">
        <f>IF('C8C9C10'!B20&lt;&gt;0,'C8C9C10'!B20,"")</f>
        <v/>
      </c>
      <c r="BF21" s="2248" t="s">
        <v>1877</v>
      </c>
      <c r="BG21" s="2269" t="str">
        <f>IF('C8C9C10'!B76&lt;&gt;"",'C8C9C10'!B76,"")</f>
        <v>IND</v>
      </c>
      <c r="BI21" s="610" t="s">
        <v>1877</v>
      </c>
      <c r="BJ21" s="2249"/>
    </row>
    <row r="22" spans="1:62" ht="12" thickBot="1" x14ac:dyDescent="0.4">
      <c r="A22" s="2248" t="s">
        <v>2984</v>
      </c>
      <c r="B22" s="2249">
        <f>IF(C0!B24&lt;&gt;"",C0!B24,"")</f>
        <v>1060</v>
      </c>
      <c r="C22" s="148"/>
      <c r="D22" s="2247" t="s">
        <v>990</v>
      </c>
      <c r="E22" s="2261">
        <f>IF(Selector!$H$4&lt;&gt;"",Selector!$H$4,"")</f>
        <v>0</v>
      </c>
      <c r="F22" s="148"/>
      <c r="G22" s="2259" t="s">
        <v>2371</v>
      </c>
      <c r="H22" s="2260"/>
      <c r="I22" s="148"/>
      <c r="J22" s="2248" t="s">
        <v>2383</v>
      </c>
      <c r="K22" s="2249" t="str">
        <f>IF('C1'!B91&lt;&gt;0,'C1'!B91,"")</f>
        <v/>
      </c>
      <c r="L22" s="148"/>
      <c r="M22" s="2248" t="s">
        <v>1880</v>
      </c>
      <c r="N22" s="2249" t="str">
        <f>IF('C2'!B21&lt;&gt;0,'C2'!B21,"")</f>
        <v/>
      </c>
      <c r="O22" s="148"/>
      <c r="P22" s="2248" t="s">
        <v>43</v>
      </c>
      <c r="Q22" s="2249" t="str">
        <f>IF('C2'!C44&lt;&gt;0,'C2'!C44,"")</f>
        <v/>
      </c>
      <c r="R22" s="148"/>
      <c r="S22" s="2248" t="s">
        <v>1880</v>
      </c>
      <c r="T22" s="2249" t="str">
        <f>IF('C3'!B21&lt;&gt;0,'C3'!B21,"")</f>
        <v/>
      </c>
      <c r="U22" s="148"/>
      <c r="V22" s="2248" t="s">
        <v>1880</v>
      </c>
      <c r="W22" s="2249" t="str">
        <f>IF('C3'!B62&lt;&gt;0,'C3'!B62,"")</f>
        <v/>
      </c>
      <c r="X22" s="148"/>
      <c r="Y22" s="2248" t="s">
        <v>1912</v>
      </c>
      <c r="Z22" s="2249" t="str">
        <f>IF('C3'!B115&lt;&gt;0,'C3'!B115,"")</f>
        <v/>
      </c>
      <c r="AA22" s="148"/>
      <c r="AB22" s="3433" t="s">
        <v>43</v>
      </c>
      <c r="AC22" s="3434"/>
      <c r="AH22" s="2248" t="s">
        <v>43</v>
      </c>
      <c r="AI22" s="2273" t="str">
        <f>IF('C4'!B21&lt;&gt;0,'C4'!B21,"")</f>
        <v/>
      </c>
      <c r="AK22" s="2248" t="s">
        <v>43</v>
      </c>
      <c r="AL22" s="2285" t="str">
        <f>IF('C4'!B55&lt;&gt;0,'C4'!B55,"")</f>
        <v/>
      </c>
      <c r="AN22" s="2248" t="s">
        <v>1906</v>
      </c>
      <c r="AO22" s="2273" t="str">
        <f>IF('C4'!B108&lt;&gt;0,'C4'!B108,"")</f>
        <v/>
      </c>
      <c r="AQ22" s="2248" t="s">
        <v>1877</v>
      </c>
      <c r="AR22" s="2273" t="str">
        <f>IF('C5'!B20&lt;&gt;0,'C5'!B20,"")</f>
        <v/>
      </c>
      <c r="AT22" s="2272" t="s">
        <v>4402</v>
      </c>
      <c r="AU22" s="2249" t="str">
        <f>IF('C6'!B20&lt;&gt;0,'C6'!B20,"")</f>
        <v/>
      </c>
      <c r="AW22" s="2272" t="s">
        <v>4404</v>
      </c>
      <c r="AX22" s="2249" t="str">
        <f>IF('C6'!B93&lt;&gt;0,'C6'!B93,"")</f>
        <v/>
      </c>
      <c r="AZ22" s="2248" t="s">
        <v>43</v>
      </c>
      <c r="BA22" s="2249" t="str">
        <f>IF('C7'!B20&lt;&gt;0,'C7'!B20,"")</f>
        <v/>
      </c>
      <c r="BC22" s="2248" t="s">
        <v>43</v>
      </c>
      <c r="BD22" s="2249" t="str">
        <f>IF('C8C9C10'!B21&lt;&gt;0,'C8C9C10'!B21,"")</f>
        <v/>
      </c>
      <c r="BF22" s="2248" t="s">
        <v>1880</v>
      </c>
      <c r="BG22" s="2269" t="str">
        <f>IF('C8C9C10'!B77&lt;&gt;"",'C8C9C10'!B77,"")</f>
        <v>IND</v>
      </c>
      <c r="BI22" s="1124"/>
    </row>
    <row r="23" spans="1:62" x14ac:dyDescent="0.35">
      <c r="A23" s="607" t="s">
        <v>2987</v>
      </c>
      <c r="B23" s="2249" t="str">
        <f>IF(C0!B25&lt;&gt;"",C0!B25,"")</f>
        <v/>
      </c>
      <c r="C23" s="148"/>
      <c r="D23" s="2247" t="s">
        <v>2371</v>
      </c>
      <c r="E23" s="2262" t="s">
        <v>1237</v>
      </c>
      <c r="F23" s="148"/>
      <c r="G23" s="607" t="s">
        <v>2374</v>
      </c>
      <c r="H23" s="2249" t="str">
        <f>IF('C1'!B32&lt;&gt;0,'C1'!B32,"")</f>
        <v/>
      </c>
      <c r="I23" s="148"/>
      <c r="J23" s="2248" t="s">
        <v>4221</v>
      </c>
      <c r="K23" s="2249" t="str">
        <f>IF('C1'!B92&lt;&gt;0,'C1'!B92,"")</f>
        <v/>
      </c>
      <c r="L23" s="148"/>
      <c r="M23" s="2248" t="s">
        <v>43</v>
      </c>
      <c r="N23" s="2249" t="str">
        <f>IF('C2'!B22&lt;&gt;0,'C2'!B22,"")</f>
        <v/>
      </c>
      <c r="O23" s="148"/>
      <c r="P23" s="2248" t="s">
        <v>45</v>
      </c>
      <c r="Q23" s="2249" t="str">
        <f>IF('C2'!C45&lt;&gt;0,'C2'!C45,"")</f>
        <v/>
      </c>
      <c r="R23" s="148"/>
      <c r="S23" s="2248" t="s">
        <v>43</v>
      </c>
      <c r="T23" s="2249" t="str">
        <f>IF('C3'!B22&lt;&gt;0,'C3'!B22,"")</f>
        <v/>
      </c>
      <c r="U23" s="148"/>
      <c r="V23" s="2248" t="s">
        <v>43</v>
      </c>
      <c r="W23" s="2249" t="str">
        <f>IF('C3'!B63&lt;&gt;0,'C3'!B63,"")</f>
        <v/>
      </c>
      <c r="X23" s="148"/>
      <c r="Y23" s="2248" t="s">
        <v>1914</v>
      </c>
      <c r="Z23" s="2249" t="str">
        <f>IF('C3'!B116&lt;&gt;0,'C3'!B116,"")</f>
        <v/>
      </c>
      <c r="AA23" s="148"/>
      <c r="AB23" s="2248" t="s">
        <v>45</v>
      </c>
      <c r="AC23" s="2249" t="str">
        <f>IF('C3'!B169&lt;&gt;0,'C3'!B169,"")</f>
        <v/>
      </c>
      <c r="AH23" s="2248" t="s">
        <v>45</v>
      </c>
      <c r="AI23" s="2273" t="str">
        <f>IF('C4'!B22&lt;&gt;0,'C4'!B22,"")</f>
        <v/>
      </c>
      <c r="AK23" s="2248" t="s">
        <v>45</v>
      </c>
      <c r="AL23" s="2285" t="str">
        <f>IF('C4'!B56&lt;&gt;"",'C4'!B56,"")</f>
        <v/>
      </c>
      <c r="AN23" s="2248" t="s">
        <v>1908</v>
      </c>
      <c r="AO23" s="2273" t="str">
        <f>IF('C4'!B109&lt;&gt;0,'C4'!B109,"")</f>
        <v/>
      </c>
      <c r="AQ23" s="2248" t="s">
        <v>1880</v>
      </c>
      <c r="AR23" s="2273" t="str">
        <f>IF('C5'!B21&lt;&gt;0,'C5'!B21,"")</f>
        <v/>
      </c>
      <c r="AT23" s="2272" t="s">
        <v>4412</v>
      </c>
      <c r="AU23" s="2249" t="str">
        <f>IF('C6'!B21&lt;&gt;0,'C6'!B21,"")</f>
        <v/>
      </c>
      <c r="AW23" s="2272" t="s">
        <v>4441</v>
      </c>
      <c r="AX23" s="2249" t="str">
        <f>IF('C6'!B94&lt;&gt;0,'C6'!B94,"")</f>
        <v/>
      </c>
      <c r="AZ23" s="2248" t="s">
        <v>45</v>
      </c>
      <c r="BA23" s="2249" t="str">
        <f>IF('C7'!B21&lt;&gt;0,'C7'!B21,"")</f>
        <v/>
      </c>
      <c r="BC23" s="2248" t="s">
        <v>45</v>
      </c>
      <c r="BD23" s="2269" t="str">
        <f>IF('C8C9C10'!B22&lt;&gt;0,'C8C9C10'!B22,"")</f>
        <v/>
      </c>
      <c r="BF23" s="2248" t="s">
        <v>43</v>
      </c>
      <c r="BG23" s="2269" t="str">
        <f>IF('C8C9C10'!B78&lt;&gt;"",'C8C9C10'!B78,"")</f>
        <v>IND</v>
      </c>
      <c r="BI23" s="2251"/>
      <c r="BJ23" s="2256" t="s">
        <v>4944</v>
      </c>
    </row>
    <row r="24" spans="1:62" ht="12" thickBot="1" x14ac:dyDescent="0.4">
      <c r="A24" s="2248" t="s">
        <v>883</v>
      </c>
      <c r="B24" s="2249" t="str">
        <f>IF(C0!B26&lt;&gt;"",C0!B26,"")</f>
        <v/>
      </c>
      <c r="C24" s="148"/>
      <c r="D24" s="2247" t="s">
        <v>2374</v>
      </c>
      <c r="E24" s="2262" t="s">
        <v>1237</v>
      </c>
      <c r="F24" s="148"/>
      <c r="G24" s="2248" t="s">
        <v>2377</v>
      </c>
      <c r="H24" s="2249" t="str">
        <f>IF('C1'!B33&lt;&gt;0,'C1'!B33,"")</f>
        <v/>
      </c>
      <c r="I24" s="148"/>
      <c r="J24" s="2248" t="s">
        <v>4224</v>
      </c>
      <c r="K24" s="2249" t="str">
        <f>IF('C1'!B93&lt;&gt;0,'C1'!B93,"")</f>
        <v/>
      </c>
      <c r="L24" s="148"/>
      <c r="M24" s="610" t="s">
        <v>45</v>
      </c>
      <c r="N24" s="2249" t="str">
        <f>IF('C2'!B23&lt;&gt;0,'C2'!B23,"")</f>
        <v/>
      </c>
      <c r="O24" s="148"/>
      <c r="P24" s="2248" t="s">
        <v>47</v>
      </c>
      <c r="Q24" s="2249" t="str">
        <f>IF('C2'!C46&lt;&gt;0,'C2'!C46,"")</f>
        <v/>
      </c>
      <c r="R24" s="148"/>
      <c r="S24" s="2248" t="s">
        <v>45</v>
      </c>
      <c r="T24" s="2249" t="str">
        <f>IF('C3'!B23&lt;&gt;0,'C3'!B23,"")</f>
        <v/>
      </c>
      <c r="U24" s="148"/>
      <c r="V24" s="2248" t="s">
        <v>45</v>
      </c>
      <c r="W24" s="2249" t="str">
        <f>IF('C3'!B64&lt;&gt;0,'C3'!B64,"")</f>
        <v/>
      </c>
      <c r="X24" s="148"/>
      <c r="Y24" s="2248" t="s">
        <v>1916</v>
      </c>
      <c r="Z24" s="2249" t="str">
        <f>IF('C3'!B117&lt;&gt;0,'C3'!B117,"")</f>
        <v/>
      </c>
      <c r="AA24" s="148"/>
      <c r="AB24" s="2248" t="s">
        <v>47</v>
      </c>
      <c r="AC24" s="2249" t="str">
        <f>IF('C3'!B170&lt;&gt;0,'C3'!B170,"")</f>
        <v/>
      </c>
      <c r="AH24" s="2248" t="s">
        <v>47</v>
      </c>
      <c r="AI24" s="2273" t="str">
        <f>IF('C4'!B23&lt;&gt;0,'C4'!B23,"")</f>
        <v/>
      </c>
      <c r="AK24" s="2248" t="s">
        <v>47</v>
      </c>
      <c r="AL24" s="2285" t="str">
        <f>IF('C4'!B57&lt;&gt;"",'C4'!B57,"")</f>
        <v/>
      </c>
      <c r="AN24" s="2248" t="s">
        <v>1910</v>
      </c>
      <c r="AO24" s="2273" t="str">
        <f>IF('C4'!B110&lt;&gt;0,'C4'!B110,"")</f>
        <v/>
      </c>
      <c r="AQ24" s="2248" t="s">
        <v>43</v>
      </c>
      <c r="AR24" s="2273" t="str">
        <f>IF('C5'!B22&lt;&gt;0,'C5'!B22,"")</f>
        <v/>
      </c>
      <c r="AT24" s="2272" t="s">
        <v>4404</v>
      </c>
      <c r="AU24" s="2249" t="str">
        <f>IF('C6'!B22&lt;&gt;0,'C6'!B22,"")</f>
        <v/>
      </c>
      <c r="AW24" s="2272">
        <v>25</v>
      </c>
      <c r="AX24" s="2249" t="str">
        <f>IF('C6'!B95&lt;&gt;0,'C6'!B95,"")</f>
        <v/>
      </c>
      <c r="AZ24" s="3039" t="s">
        <v>47</v>
      </c>
      <c r="BA24" s="3040" t="s">
        <v>7539</v>
      </c>
      <c r="BC24" s="2248" t="s">
        <v>47</v>
      </c>
      <c r="BD24" s="2249" t="str">
        <f>IF('C8C9C10'!B23&lt;&gt;0,'C8C9C10'!B23,"")</f>
        <v/>
      </c>
      <c r="BF24" s="2248" t="s">
        <v>45</v>
      </c>
      <c r="BG24" s="2273" t="str">
        <f>IF('C8C9C10'!B79&lt;&gt;"",'C8C9C10'!B79,"")</f>
        <v/>
      </c>
      <c r="BI24" s="590" t="s">
        <v>4604</v>
      </c>
      <c r="BJ24" s="148" t="str">
        <f>"Selected  = "&amp;NI2_IND-1</f>
        <v>Selected  = 0</v>
      </c>
    </row>
    <row r="25" spans="1:62" ht="12" thickBot="1" x14ac:dyDescent="0.4">
      <c r="A25" s="2248" t="s">
        <v>2403</v>
      </c>
      <c r="B25" s="2249" t="str">
        <f>IF(C0!B27&lt;&gt;"",C0!B27,"")</f>
        <v/>
      </c>
      <c r="C25" s="148"/>
      <c r="D25" s="2247" t="s">
        <v>2377</v>
      </c>
      <c r="E25" s="2249"/>
      <c r="F25" s="148"/>
      <c r="G25" s="2248" t="s">
        <v>2380</v>
      </c>
      <c r="H25" s="2249" t="str">
        <f>IF('C1'!B34&lt;&gt;0,'C1'!B34,"")</f>
        <v/>
      </c>
      <c r="I25" s="148"/>
      <c r="J25" s="2248" t="s">
        <v>3056</v>
      </c>
      <c r="K25" s="2249" t="str">
        <f>IF('C1'!B94&lt;&gt;0,'C1'!B94,"")</f>
        <v/>
      </c>
      <c r="L25" s="148"/>
      <c r="O25" s="148"/>
      <c r="P25" s="2248" t="s">
        <v>49</v>
      </c>
      <c r="Q25" s="2249" t="str">
        <f>IF('C2'!C47&lt;&gt;0,'C2'!C47,"")</f>
        <v/>
      </c>
      <c r="S25" s="2248" t="s">
        <v>47</v>
      </c>
      <c r="T25" s="2249" t="str">
        <f>IF('C3'!B24&lt;&gt;0,'C3'!B24,"")</f>
        <v/>
      </c>
      <c r="U25" s="148"/>
      <c r="V25" s="2248" t="s">
        <v>47</v>
      </c>
      <c r="W25" s="2249" t="str">
        <f>IF('C3'!B65&lt;&gt;0,'C3'!B65,"")</f>
        <v/>
      </c>
      <c r="X25" s="148"/>
      <c r="Y25" s="2248" t="s">
        <v>1918</v>
      </c>
      <c r="Z25" s="2249" t="str">
        <f>IF('C3'!B118&lt;&gt;0,'C3'!B118,"")</f>
        <v/>
      </c>
      <c r="AA25" s="148"/>
      <c r="AB25" s="2248" t="s">
        <v>49</v>
      </c>
      <c r="AC25" s="2249" t="str">
        <f>IF('C3'!B171&lt;&gt;0,'C3'!B171,"")</f>
        <v/>
      </c>
      <c r="AH25" s="2248" t="s">
        <v>49</v>
      </c>
      <c r="AI25" s="2273" t="str">
        <f>IF('C4'!B24&lt;&gt;0,'C4'!B24,"")</f>
        <v/>
      </c>
      <c r="AK25" s="2248" t="s">
        <v>49</v>
      </c>
      <c r="AL25" s="2285" t="str">
        <f>IF('C4'!B58&lt;&gt;0,'C4'!B58,"")</f>
        <v/>
      </c>
      <c r="AN25" s="2248" t="s">
        <v>1912</v>
      </c>
      <c r="AO25" s="2273" t="str">
        <f>IF('C4'!B111&lt;&gt;0,'C4'!B111,"")</f>
        <v/>
      </c>
      <c r="AQ25" s="2248" t="s">
        <v>2380</v>
      </c>
      <c r="AR25" s="2273" t="str">
        <f>IF('C5'!B23&lt;&gt;0,'C5'!B23,"")</f>
        <v/>
      </c>
      <c r="AT25" s="2272" t="s">
        <v>4413</v>
      </c>
      <c r="AU25" s="2249" t="str">
        <f>IF('C6'!B23&lt;&gt;0,'C6'!B23,"")</f>
        <v/>
      </c>
      <c r="AW25" s="2272">
        <v>26</v>
      </c>
      <c r="AX25" s="2249" t="str">
        <f>IF('C6'!B96&lt;&gt;0,'C6'!B96,"")</f>
        <v/>
      </c>
      <c r="AZ25" s="2248" t="s">
        <v>49</v>
      </c>
      <c r="BA25" s="2249" t="str">
        <f>IF('C7'!B23&lt;&gt;0,'C7'!B23,"")</f>
        <v/>
      </c>
      <c r="BC25" s="2248" t="s">
        <v>49</v>
      </c>
      <c r="BD25" s="2249" t="str">
        <f>IF('C8C9C10'!B24&lt;&gt;0,'C8C9C10'!B24,"")</f>
        <v/>
      </c>
      <c r="BF25" s="2248" t="s">
        <v>47</v>
      </c>
      <c r="BG25" s="2273" t="str">
        <f>IF('C8C9C10'!B80&lt;&gt;"",'C8C9C10'!B80,"")</f>
        <v/>
      </c>
      <c r="BI25" s="607" t="s">
        <v>4804</v>
      </c>
      <c r="BJ25" s="2249" t="str">
        <f>IF('C8C9C10'!B125="","",'C8C9C10'!B125)</f>
        <v/>
      </c>
    </row>
    <row r="26" spans="1:62" ht="12" thickBot="1" x14ac:dyDescent="0.4">
      <c r="A26" s="607" t="s">
        <v>1874</v>
      </c>
      <c r="B26" s="2249" t="str">
        <f>IF(C0!B28&lt;&gt;"",C0!B28,"")</f>
        <v/>
      </c>
      <c r="C26" s="148"/>
      <c r="D26" s="2247" t="s">
        <v>2380</v>
      </c>
      <c r="E26" s="2249"/>
      <c r="F26" s="148"/>
      <c r="G26" s="2248" t="s">
        <v>2383</v>
      </c>
      <c r="H26" s="2249" t="str">
        <f>IF('C1'!B35&lt;&gt;0,'C1'!B35,"")</f>
        <v/>
      </c>
      <c r="I26" s="148"/>
      <c r="J26" s="2248" t="s">
        <v>3059</v>
      </c>
      <c r="K26" s="2249" t="str">
        <f>IF('C1'!B95&lt;&gt;0,'C1'!B95,"")</f>
        <v/>
      </c>
      <c r="L26" s="148"/>
      <c r="M26" s="2263"/>
      <c r="N26" s="2264" t="s">
        <v>2365</v>
      </c>
      <c r="O26" s="148"/>
      <c r="P26" s="2248" t="s">
        <v>51</v>
      </c>
      <c r="Q26" s="2249" t="str">
        <f>IF('C2'!C48&lt;&gt;0,'C2'!C48,"")</f>
        <v/>
      </c>
      <c r="S26" s="2248" t="s">
        <v>49</v>
      </c>
      <c r="T26" s="2249" t="str">
        <f>IF('C3'!B25&lt;&gt;0,'C3'!B25,"")</f>
        <v/>
      </c>
      <c r="U26" s="148"/>
      <c r="V26" s="2248" t="s">
        <v>49</v>
      </c>
      <c r="W26" s="2249" t="str">
        <f>IF('C3'!B66&lt;&gt;0,'C3'!B66,"")</f>
        <v/>
      </c>
      <c r="X26" s="148"/>
      <c r="Y26" s="2248" t="s">
        <v>1920</v>
      </c>
      <c r="Z26" s="2249" t="str">
        <f>IF('C3'!B119&lt;&gt;0,'C3'!B119,"")</f>
        <v/>
      </c>
      <c r="AA26" s="148"/>
      <c r="AB26" s="2248" t="s">
        <v>51</v>
      </c>
      <c r="AC26" s="2249" t="str">
        <f>IF('C3'!B172&lt;&gt;0,'C3'!B172,"")</f>
        <v/>
      </c>
      <c r="AH26" s="2248" t="s">
        <v>51</v>
      </c>
      <c r="AI26" s="2273" t="str">
        <f>IF('C4'!B25&lt;&gt;0,'C4'!B25,"")</f>
        <v/>
      </c>
      <c r="AK26" s="2248" t="s">
        <v>51</v>
      </c>
      <c r="AL26" s="2285" t="str">
        <f>IF('C4'!B59&lt;&gt;0,'C4'!B59,"")</f>
        <v/>
      </c>
      <c r="AN26" s="2248" t="s">
        <v>1914</v>
      </c>
      <c r="AO26" s="2273" t="str">
        <f>IF('C4'!B112&lt;&gt;0,'C4'!B112,"")</f>
        <v/>
      </c>
      <c r="AQ26" s="3149" t="s">
        <v>8412</v>
      </c>
      <c r="AR26" s="2748" t="str">
        <f>IF('C5'!B24&lt;&gt;0,'C5'!B24,"")</f>
        <v/>
      </c>
      <c r="AT26" s="2272" t="s">
        <v>4406</v>
      </c>
      <c r="AU26" s="2249" t="str">
        <f>IF('C6'!B24&lt;&gt;0,'C6'!B24,"")</f>
        <v/>
      </c>
      <c r="AW26" s="2272">
        <v>27</v>
      </c>
      <c r="AX26" s="2249" t="str">
        <f>IF('C6'!B97&lt;&gt;0,'C6'!B97,"")</f>
        <v/>
      </c>
      <c r="AZ26" s="2248" t="s">
        <v>51</v>
      </c>
      <c r="BA26" s="2249" t="str">
        <f>IF('C7'!B24&lt;&gt;0,'C7'!B24,"")</f>
        <v/>
      </c>
      <c r="BC26" s="2248" t="s">
        <v>51</v>
      </c>
      <c r="BD26" s="2250" t="str">
        <f>IF('C8C9C10'!B25&lt;&gt;0,'C8C9C10'!B25,"")</f>
        <v/>
      </c>
      <c r="BF26" s="2248" t="s">
        <v>49</v>
      </c>
      <c r="BG26" s="2273" t="str">
        <f>IF('C8C9C10'!B81&lt;&gt;"",'C8C9C10'!B81,"")</f>
        <v/>
      </c>
      <c r="BI26" s="610" t="s">
        <v>5365</v>
      </c>
      <c r="BJ26" s="2250" t="str">
        <f>IF('C8C9C10'!B126="","",'C8C9C10'!B126)</f>
        <v/>
      </c>
    </row>
    <row r="27" spans="1:62" ht="12" thickBot="1" x14ac:dyDescent="0.4">
      <c r="A27" s="2248" t="s">
        <v>1877</v>
      </c>
      <c r="B27" s="2249" t="str">
        <f>IF(C0!B31&lt;&gt;"",C0!B31,"")</f>
        <v/>
      </c>
      <c r="C27" s="148"/>
      <c r="D27" s="2247" t="s">
        <v>2383</v>
      </c>
      <c r="E27" s="2249"/>
      <c r="F27" s="148"/>
      <c r="G27" s="2248" t="s">
        <v>4221</v>
      </c>
      <c r="H27" s="2249" t="str">
        <f>IF('C1'!B36&lt;&gt;0,'C1'!B36,"")</f>
        <v/>
      </c>
      <c r="I27" s="148"/>
      <c r="J27" s="2248" t="s">
        <v>2981</v>
      </c>
      <c r="K27" s="2249" t="str">
        <f>IF('C1'!B96&lt;&gt;0,'C1'!B96,"")</f>
        <v/>
      </c>
      <c r="L27" s="148"/>
      <c r="M27" s="1124" t="s">
        <v>4009</v>
      </c>
      <c r="N27" s="1450" t="str">
        <f>"Selected  = "&amp;EMP_B_IND-1</f>
        <v>Selected  = 0</v>
      </c>
      <c r="O27" s="148"/>
      <c r="P27" s="2248" t="s">
        <v>1901</v>
      </c>
      <c r="Q27" s="2249" t="str">
        <f>IF('C2'!C49&lt;&gt;0,'C2'!C49,"")</f>
        <v/>
      </c>
      <c r="R27" s="148"/>
      <c r="S27" s="2248" t="s">
        <v>51</v>
      </c>
      <c r="T27" s="2249" t="str">
        <f>IF('C3'!B26&lt;&gt;0,'C3'!B26,"")</f>
        <v/>
      </c>
      <c r="U27" s="148"/>
      <c r="V27" s="2248" t="s">
        <v>51</v>
      </c>
      <c r="W27" s="2249" t="str">
        <f>IF('C3'!B67&lt;&gt;0,'C3'!B67,"")</f>
        <v/>
      </c>
      <c r="X27" s="148"/>
      <c r="Y27" s="2248" t="s">
        <v>1922</v>
      </c>
      <c r="Z27" s="2249" t="str">
        <f>IF('C3'!B120&lt;&gt;0,'C3'!B120,"")</f>
        <v/>
      </c>
      <c r="AA27" s="148"/>
      <c r="AB27" s="2248" t="s">
        <v>1901</v>
      </c>
      <c r="AC27" s="2249" t="str">
        <f>IF('C3'!B173&lt;&gt;0,'C3'!B173,"")</f>
        <v/>
      </c>
      <c r="AH27" s="2248" t="s">
        <v>1901</v>
      </c>
      <c r="AI27" s="2273" t="str">
        <f>IF('C4'!B26&lt;&gt;0,'C4'!B26,"")</f>
        <v/>
      </c>
      <c r="AK27" s="2248" t="s">
        <v>1901</v>
      </c>
      <c r="AL27" s="2285" t="str">
        <f>IF('C4'!B60&lt;&gt;"",'C4'!B60,"")</f>
        <v/>
      </c>
      <c r="AN27" s="2248" t="s">
        <v>1916</v>
      </c>
      <c r="AO27" s="2273" t="str">
        <f>IF('C4'!B113&lt;&gt;0,'C4'!B113,"")</f>
        <v/>
      </c>
      <c r="AQ27" s="3149" t="s">
        <v>8413</v>
      </c>
      <c r="AR27" s="2748" t="str">
        <f>IF('C5'!B25&lt;&gt;"",'C5'!B25,"")</f>
        <v/>
      </c>
      <c r="AT27" s="2272" t="s">
        <v>4407</v>
      </c>
      <c r="AU27" s="2249" t="str">
        <f>IF('C6'!B25&lt;&gt;0,'C6'!B25,"")</f>
        <v/>
      </c>
      <c r="AW27" s="2272">
        <v>28</v>
      </c>
      <c r="AX27" s="2249" t="str">
        <f>IF('C6'!B98&lt;&gt;0,'C6'!B98,"")</f>
        <v/>
      </c>
      <c r="AZ27" s="2248" t="s">
        <v>1901</v>
      </c>
      <c r="BA27" s="2249" t="str">
        <f>IF('C7'!B25&lt;&gt;0,'C7'!B25,"")</f>
        <v/>
      </c>
      <c r="BC27" s="2248" t="s">
        <v>1901</v>
      </c>
      <c r="BD27" s="2273" t="str">
        <f>IF('C8C9C10'!B26&lt;&gt;0,'C8C9C10'!B26,"")</f>
        <v/>
      </c>
      <c r="BF27" s="2248" t="s">
        <v>51</v>
      </c>
      <c r="BG27" s="2269" t="str">
        <f>IF('C8C9C10'!B82&lt;&gt;"",'C8C9C10'!B82,"")</f>
        <v>Y</v>
      </c>
    </row>
    <row r="28" spans="1:62" ht="12" thickBot="1" x14ac:dyDescent="0.4">
      <c r="A28" s="2248" t="s">
        <v>1880</v>
      </c>
      <c r="B28" s="2249" t="str">
        <f>IF(C0!B32&lt;&gt;"",C0!B32,"")</f>
        <v/>
      </c>
      <c r="C28" s="148"/>
      <c r="D28" s="2247" t="s">
        <v>4221</v>
      </c>
      <c r="E28" s="2249"/>
      <c r="F28" s="148"/>
      <c r="G28" s="2248" t="s">
        <v>4224</v>
      </c>
      <c r="H28" s="2249" t="str">
        <f>IF('C1'!B37&lt;&gt;0,'C1'!B37,"")</f>
        <v/>
      </c>
      <c r="I28" s="148"/>
      <c r="J28" s="3403" t="s">
        <v>7969</v>
      </c>
      <c r="K28" s="3404" t="str">
        <f>IF('C1'!B97&lt;&gt;0,'C1'!B97,"")</f>
        <v/>
      </c>
      <c r="L28" s="148"/>
      <c r="M28" s="607" t="s">
        <v>990</v>
      </c>
      <c r="N28" s="2249" t="str">
        <f>IF('C2'!C3&lt;&gt;0,'C2'!C3,"")</f>
        <v/>
      </c>
      <c r="O28" s="148"/>
      <c r="P28" s="2248" t="s">
        <v>1903</v>
      </c>
      <c r="Q28" s="2249" t="str">
        <f>IF('C2'!C50&lt;&gt;0,'C2'!C50,"")</f>
        <v/>
      </c>
      <c r="R28" s="148"/>
      <c r="S28" s="2248" t="s">
        <v>1901</v>
      </c>
      <c r="T28" s="2249" t="str">
        <f>IF('C3'!B27&lt;&gt;0,'C3'!B27,"")</f>
        <v/>
      </c>
      <c r="U28" s="148"/>
      <c r="V28" s="2248" t="s">
        <v>1901</v>
      </c>
      <c r="W28" s="2249" t="str">
        <f>IF('C3'!B68&lt;&gt;0,'C3'!B68,"")</f>
        <v/>
      </c>
      <c r="X28" s="148"/>
      <c r="Y28" s="2248" t="s">
        <v>1924</v>
      </c>
      <c r="Z28" s="2249" t="str">
        <f>IF('C3'!B121&lt;&gt;0,'C3'!B121,"")</f>
        <v/>
      </c>
      <c r="AA28" s="148"/>
      <c r="AB28" s="2248" t="s">
        <v>1903</v>
      </c>
      <c r="AC28" s="2249" t="str">
        <f>IF('C3'!B174&lt;&gt;0,'C3'!B174,"")</f>
        <v/>
      </c>
      <c r="AH28" s="2248" t="s">
        <v>1903</v>
      </c>
      <c r="AI28" s="2273" t="str">
        <f>IF('C4'!B27&lt;&gt;0,'C4'!B27,"")</f>
        <v/>
      </c>
      <c r="AK28" s="2248" t="s">
        <v>1903</v>
      </c>
      <c r="AL28" s="2270" t="str">
        <f>IF('C4'!B61&lt;&gt;0,'C4'!B61,"")</f>
        <v/>
      </c>
      <c r="AN28" s="2248" t="s">
        <v>1918</v>
      </c>
      <c r="AO28" s="2273" t="str">
        <f>IF('C4'!B114&lt;&gt;0,'C4'!B114,"")</f>
        <v/>
      </c>
      <c r="AQ28" s="2248" t="s">
        <v>2383</v>
      </c>
      <c r="AR28" s="2273" t="str">
        <f>IF('C5'!B26&lt;&gt;0,'C5'!B26,"")</f>
        <v/>
      </c>
      <c r="AT28" s="2272" t="s">
        <v>4408</v>
      </c>
      <c r="AU28" s="2249" t="str">
        <f>IF('C6'!B26&lt;&gt;0,'C6'!B26,"")</f>
        <v/>
      </c>
      <c r="AW28" s="2272">
        <v>29</v>
      </c>
      <c r="AX28" s="2249" t="str">
        <f>IF('C6'!B99&lt;&gt;0,'C6'!B99,"")</f>
        <v/>
      </c>
      <c r="AZ28" s="610" t="s">
        <v>1903</v>
      </c>
      <c r="BA28" s="2249" t="str">
        <f>IF('C7'!B26&lt;&gt;0,'C7'!B26,"")</f>
        <v/>
      </c>
      <c r="BC28" s="2248" t="s">
        <v>1903</v>
      </c>
      <c r="BD28" s="2249" t="str">
        <f>IF('C8C9C10'!B27&lt;&gt;0,'C8C9C10'!B27,"")</f>
        <v/>
      </c>
      <c r="BF28" s="3149" t="s">
        <v>8439</v>
      </c>
      <c r="BG28" s="2748" t="str">
        <f>IF('C8C9C10'!B83&lt;&gt;"",'C8C9C10'!B83,"")</f>
        <v/>
      </c>
      <c r="BI28" s="2251"/>
      <c r="BJ28" s="2256" t="s">
        <v>4944</v>
      </c>
    </row>
    <row r="29" spans="1:62" ht="12" thickBot="1" x14ac:dyDescent="0.4">
      <c r="A29" s="607" t="s">
        <v>43</v>
      </c>
      <c r="B29" s="2249" t="str">
        <f>IF(C0!B33&lt;&gt;"",C0!B33,"")</f>
        <v/>
      </c>
      <c r="C29" s="148"/>
      <c r="D29" s="2247" t="s">
        <v>4224</v>
      </c>
      <c r="E29" s="2249"/>
      <c r="F29" s="148"/>
      <c r="G29" s="2248" t="s">
        <v>3056</v>
      </c>
      <c r="H29" s="2249" t="str">
        <f>IF('C1'!B38&lt;&gt;0,'C1'!B38,"")</f>
        <v/>
      </c>
      <c r="I29" s="148"/>
      <c r="J29" s="3403" t="s">
        <v>7970</v>
      </c>
      <c r="K29" s="3404" t="str">
        <f>IF('C1'!B98&lt;&gt;0,'C1'!B98,"")</f>
        <v/>
      </c>
      <c r="L29" s="148"/>
      <c r="M29" s="2248" t="s">
        <v>2371</v>
      </c>
      <c r="N29" s="2249" t="str">
        <f>IF('C2'!C4&lt;&gt;0,'C2'!C4,"")</f>
        <v/>
      </c>
      <c r="O29" s="148"/>
      <c r="P29" s="2248" t="s">
        <v>1905</v>
      </c>
      <c r="Q29" s="2249" t="str">
        <f>IF('C2'!C51&lt;&gt;0,'C2'!C51,"")</f>
        <v/>
      </c>
      <c r="R29" s="148"/>
      <c r="S29" s="2248" t="s">
        <v>1903</v>
      </c>
      <c r="T29" s="2249" t="str">
        <f>IF('C3'!B28&lt;&gt;0,'C3'!B28,"")</f>
        <v/>
      </c>
      <c r="U29" s="148"/>
      <c r="V29" s="2248" t="s">
        <v>1903</v>
      </c>
      <c r="W29" s="2249" t="str">
        <f>IF('C3'!B69&lt;&gt;0,'C3'!B69,"")</f>
        <v/>
      </c>
      <c r="X29" s="148"/>
      <c r="Y29" s="2248" t="s">
        <v>1926</v>
      </c>
      <c r="Z29" s="2249" t="str">
        <f>IF('C3'!B122&lt;&gt;0,'C3'!B122,"")</f>
        <v/>
      </c>
      <c r="AA29" s="148"/>
      <c r="AB29" s="2248" t="s">
        <v>1905</v>
      </c>
      <c r="AC29" s="2249" t="str">
        <f>IF('C3'!B175&lt;&gt;0,'C3'!B175,"")</f>
        <v/>
      </c>
      <c r="AH29" s="2248" t="s">
        <v>1905</v>
      </c>
      <c r="AI29" s="2273" t="str">
        <f>IF('C4'!B28&lt;&gt;0,'C4'!B28,"")</f>
        <v/>
      </c>
      <c r="AK29" s="2248" t="s">
        <v>1905</v>
      </c>
      <c r="AL29" s="2270" t="str">
        <f>IF('C4'!B62&lt;&gt;0,'C4'!B62,"")</f>
        <v/>
      </c>
      <c r="AN29" s="2248" t="s">
        <v>1920</v>
      </c>
      <c r="AO29" s="2273" t="str">
        <f>IF('C4'!B115&lt;&gt;0,'C4'!B115,"")</f>
        <v/>
      </c>
      <c r="AQ29" s="2248" t="s">
        <v>4221</v>
      </c>
      <c r="AR29" s="2273" t="str">
        <f>IF('C5'!B27&lt;&gt;0,'C5'!B27,"")</f>
        <v/>
      </c>
      <c r="AT29" s="2272" t="s">
        <v>4414</v>
      </c>
      <c r="AU29" s="2249" t="str">
        <f>IF('C6'!B27&lt;&gt;0,'C6'!B27,"")</f>
        <v/>
      </c>
      <c r="AW29" s="2272">
        <v>30</v>
      </c>
      <c r="AX29" s="2249" t="str">
        <f>IF('C6'!B100&lt;&gt;0,'C6'!B100,"")</f>
        <v/>
      </c>
      <c r="BC29" s="2248" t="s">
        <v>1905</v>
      </c>
      <c r="BD29" s="2249" t="str">
        <f>IF('C8C9C10'!B28&lt;&gt;0,'C8C9C10'!B28,"")</f>
        <v/>
      </c>
      <c r="BF29" s="3149" t="s">
        <v>8440</v>
      </c>
      <c r="BG29" s="2748" t="str">
        <f>IF('C8C9C10'!B84&lt;&gt;"",'C8C9C10'!B84,"")</f>
        <v/>
      </c>
      <c r="BI29" s="590" t="s">
        <v>7314</v>
      </c>
      <c r="BJ29" s="148" t="str">
        <f>"Selected  = "&amp;NI1_IND-1</f>
        <v>Selected  = 0</v>
      </c>
    </row>
    <row r="30" spans="1:62" ht="12" thickBot="1" x14ac:dyDescent="0.4">
      <c r="A30" s="2248" t="s">
        <v>45</v>
      </c>
      <c r="B30" s="2249" t="str">
        <f>IF(C0!B34&lt;&gt;"",C0!B34,"")</f>
        <v/>
      </c>
      <c r="C30" s="148"/>
      <c r="D30" s="2247" t="s">
        <v>3056</v>
      </c>
      <c r="E30" s="2262" t="s">
        <v>1237</v>
      </c>
      <c r="F30" s="148"/>
      <c r="G30" s="610" t="s">
        <v>3059</v>
      </c>
      <c r="H30" s="2249" t="str">
        <f>IF('C1'!B39&lt;&gt;0,'C1'!B39,"")</f>
        <v/>
      </c>
      <c r="I30" s="148"/>
      <c r="J30" s="2248" t="s">
        <v>2984</v>
      </c>
      <c r="K30" s="2269" t="str">
        <f>IF('C1'!B99&lt;&gt;0,'C1'!B99,"")</f>
        <v/>
      </c>
      <c r="L30" s="148"/>
      <c r="M30" s="2248" t="s">
        <v>2374</v>
      </c>
      <c r="N30" s="2249" t="str">
        <f>IF('C2'!C5&lt;&gt;0,'C2'!C5,"")</f>
        <v/>
      </c>
      <c r="O30" s="148"/>
      <c r="P30" s="2248" t="s">
        <v>1907</v>
      </c>
      <c r="Q30" s="2249" t="str">
        <f>IF('C2'!C52&lt;&gt;0,'C2'!C52,"")</f>
        <v/>
      </c>
      <c r="R30" s="148"/>
      <c r="S30" s="2248" t="s">
        <v>1905</v>
      </c>
      <c r="T30" s="2249" t="str">
        <f>IF('C3'!B29&lt;&gt;0,'C3'!B29,"")</f>
        <v/>
      </c>
      <c r="U30" s="148"/>
      <c r="V30" s="2248" t="s">
        <v>1905</v>
      </c>
      <c r="W30" s="2249" t="str">
        <f>IF('C3'!B70&lt;&gt;0,'C3'!B70,"")</f>
        <v/>
      </c>
      <c r="X30" s="148"/>
      <c r="Y30" s="2248" t="s">
        <v>1928</v>
      </c>
      <c r="Z30" s="2249" t="str">
        <f>IF('C3'!B123&lt;&gt;0,'C3'!B123,"")</f>
        <v/>
      </c>
      <c r="AA30" s="148"/>
      <c r="AB30" s="2248" t="s">
        <v>1907</v>
      </c>
      <c r="AC30" s="2249" t="str">
        <f>IF('C3'!B176&lt;&gt;0,'C3'!B176,"")</f>
        <v/>
      </c>
      <c r="AH30" s="2248" t="s">
        <v>1907</v>
      </c>
      <c r="AI30" s="2273" t="str">
        <f>IF('C4'!B29&lt;&gt;0,'C4'!B29,"")</f>
        <v/>
      </c>
      <c r="AK30" s="2248" t="s">
        <v>1907</v>
      </c>
      <c r="AL30" s="2285" t="str">
        <f>IF('C4'!B63&lt;&gt;0,'C4'!B63,"")</f>
        <v/>
      </c>
      <c r="AN30" s="2248" t="s">
        <v>1922</v>
      </c>
      <c r="AO30" s="2273" t="str">
        <f>IF('C4'!B116&lt;&gt;0,'C4'!B116,"")</f>
        <v/>
      </c>
      <c r="AQ30" s="2248" t="s">
        <v>4224</v>
      </c>
      <c r="AR30" s="2273" t="str">
        <f>IF('C5'!B28&lt;&gt;0,'C5'!B28,"")</f>
        <v/>
      </c>
      <c r="AT30" s="2272" t="s">
        <v>4410</v>
      </c>
      <c r="AU30" s="2249" t="str">
        <f>IF('C6'!B28&lt;&gt;0,'C6'!B28,"")</f>
        <v/>
      </c>
      <c r="AW30" s="2272">
        <v>31</v>
      </c>
      <c r="AX30" s="2249" t="str">
        <f>IF('C6'!B101&lt;&gt;0,'C6'!B101,"")</f>
        <v/>
      </c>
      <c r="BC30" s="2248" t="s">
        <v>1907</v>
      </c>
      <c r="BD30" s="2249" t="str">
        <f>IF('C8C9C10'!B29&lt;&gt;0,'C8C9C10'!B29,"")</f>
        <v/>
      </c>
      <c r="BF30" s="3149" t="s">
        <v>8441</v>
      </c>
      <c r="BG30" s="3832" t="str">
        <f>IF('C8C9C10'!B85&lt;&gt;"",'C8C9C10'!B85,"")</f>
        <v/>
      </c>
      <c r="BI30" s="2749" t="s">
        <v>7718</v>
      </c>
      <c r="BJ30" s="2249" t="str">
        <f>IF('C8C9C10'!B131="","",'C8C9C10'!B131)</f>
        <v/>
      </c>
    </row>
    <row r="31" spans="1:62" ht="12" thickBot="1" x14ac:dyDescent="0.4">
      <c r="A31" s="2248" t="s">
        <v>47</v>
      </c>
      <c r="B31" s="2269" t="str">
        <f>IF(C0!B35&lt;&gt;"",C0!B35,"")</f>
        <v/>
      </c>
      <c r="C31" s="148"/>
      <c r="D31" s="2247" t="s">
        <v>3059</v>
      </c>
      <c r="E31" s="2262" t="s">
        <v>1237</v>
      </c>
      <c r="F31" s="148"/>
      <c r="G31" s="607" t="s">
        <v>2981</v>
      </c>
      <c r="H31" s="2249" t="str">
        <f>IF('C1'!B43&lt;&gt;0,'C1'!B43,"")</f>
        <v/>
      </c>
      <c r="I31" s="148"/>
      <c r="J31" s="2248" t="s">
        <v>2987</v>
      </c>
      <c r="K31" s="2249" t="str">
        <f>IF('C1'!B100&lt;&gt;0,'C1'!B100,"")</f>
        <v/>
      </c>
      <c r="L31" s="148"/>
      <c r="M31" s="2248" t="s">
        <v>2377</v>
      </c>
      <c r="N31" s="2249" t="str">
        <f>IF('C2'!C6&lt;&gt;0,'C2'!C6,"")</f>
        <v/>
      </c>
      <c r="O31" s="148"/>
      <c r="P31" s="2248" t="s">
        <v>1909</v>
      </c>
      <c r="Q31" s="2249" t="str">
        <f>IF('C2'!C53&lt;&gt;0,'C2'!C53,"")</f>
        <v/>
      </c>
      <c r="R31" s="148"/>
      <c r="S31" s="2248" t="s">
        <v>1907</v>
      </c>
      <c r="T31" s="2249" t="str">
        <f>IF('C3'!B30&lt;&gt;0,'C3'!B30,"")</f>
        <v/>
      </c>
      <c r="U31" s="148"/>
      <c r="V31" s="2248" t="s">
        <v>1907</v>
      </c>
      <c r="W31" s="2249" t="str">
        <f>IF('C3'!B71&lt;&gt;0,'C3'!B71,"")</f>
        <v/>
      </c>
      <c r="X31" s="148"/>
      <c r="Y31" s="2248" t="s">
        <v>1930</v>
      </c>
      <c r="Z31" s="2249" t="str">
        <f>IF('C3'!B124&lt;&gt;0,'C3'!B124,"")</f>
        <v/>
      </c>
      <c r="AA31" s="148"/>
      <c r="AB31" s="2248" t="s">
        <v>1909</v>
      </c>
      <c r="AC31" s="2249" t="str">
        <f>IF('C3'!B177&lt;&gt;0,'C3'!B177,"")</f>
        <v/>
      </c>
      <c r="AH31" s="2248" t="s">
        <v>1909</v>
      </c>
      <c r="AI31" s="2273" t="str">
        <f>IF('C4'!B30&lt;&gt;0,'C4'!B30,"")</f>
        <v/>
      </c>
      <c r="AK31" s="2248" t="s">
        <v>1909</v>
      </c>
      <c r="AL31" s="2285" t="str">
        <f>IF('C4'!B64&lt;&gt;0,'C4'!B64,"")</f>
        <v/>
      </c>
      <c r="AN31" s="2248" t="s">
        <v>1924</v>
      </c>
      <c r="AO31" s="2273" t="str">
        <f>IF('C4'!B117&lt;&gt;0,'C4'!B117,"")</f>
        <v/>
      </c>
      <c r="AQ31" s="2248" t="s">
        <v>3056</v>
      </c>
      <c r="AR31" s="2273" t="str">
        <f>IF('C5'!B29&lt;&gt;0,'C5'!B29,"")</f>
        <v/>
      </c>
      <c r="AT31" s="2272" t="s">
        <v>4415</v>
      </c>
      <c r="AU31" s="2249" t="str">
        <f>IF('C6'!B29&lt;&gt;0,'C6'!B29,"")</f>
        <v/>
      </c>
      <c r="AW31" s="2272">
        <v>32</v>
      </c>
      <c r="AX31" s="2249" t="str">
        <f>IF('C6'!B102&lt;&gt;0,'C6'!B102,"")</f>
        <v/>
      </c>
      <c r="BC31" s="2248" t="s">
        <v>1909</v>
      </c>
      <c r="BD31" s="2269" t="str">
        <f>IF('C8C9C10'!B30&lt;&gt;0,'C8C9C10'!B30,"")</f>
        <v/>
      </c>
      <c r="BF31" s="2248" t="s">
        <v>1901</v>
      </c>
      <c r="BG31" s="2269" t="str">
        <f>IF('C8C9C10'!B86&lt;&gt;"",'C8C9C10'!B86,"")</f>
        <v>Y</v>
      </c>
      <c r="BI31" s="2750"/>
      <c r="BJ31" s="2249"/>
    </row>
    <row r="32" spans="1:62" x14ac:dyDescent="0.35">
      <c r="C32" s="148"/>
      <c r="D32" s="2286" t="s">
        <v>2981</v>
      </c>
      <c r="E32" s="2262" t="s">
        <v>1237</v>
      </c>
      <c r="F32" s="148"/>
      <c r="G32" s="2248" t="s">
        <v>2984</v>
      </c>
      <c r="H32" s="2249" t="str">
        <f>IF('C1'!B44&lt;&gt;0,'C1'!B44,"")</f>
        <v/>
      </c>
      <c r="I32" s="148"/>
      <c r="J32" s="2248" t="s">
        <v>883</v>
      </c>
      <c r="K32" s="2249" t="str">
        <f>IF('C1'!B101&lt;&gt;0,'C1'!B101,"")</f>
        <v/>
      </c>
      <c r="L32" s="148"/>
      <c r="M32" s="2248" t="s">
        <v>2380</v>
      </c>
      <c r="N32" s="2249" t="str">
        <f>IF('C2'!C7&lt;&gt;0,'C2'!C7,"")</f>
        <v/>
      </c>
      <c r="O32" s="148"/>
      <c r="P32" s="2248" t="s">
        <v>1911</v>
      </c>
      <c r="Q32" s="2249" t="str">
        <f>IF('C2'!C54&lt;&gt;0,'C2'!C54,"")</f>
        <v/>
      </c>
      <c r="R32" s="148"/>
      <c r="S32" s="2248" t="s">
        <v>1909</v>
      </c>
      <c r="T32" s="2249" t="str">
        <f>IF('C3'!B31&lt;&gt;0,'C3'!B31,"")</f>
        <v/>
      </c>
      <c r="U32" s="148"/>
      <c r="V32" s="2248" t="s">
        <v>1909</v>
      </c>
      <c r="W32" s="2249" t="str">
        <f>IF('C3'!B72&lt;&gt;0,'C3'!B72,"")</f>
        <v/>
      </c>
      <c r="X32" s="148"/>
      <c r="Y32" s="2248" t="s">
        <v>1932</v>
      </c>
      <c r="Z32" s="2249" t="str">
        <f>IF('C3'!B125&lt;&gt;0,'C3'!B125,"")</f>
        <v/>
      </c>
      <c r="AA32" s="148"/>
      <c r="AB32" s="2248" t="s">
        <v>1911</v>
      </c>
      <c r="AC32" s="2249" t="str">
        <f>IF('C3'!B178&lt;&gt;0,'C3'!B178,"")</f>
        <v/>
      </c>
      <c r="AH32" s="2274" t="s">
        <v>1911</v>
      </c>
      <c r="AI32" s="2275"/>
      <c r="AK32" s="2248" t="s">
        <v>1911</v>
      </c>
      <c r="AL32" s="2285" t="str">
        <f>IF('C4'!B65&lt;&gt;"",'C4'!B65,"")</f>
        <v/>
      </c>
      <c r="AN32" s="2248" t="s">
        <v>1926</v>
      </c>
      <c r="AO32" s="2273" t="str">
        <f>IF('C4'!B118&lt;&gt;0,'C4'!B118,"")</f>
        <v/>
      </c>
      <c r="AQ32" s="2248" t="s">
        <v>3059</v>
      </c>
      <c r="AR32" s="2273" t="str">
        <f>IF('C5'!B30&lt;&gt;0,'C5'!B30,"")</f>
        <v/>
      </c>
      <c r="AT32" s="2272" t="s">
        <v>4416</v>
      </c>
      <c r="AU32" s="2249" t="str">
        <f>IF('C6'!B30&lt;&gt;0,'C6'!B30,"")</f>
        <v/>
      </c>
      <c r="AW32" s="2272" t="s">
        <v>4400</v>
      </c>
      <c r="AX32" s="2249" t="str">
        <f>IF('C6'!B103&lt;&gt;0,'C6'!B103,"")</f>
        <v/>
      </c>
      <c r="BC32" s="2248" t="s">
        <v>1911</v>
      </c>
      <c r="BD32" s="2249" t="str">
        <f>IF('C8C9C10'!B31&lt;&gt;0,'C8C9C10'!B31,"")</f>
        <v/>
      </c>
      <c r="BF32" s="2248" t="s">
        <v>1903</v>
      </c>
      <c r="BG32" s="2284" t="str">
        <f>IF('C8C9C10'!B87&lt;&gt;"",'C8C9C10'!B87,"")</f>
        <v/>
      </c>
      <c r="BI32" s="1124"/>
    </row>
    <row r="33" spans="1:62" x14ac:dyDescent="0.35">
      <c r="A33" s="1124" t="s">
        <v>3031</v>
      </c>
      <c r="B33" s="1125" t="str">
        <f>"Selected  = "&amp;SLR_ind-1</f>
        <v>Selected  = 0</v>
      </c>
      <c r="C33" s="148"/>
      <c r="D33" s="2286" t="s">
        <v>2984</v>
      </c>
      <c r="E33" s="2249"/>
      <c r="F33" s="148"/>
      <c r="G33" s="2248" t="s">
        <v>2987</v>
      </c>
      <c r="H33" s="2249" t="str">
        <f>IF('C1'!B45&lt;&gt;0,'C1'!B45,"")</f>
        <v/>
      </c>
      <c r="I33" s="148"/>
      <c r="J33" s="2248" t="s">
        <v>2403</v>
      </c>
      <c r="K33" s="2249" t="str">
        <f>IF('C1'!B102&lt;&gt;0,'C1'!B102,"")</f>
        <v/>
      </c>
      <c r="L33" s="148"/>
      <c r="M33" s="2248" t="s">
        <v>2383</v>
      </c>
      <c r="N33" s="2249" t="str">
        <f>IF('C2'!C8&lt;&gt;0,'C2'!C8,"")</f>
        <v/>
      </c>
      <c r="O33" s="148"/>
      <c r="P33" s="2248" t="s">
        <v>1913</v>
      </c>
      <c r="Q33" s="2249" t="str">
        <f>IF('C2'!C55&lt;&gt;0,'C2'!C55,"")</f>
        <v/>
      </c>
      <c r="R33" s="148"/>
      <c r="S33" s="2248" t="s">
        <v>1911</v>
      </c>
      <c r="T33" s="2249" t="str">
        <f>IF('C3'!B32&lt;&gt;0,'C3'!B32,"")</f>
        <v/>
      </c>
      <c r="U33" s="148"/>
      <c r="V33" s="2248" t="s">
        <v>1911</v>
      </c>
      <c r="W33" s="2249" t="str">
        <f>IF('C3'!B73&lt;&gt;0,'C3'!B73,"")</f>
        <v/>
      </c>
      <c r="X33" s="148"/>
      <c r="Y33" s="2248" t="s">
        <v>1934</v>
      </c>
      <c r="Z33" s="2249" t="str">
        <f>IF('C3'!B126&lt;&gt;0,'C3'!B126,"")</f>
        <v/>
      </c>
      <c r="AA33" s="148"/>
      <c r="AB33" s="2248" t="s">
        <v>1913</v>
      </c>
      <c r="AC33" s="2249" t="str">
        <f>IF('C3'!B179&lt;&gt;0,'C3'!B179,"")</f>
        <v/>
      </c>
      <c r="AH33" s="2248" t="s">
        <v>1913</v>
      </c>
      <c r="AI33" s="2273" t="str">
        <f>IF('C4'!B32&lt;&gt;0,'C4'!B32,"")</f>
        <v/>
      </c>
      <c r="AK33" s="2248" t="s">
        <v>1913</v>
      </c>
      <c r="AL33" s="2285" t="str">
        <f>IF('C4'!B66&lt;&gt;"",'C4'!B66,"")</f>
        <v/>
      </c>
      <c r="AN33" s="2248" t="s">
        <v>1928</v>
      </c>
      <c r="AO33" s="2273" t="str">
        <f>IF('C4'!B119&lt;&gt;0,'C4'!B119,"")</f>
        <v/>
      </c>
      <c r="AQ33" s="2248" t="s">
        <v>2981</v>
      </c>
      <c r="AR33" s="2273" t="str">
        <f>IF('C5'!B31&lt;&gt;0,'C5'!B31,"")</f>
        <v/>
      </c>
      <c r="AT33" s="2272" t="s">
        <v>4417</v>
      </c>
      <c r="AU33" s="2249" t="str">
        <f>IF('C6'!B31&lt;&gt;0,'C6'!B31,"")</f>
        <v/>
      </c>
      <c r="AW33" s="2272" t="s">
        <v>4402</v>
      </c>
      <c r="AX33" s="2249" t="str">
        <f>IF('C6'!B104&lt;&gt;0,'C6'!B104,"")</f>
        <v/>
      </c>
      <c r="BC33" s="2248" t="s">
        <v>1913</v>
      </c>
      <c r="BD33" s="2249" t="str">
        <f>IF('C8C9C10'!B32&lt;&gt;0,'C8C9C10'!B32,"")</f>
        <v/>
      </c>
      <c r="BF33" s="2248" t="s">
        <v>1905</v>
      </c>
      <c r="BG33" s="2269" t="str">
        <f>IF('C8C9C10'!B88&lt;&gt;"",'C8C9C10'!B88,"")</f>
        <v>N</v>
      </c>
      <c r="BI33" s="2957"/>
    </row>
    <row r="34" spans="1:62" ht="12" thickBot="1" x14ac:dyDescent="0.4">
      <c r="A34" s="2247" t="s">
        <v>990</v>
      </c>
      <c r="B34" s="2250" t="str">
        <f>IF(C0!B60&lt;&gt;"",C0!B60,"")</f>
        <v/>
      </c>
      <c r="C34" s="148"/>
      <c r="D34" s="2286" t="s">
        <v>2987</v>
      </c>
      <c r="E34" s="2249"/>
      <c r="F34" s="148"/>
      <c r="G34" s="610" t="s">
        <v>883</v>
      </c>
      <c r="H34" s="2249" t="str">
        <f>IF('C1'!B46&lt;&gt;0,'C1'!B46,"")</f>
        <v/>
      </c>
      <c r="I34" s="148"/>
      <c r="J34" s="2248" t="s">
        <v>1874</v>
      </c>
      <c r="K34" s="2249" t="str">
        <f>IF('C1'!B103&lt;&gt;0,'C1'!B103,"")</f>
        <v/>
      </c>
      <c r="L34" s="148"/>
      <c r="M34" s="2248" t="s">
        <v>1791</v>
      </c>
      <c r="N34" s="2249" t="str">
        <f>IF('C2'!C9&lt;&gt;0,'C2'!C9,"")</f>
        <v/>
      </c>
      <c r="O34" s="148"/>
      <c r="P34" s="2248" t="s">
        <v>1915</v>
      </c>
      <c r="Q34" s="2249" t="str">
        <f>IF('C2'!C56&lt;&gt;0,'C2'!C56,"")</f>
        <v/>
      </c>
      <c r="R34" s="148"/>
      <c r="S34" s="2248" t="s">
        <v>1913</v>
      </c>
      <c r="T34" s="2249" t="str">
        <f>IF('C3'!B33&lt;&gt;0,'C3'!B33,"")</f>
        <v/>
      </c>
      <c r="U34" s="148"/>
      <c r="V34" s="2248" t="s">
        <v>1913</v>
      </c>
      <c r="W34" s="2249" t="str">
        <f>IF('C3'!B74&lt;&gt;0,'C3'!B74,"")</f>
        <v/>
      </c>
      <c r="X34" s="148"/>
      <c r="Y34" s="2248" t="s">
        <v>2503</v>
      </c>
      <c r="Z34" s="2249" t="str">
        <f>IF('C3'!B127&lt;&gt;0,'C3'!B127,"")</f>
        <v/>
      </c>
      <c r="AA34" s="148"/>
      <c r="AB34" s="2248" t="s">
        <v>1915</v>
      </c>
      <c r="AC34" s="2249" t="str">
        <f>IF('C3'!B180&lt;&gt;0,'C3'!B180,"")</f>
        <v/>
      </c>
      <c r="AH34" s="2248" t="s">
        <v>1915</v>
      </c>
      <c r="AI34" s="2273" t="str">
        <f>IF('C4'!B33&lt;&gt;0,'C4'!B33,"")</f>
        <v/>
      </c>
      <c r="AK34" s="2248" t="s">
        <v>1915</v>
      </c>
      <c r="AL34" s="2285" t="str">
        <f>IF('C4'!B67&lt;&gt;0,'C4'!B67,"")</f>
        <v/>
      </c>
      <c r="AN34" s="610" t="s">
        <v>1930</v>
      </c>
      <c r="AO34" s="2273" t="str">
        <f>IF('C4'!B120&lt;&gt;0,'C4'!B120,"")</f>
        <v/>
      </c>
      <c r="AQ34" s="2248" t="s">
        <v>2984</v>
      </c>
      <c r="AR34" s="2273" t="str">
        <f>IF('C5'!B32&lt;&gt;0,'C5'!B32,"")</f>
        <v/>
      </c>
      <c r="AT34" s="2272" t="s">
        <v>4418</v>
      </c>
      <c r="AU34" s="2249" t="str">
        <f>IF('C6'!B32&lt;&gt;0,'C6'!B32,"")</f>
        <v/>
      </c>
      <c r="AW34" s="2272" t="s">
        <v>4404</v>
      </c>
      <c r="AX34" s="2249" t="str">
        <f>IF('C6'!B105&lt;&gt;0,'C6'!B105,"")</f>
        <v/>
      </c>
      <c r="BC34" s="2248" t="s">
        <v>1915</v>
      </c>
      <c r="BD34" s="2250" t="str">
        <f>IF('C8C9C10'!B33&lt;&gt;0,'C8C9C10'!B33,"")</f>
        <v/>
      </c>
      <c r="BF34" s="2248" t="s">
        <v>1907</v>
      </c>
      <c r="BG34" s="2284" t="str">
        <f>IF('C8C9C10'!B89&lt;&gt;"",'C8C9C10'!B89,"")</f>
        <v>02/02/2014</v>
      </c>
      <c r="BI34" s="2957"/>
    </row>
    <row r="35" spans="1:62" ht="12" thickBot="1" x14ac:dyDescent="0.4">
      <c r="A35" s="2956" t="s">
        <v>6393</v>
      </c>
      <c r="B35" s="2250" t="str">
        <f>IF(C0!B61&lt;&gt;"",C0!B61,"")</f>
        <v/>
      </c>
      <c r="C35" s="148"/>
      <c r="D35" s="2286" t="s">
        <v>883</v>
      </c>
      <c r="E35" s="2249"/>
      <c r="F35" s="148"/>
      <c r="G35" s="610" t="s">
        <v>2403</v>
      </c>
      <c r="H35" s="2249" t="str">
        <f>IF('C1'!B47&lt;&gt;0,'C1'!B47,"")</f>
        <v/>
      </c>
      <c r="I35" s="148"/>
      <c r="J35" s="3405" t="s">
        <v>1877</v>
      </c>
      <c r="K35" s="3406"/>
      <c r="L35" s="148"/>
      <c r="M35" s="2248" t="s">
        <v>4221</v>
      </c>
      <c r="N35" s="2249" t="str">
        <f>IF('C2'!C10&lt;&gt;0,'C2'!C10,"")</f>
        <v/>
      </c>
      <c r="O35" s="148"/>
      <c r="P35" s="2248" t="s">
        <v>1917</v>
      </c>
      <c r="Q35" s="2249" t="str">
        <f>IF('C2'!C57&lt;&gt;0,'C2'!C57,"")</f>
        <v/>
      </c>
      <c r="R35" s="148"/>
      <c r="S35" s="2248" t="s">
        <v>1915</v>
      </c>
      <c r="T35" s="2249" t="str">
        <f>IF('C3'!B34&lt;&gt;0,'C3'!B34,"")</f>
        <v/>
      </c>
      <c r="U35" s="148"/>
      <c r="V35" s="2248" t="s">
        <v>1915</v>
      </c>
      <c r="W35" s="2249" t="str">
        <f>IF('C3'!B75&lt;&gt;0,'C3'!B75,"")</f>
        <v/>
      </c>
      <c r="X35" s="148"/>
      <c r="Y35" s="2248" t="s">
        <v>3331</v>
      </c>
      <c r="Z35" s="2249" t="str">
        <f>IF('C3'!B128&lt;&gt;0,'C3'!B128,"")</f>
        <v/>
      </c>
      <c r="AA35" s="148"/>
      <c r="AB35" s="2248" t="s">
        <v>1917</v>
      </c>
      <c r="AC35" s="2249" t="str">
        <f>IF('C3'!B181&lt;&gt;0,'C3'!B181,"")</f>
        <v/>
      </c>
      <c r="AH35" s="610" t="s">
        <v>1917</v>
      </c>
      <c r="AI35" s="2273" t="str">
        <f>IF('C4'!B34&lt;&gt;0,'C4'!B34,"")</f>
        <v/>
      </c>
      <c r="AK35" s="2248" t="s">
        <v>1917</v>
      </c>
      <c r="AL35" s="2285" t="str">
        <f>IF('C4'!B68&lt;&gt;"",'C4'!B68,"")</f>
        <v/>
      </c>
      <c r="AQ35" s="2248" t="s">
        <v>2987</v>
      </c>
      <c r="AR35" s="2273" t="str">
        <f>IF('C5'!B33&lt;&gt;0,'C5'!B33,"")</f>
        <v/>
      </c>
      <c r="AT35" s="2272" t="s">
        <v>4419</v>
      </c>
      <c r="AU35" s="2249" t="str">
        <f>IF('C6'!B33&lt;&gt;0,'C6'!B33,"")</f>
        <v/>
      </c>
      <c r="AW35" s="2272" t="s">
        <v>4442</v>
      </c>
      <c r="AX35" s="2249" t="str">
        <f>IF('C6'!B106&lt;&gt;0,'C6'!B106,"")</f>
        <v/>
      </c>
      <c r="BC35" s="2248" t="s">
        <v>1917</v>
      </c>
      <c r="BD35" s="2249" t="str">
        <f>IF('C8C9C10'!B34&lt;&gt;0,'C8C9C10'!B34,"")</f>
        <v/>
      </c>
      <c r="BF35" s="2248" t="s">
        <v>1909</v>
      </c>
      <c r="BG35" s="2269" t="str">
        <f>IF('C8C9C10'!B90&lt;&gt;"",'C8C9C10'!B90,"")</f>
        <v>N</v>
      </c>
      <c r="BI35" s="1124"/>
    </row>
    <row r="36" spans="1:62" x14ac:dyDescent="0.35">
      <c r="A36" s="2286" t="s">
        <v>2371</v>
      </c>
      <c r="B36" s="2273" t="str">
        <f>IF(C0!B62&lt;&gt;"",C0!B62,"")</f>
        <v/>
      </c>
      <c r="C36" s="148"/>
      <c r="D36" s="2286" t="s">
        <v>2403</v>
      </c>
      <c r="E36" s="2249"/>
      <c r="F36" s="148"/>
      <c r="I36" s="148"/>
      <c r="J36" s="2248" t="s">
        <v>1880</v>
      </c>
      <c r="K36" s="2249" t="str">
        <f>IF('C1'!B105&lt;&gt;0,'C1'!B105,"")</f>
        <v/>
      </c>
      <c r="L36" s="148"/>
      <c r="M36" s="2248" t="s">
        <v>4224</v>
      </c>
      <c r="N36" s="2249" t="str">
        <f>IF('C2'!C11&lt;&gt;0,'C2'!C11,"")</f>
        <v/>
      </c>
      <c r="O36" s="148"/>
      <c r="P36" s="2248" t="s">
        <v>1919</v>
      </c>
      <c r="Q36" s="2249" t="str">
        <f>IF('C2'!C58&lt;&gt;0,'C2'!C58,"")</f>
        <v/>
      </c>
      <c r="R36" s="148"/>
      <c r="S36" s="2248" t="s">
        <v>1917</v>
      </c>
      <c r="T36" s="2249" t="str">
        <f>IF('C3'!B35&lt;&gt;0,'C3'!B35,"")</f>
        <v/>
      </c>
      <c r="U36" s="148"/>
      <c r="V36" s="2248" t="s">
        <v>1917</v>
      </c>
      <c r="W36" s="2249" t="str">
        <f>IF('C3'!B76&lt;&gt;0,'C3'!B76,"")</f>
        <v/>
      </c>
      <c r="X36" s="148"/>
      <c r="Y36" s="2248" t="s">
        <v>2370</v>
      </c>
      <c r="Z36" s="2249" t="str">
        <f>IF('C3'!B129&lt;&gt;0,'C3'!B129,"")</f>
        <v/>
      </c>
      <c r="AA36" s="148"/>
      <c r="AB36" s="2248" t="s">
        <v>1919</v>
      </c>
      <c r="AC36" s="2249" t="str">
        <f>IF('C3'!B182&lt;&gt;0,'C3'!B182,"")</f>
        <v/>
      </c>
      <c r="AK36" s="2248" t="s">
        <v>1919</v>
      </c>
      <c r="AL36" s="2285" t="str">
        <f>IF('C4'!B69&lt;&gt;0,'C4'!B69,"")</f>
        <v/>
      </c>
      <c r="AQ36" s="2248" t="s">
        <v>883</v>
      </c>
      <c r="AR36" s="2273" t="str">
        <f>IF('C5'!B34&lt;&gt;0,'C5'!B34,"")</f>
        <v/>
      </c>
      <c r="AT36" s="2272" t="s">
        <v>4420</v>
      </c>
      <c r="AU36" s="2249" t="str">
        <f>IF('C6'!B34&lt;&gt;0,'C6'!B34,"")</f>
        <v/>
      </c>
      <c r="AW36" s="2272" t="s">
        <v>4406</v>
      </c>
      <c r="AX36" s="2249" t="str">
        <f>IF('C6'!B107&lt;&gt;0,'C6'!B107,"")</f>
        <v/>
      </c>
      <c r="BC36" s="2248" t="s">
        <v>1919</v>
      </c>
      <c r="BD36" s="2249" t="str">
        <f>IF('C8C9C10'!B35&lt;&gt;0,'C8C9C10'!B35,"")</f>
        <v/>
      </c>
      <c r="BF36" s="2248" t="s">
        <v>1911</v>
      </c>
      <c r="BG36" s="2269" t="str">
        <f>IF('C8C9C10'!B91&lt;&gt;"",'C8C9C10'!B91,"")</f>
        <v>N</v>
      </c>
      <c r="BI36" s="1124"/>
    </row>
    <row r="37" spans="1:62" ht="12" thickBot="1" x14ac:dyDescent="0.4">
      <c r="A37" s="2286" t="s">
        <v>2374</v>
      </c>
      <c r="B37" s="2269" t="str">
        <f>IF(C0!B63&lt;&gt;"",C0!B63,"")</f>
        <v/>
      </c>
      <c r="C37" s="148"/>
      <c r="D37" s="2286" t="s">
        <v>1874</v>
      </c>
      <c r="E37" s="2249"/>
      <c r="F37" s="148"/>
      <c r="G37" s="1124" t="s">
        <v>4112</v>
      </c>
      <c r="H37" s="1125" t="str">
        <f>"Selected  = "&amp;AOR_IND-1</f>
        <v>Selected  = 0</v>
      </c>
      <c r="I37" s="148"/>
      <c r="J37" s="610" t="s">
        <v>43</v>
      </c>
      <c r="K37" s="2249" t="str">
        <f>IF('C1'!B106&lt;&gt;0,'C1'!B106,"")</f>
        <v/>
      </c>
      <c r="L37" s="148"/>
      <c r="M37" s="2248" t="s">
        <v>3056</v>
      </c>
      <c r="N37" s="2249" t="str">
        <f>IF('C2'!C12&lt;&gt;0,'C2'!C12,"")</f>
        <v/>
      </c>
      <c r="O37" s="148"/>
      <c r="P37" s="2248" t="s">
        <v>1921</v>
      </c>
      <c r="Q37" s="2249" t="str">
        <f>IF('C2'!C59&lt;&gt;0,'C2'!C59,"")</f>
        <v/>
      </c>
      <c r="R37" s="148"/>
      <c r="S37" s="2248" t="s">
        <v>1919</v>
      </c>
      <c r="T37" s="2249" t="str">
        <f>IF('C3'!B36&lt;&gt;0,'C3'!B36,"")</f>
        <v/>
      </c>
      <c r="U37" s="148"/>
      <c r="V37" s="2248" t="s">
        <v>1919</v>
      </c>
      <c r="W37" s="2249" t="str">
        <f>IF('C3'!B77&lt;&gt;0,'C3'!B77,"")</f>
        <v/>
      </c>
      <c r="X37" s="148"/>
      <c r="Y37" s="2248" t="s">
        <v>2373</v>
      </c>
      <c r="Z37" s="2249" t="str">
        <f>IF('C3'!B130&lt;&gt;0,'C3'!B130,"")</f>
        <v/>
      </c>
      <c r="AA37" s="148"/>
      <c r="AB37" s="2248" t="s">
        <v>1921</v>
      </c>
      <c r="AC37" s="2249" t="str">
        <f>IF('C3'!B183&lt;&gt;0,'C3'!B183,"")</f>
        <v/>
      </c>
      <c r="AK37" s="2248" t="s">
        <v>1921</v>
      </c>
      <c r="AL37" s="2285" t="str">
        <f>IF('C4'!B70&lt;&gt;"",'C4'!B70,"")</f>
        <v/>
      </c>
      <c r="AQ37" s="2248" t="s">
        <v>2403</v>
      </c>
      <c r="AR37" s="2273" t="str">
        <f>IF('C5'!B35&lt;&gt;0,'C5'!B35,"")</f>
        <v/>
      </c>
      <c r="AT37" s="2272" t="s">
        <v>4421</v>
      </c>
      <c r="AU37" s="2249" t="str">
        <f>IF('C6'!B35&lt;&gt;0,'C6'!B35,"")</f>
        <v/>
      </c>
      <c r="AW37" s="2272" t="s">
        <v>4408</v>
      </c>
      <c r="AX37" s="2249" t="str">
        <f>IF('C6'!B108&lt;&gt;0,'C6'!B108,"")</f>
        <v/>
      </c>
      <c r="BC37" s="2248" t="s">
        <v>1921</v>
      </c>
      <c r="BD37" s="2249" t="str">
        <f>IF('C8C9C10'!B36&lt;&gt;0,'C8C9C10'!B36,"")</f>
        <v/>
      </c>
      <c r="BF37" s="2248" t="s">
        <v>1913</v>
      </c>
      <c r="BG37" s="2269" t="str">
        <f>IF('C8C9C10'!B92&lt;&gt;"",'C8C9C10'!B92,"")</f>
        <v>N</v>
      </c>
      <c r="BI37" s="1124"/>
    </row>
    <row r="38" spans="1:62" x14ac:dyDescent="0.35">
      <c r="C38" s="148"/>
      <c r="D38" s="2286" t="s">
        <v>1877</v>
      </c>
      <c r="E38" s="2249"/>
      <c r="F38" s="148"/>
      <c r="G38" s="607" t="s">
        <v>990</v>
      </c>
      <c r="H38" s="2249" t="str">
        <f>IF('C1'!B50&lt;&gt;0,'C1'!B50,"")</f>
        <v/>
      </c>
      <c r="I38" s="148"/>
      <c r="J38" s="607" t="s">
        <v>45</v>
      </c>
      <c r="K38" s="2249" t="str">
        <f>IF('C1'!B109&lt;&gt;0,'C1'!B109,"")</f>
        <v/>
      </c>
      <c r="L38" s="148"/>
      <c r="M38" s="2248" t="s">
        <v>3059</v>
      </c>
      <c r="N38" s="2249" t="str">
        <f>IF('C2'!C13&lt;&gt;0,'C2'!C13,"")</f>
        <v/>
      </c>
      <c r="O38" s="148"/>
      <c r="P38" s="2248" t="s">
        <v>1923</v>
      </c>
      <c r="Q38" s="2249" t="str">
        <f>IF('C2'!C60&lt;&gt;0,'C2'!C60,"")</f>
        <v/>
      </c>
      <c r="R38" s="148"/>
      <c r="S38" s="2248" t="s">
        <v>1921</v>
      </c>
      <c r="T38" s="2249" t="str">
        <f>IF('C3'!B37&lt;&gt;0,'C3'!B37,"")</f>
        <v/>
      </c>
      <c r="U38" s="148"/>
      <c r="V38" s="2248" t="s">
        <v>1921</v>
      </c>
      <c r="W38" s="2249" t="str">
        <f>IF('C3'!B78&lt;&gt;0,'C3'!B78,"")</f>
        <v/>
      </c>
      <c r="X38" s="148"/>
      <c r="Y38" s="2248" t="s">
        <v>2376</v>
      </c>
      <c r="Z38" s="2249" t="str">
        <f>IF('C3'!B131&lt;&gt;0,'C3'!B131,"")</f>
        <v/>
      </c>
      <c r="AA38" s="148"/>
      <c r="AB38" s="2248" t="s">
        <v>1923</v>
      </c>
      <c r="AC38" s="2249" t="str">
        <f>IF('C3'!B184&lt;&gt;0,'C3'!B184,"")</f>
        <v/>
      </c>
      <c r="AK38" s="2248" t="s">
        <v>1923</v>
      </c>
      <c r="AL38" s="2285" t="str">
        <f>IF('C4'!B71&lt;&gt;"",'C4'!B71,"")</f>
        <v/>
      </c>
      <c r="AQ38" s="2248" t="s">
        <v>1874</v>
      </c>
      <c r="AR38" s="2273" t="str">
        <f>IF('C5'!B36&lt;&gt;0,'C5'!B36,"")</f>
        <v/>
      </c>
      <c r="AT38" s="2272" t="s">
        <v>4422</v>
      </c>
      <c r="AU38" s="2249" t="str">
        <f>IF('C6'!B36&lt;&gt;0,'C6'!B36,"")</f>
        <v/>
      </c>
      <c r="AW38" s="2272" t="s">
        <v>4410</v>
      </c>
      <c r="AX38" s="2249" t="str">
        <f>IF('C6'!B109&lt;&gt;0,'C6'!B109,"")</f>
        <v/>
      </c>
      <c r="BC38" s="2248" t="s">
        <v>1923</v>
      </c>
      <c r="BD38" s="2249" t="str">
        <f>IF('C8C9C10'!B37&lt;&gt;0,'C8C9C10'!B37,"")</f>
        <v/>
      </c>
      <c r="BF38" s="2248" t="s">
        <v>1915</v>
      </c>
      <c r="BG38" s="2269" t="str">
        <f>IF('C8C9C10'!B93&lt;&gt;"",'C8C9C10'!B93,"")</f>
        <v>N</v>
      </c>
      <c r="BI38" s="1124"/>
    </row>
    <row r="39" spans="1:62" ht="12" thickBot="1" x14ac:dyDescent="0.4">
      <c r="A39" s="1124" t="s">
        <v>3234</v>
      </c>
      <c r="B39" s="1125" t="str">
        <f>"Selected  = "&amp;CBC_Ind-1</f>
        <v>Selected  = 0</v>
      </c>
      <c r="C39" s="148"/>
      <c r="D39" s="2286" t="s">
        <v>1880</v>
      </c>
      <c r="E39" s="2249"/>
      <c r="F39" s="148"/>
      <c r="G39" s="2248" t="s">
        <v>2371</v>
      </c>
      <c r="H39" s="2249" t="str">
        <f>IF('C1'!B51&lt;&gt;0,'C1'!B51,"")</f>
        <v/>
      </c>
      <c r="I39" s="148"/>
      <c r="J39" s="610" t="s">
        <v>47</v>
      </c>
      <c r="K39" s="2250">
        <f>IF('C1'!B110&lt;&gt;0,'C1'!B110,"")</f>
        <v>1000000506</v>
      </c>
      <c r="L39" s="148"/>
      <c r="M39" s="2248" t="s">
        <v>2981</v>
      </c>
      <c r="N39" s="2249" t="str">
        <f>IF('C2'!C14&lt;&gt;0,'C2'!C14,"")</f>
        <v/>
      </c>
      <c r="O39" s="148"/>
      <c r="P39" s="2248" t="s">
        <v>1925</v>
      </c>
      <c r="Q39" s="2249" t="str">
        <f>IF('C2'!C61&lt;&gt;0,'C2'!C61,"")</f>
        <v/>
      </c>
      <c r="R39" s="148"/>
      <c r="S39" s="2248" t="s">
        <v>1923</v>
      </c>
      <c r="T39" s="2249" t="str">
        <f>IF('C3'!B38&lt;&gt;0,'C3'!B38,"")</f>
        <v/>
      </c>
      <c r="U39" s="148"/>
      <c r="V39" s="2248" t="s">
        <v>1923</v>
      </c>
      <c r="W39" s="2249" t="str">
        <f>IF('C3'!B79&lt;&gt;0,'C3'!B79,"")</f>
        <v/>
      </c>
      <c r="X39" s="148"/>
      <c r="Y39" s="2248" t="s">
        <v>2379</v>
      </c>
      <c r="Z39" s="2249" t="str">
        <f>IF('C3'!B132&lt;&gt;0,'C3'!B132,"")</f>
        <v/>
      </c>
      <c r="AA39" s="148"/>
      <c r="AB39" s="2248" t="s">
        <v>1925</v>
      </c>
      <c r="AC39" s="2249" t="str">
        <f>IF('C3'!B185&lt;&gt;0,'C3'!B185,"")</f>
        <v/>
      </c>
      <c r="AK39" s="2248" t="s">
        <v>1925</v>
      </c>
      <c r="AL39" s="2285" t="str">
        <f>IF('C4'!B72&lt;&gt;"",'C4'!B72,"")</f>
        <v/>
      </c>
      <c r="AQ39" s="2248" t="s">
        <v>1877</v>
      </c>
      <c r="AR39" s="2273" t="str">
        <f>IF('C5'!B37&lt;&gt;0,'C5'!B37,"")</f>
        <v/>
      </c>
      <c r="AT39" s="2272" t="s">
        <v>4423</v>
      </c>
      <c r="AU39" s="2249" t="str">
        <f>IF('C6'!B37&lt;&gt;0,'C6'!B37,"")</f>
        <v/>
      </c>
      <c r="AW39" s="2272" t="s">
        <v>4443</v>
      </c>
      <c r="AX39" s="2249" t="str">
        <f>IF('C6'!B110&lt;&gt;0,'C6'!B110,"")</f>
        <v/>
      </c>
      <c r="BC39" s="2248" t="s">
        <v>1925</v>
      </c>
      <c r="BD39" s="2269" t="str">
        <f>IF('C8C9C10'!B38&lt;&gt;0,'C8C9C10'!B38,"")</f>
        <v/>
      </c>
      <c r="BF39" s="2248" t="s">
        <v>1917</v>
      </c>
      <c r="BG39" s="2269" t="str">
        <f>IF('C8C9C10'!B94&lt;&gt;"",'C8C9C10'!B94,"")</f>
        <v>N</v>
      </c>
      <c r="BI39" s="1124"/>
    </row>
    <row r="40" spans="1:62" x14ac:dyDescent="0.35">
      <c r="A40" s="2286" t="s">
        <v>990</v>
      </c>
      <c r="B40" s="2273" t="str">
        <f>IF(C0!B66&lt;&gt;"",C0!B66,"")</f>
        <v/>
      </c>
      <c r="C40" s="148"/>
      <c r="D40" s="2286" t="s">
        <v>43</v>
      </c>
      <c r="E40" s="2249"/>
      <c r="F40" s="148"/>
      <c r="G40" s="2248" t="s">
        <v>2374</v>
      </c>
      <c r="H40" s="2249" t="str">
        <f>IF('C1'!B52&lt;&gt;0,'C1'!B52,"")</f>
        <v/>
      </c>
      <c r="I40" s="148"/>
      <c r="J40" s="148"/>
      <c r="K40" s="148"/>
      <c r="L40" s="148"/>
      <c r="M40" s="2248" t="s">
        <v>2984</v>
      </c>
      <c r="N40" s="2249" t="str">
        <f>IF('C2'!C15&lt;&gt;0,'C2'!C15,"")</f>
        <v/>
      </c>
      <c r="O40" s="148"/>
      <c r="P40" s="2248" t="s">
        <v>1927</v>
      </c>
      <c r="Q40" s="2249" t="str">
        <f>IF('C2'!C62&lt;&gt;0,'C2'!C62,"")</f>
        <v/>
      </c>
      <c r="R40" s="148"/>
      <c r="S40" s="2248" t="s">
        <v>1925</v>
      </c>
      <c r="T40" s="2249" t="str">
        <f>IF('C3'!B39&lt;&gt;0,'C3'!B39,"")</f>
        <v/>
      </c>
      <c r="U40" s="148"/>
      <c r="V40" s="2248" t="s">
        <v>1925</v>
      </c>
      <c r="W40" s="2249" t="str">
        <f>IF('C3'!B80&lt;&gt;0,'C3'!B80,"")</f>
        <v/>
      </c>
      <c r="X40" s="148"/>
      <c r="Y40" s="2248" t="s">
        <v>2382</v>
      </c>
      <c r="Z40" s="2249" t="str">
        <f>IF('C3'!B133&lt;&gt;0,'C3'!B133,"")</f>
        <v/>
      </c>
      <c r="AA40" s="148"/>
      <c r="AB40" s="2248" t="s">
        <v>1927</v>
      </c>
      <c r="AC40" s="2249" t="str">
        <f>IF('C3'!B186&lt;&gt;0,'C3'!B186,"")</f>
        <v/>
      </c>
      <c r="AK40" s="2248" t="s">
        <v>1927</v>
      </c>
      <c r="AL40" s="2285" t="str">
        <f>IF('C4'!B73&lt;&gt;"",'C4'!B73,"")</f>
        <v/>
      </c>
      <c r="AQ40" s="2248" t="s">
        <v>1880</v>
      </c>
      <c r="AR40" s="2269" t="str">
        <f>IF('C5'!B38&lt;&gt;"",'C5'!B38,"")</f>
        <v/>
      </c>
      <c r="AT40" s="2272" t="s">
        <v>4424</v>
      </c>
      <c r="AU40" s="2249" t="str">
        <f>IF('C6'!B38&lt;&gt;0,'C6'!B38,"")</f>
        <v/>
      </c>
      <c r="AW40" s="2272" t="s">
        <v>4416</v>
      </c>
      <c r="AX40" s="2249" t="str">
        <f>IF('C6'!B111&lt;&gt;0,'C6'!B111,"")</f>
        <v/>
      </c>
      <c r="BC40" s="2248" t="s">
        <v>1927</v>
      </c>
      <c r="BD40" s="2249" t="str">
        <f>IF('C8C9C10'!B39&lt;&gt;0,'C8C9C10'!B39,"")</f>
        <v/>
      </c>
      <c r="BF40" s="2248" t="s">
        <v>1919</v>
      </c>
      <c r="BG40" s="2269" t="str">
        <f>IF('C8C9C10'!B95&lt;&gt;"",'C8C9C10'!B95,"")</f>
        <v>N</v>
      </c>
      <c r="BI40" s="1124"/>
    </row>
    <row r="41" spans="1:62" x14ac:dyDescent="0.35">
      <c r="A41" s="2286" t="s">
        <v>2371</v>
      </c>
      <c r="B41" s="2250" t="str">
        <f>IF(C0!B67&lt;&gt;"",C0!B67,"")</f>
        <v/>
      </c>
      <c r="C41" s="148"/>
      <c r="D41" s="2286" t="s">
        <v>45</v>
      </c>
      <c r="E41" s="2249"/>
      <c r="F41" s="148"/>
      <c r="G41" s="2248" t="s">
        <v>2377</v>
      </c>
      <c r="H41" s="2249" t="str">
        <f>IF('C1'!B53&lt;&gt;0,'C1'!B53,"")</f>
        <v/>
      </c>
      <c r="I41" s="148"/>
      <c r="J41" s="148"/>
      <c r="K41" s="148"/>
      <c r="L41" s="148"/>
      <c r="M41" s="2248" t="s">
        <v>2987</v>
      </c>
      <c r="N41" s="2249" t="str">
        <f>IF('C2'!C16&lt;&gt;0,'C2'!C16,"")</f>
        <v/>
      </c>
      <c r="O41" s="148"/>
      <c r="P41" s="2248" t="s">
        <v>1929</v>
      </c>
      <c r="Q41" s="2249" t="str">
        <f>IF('C2'!C63&lt;&gt;0,'C2'!C63,"")</f>
        <v/>
      </c>
      <c r="R41" s="148"/>
      <c r="S41" s="2248" t="s">
        <v>1927</v>
      </c>
      <c r="T41" s="2249" t="str">
        <f>IF('C3'!B40&lt;&gt;0,'C3'!B40,"")</f>
        <v/>
      </c>
      <c r="U41" s="148"/>
      <c r="V41" s="2248" t="s">
        <v>1927</v>
      </c>
      <c r="W41" s="2249" t="str">
        <f>IF('C3'!B81&lt;&gt;0,'C3'!B81,"")</f>
        <v/>
      </c>
      <c r="X41" s="148"/>
      <c r="Y41" s="2248" t="s">
        <v>4220</v>
      </c>
      <c r="Z41" s="2249" t="str">
        <f>IF('C3'!B134&lt;&gt;0,'C3'!B134,"")</f>
        <v/>
      </c>
      <c r="AA41" s="148"/>
      <c r="AB41" s="2248" t="s">
        <v>1929</v>
      </c>
      <c r="AC41" s="2249" t="str">
        <f>IF('C3'!B187&lt;&gt;0,'C3'!B187,"")</f>
        <v/>
      </c>
      <c r="AK41" s="2248" t="s">
        <v>1929</v>
      </c>
      <c r="AL41" s="2285" t="str">
        <f>IF('C4'!B74&lt;&gt;0,'C4'!B74,"")</f>
        <v/>
      </c>
      <c r="AQ41" s="2248" t="s">
        <v>43</v>
      </c>
      <c r="AR41" s="2269" t="str">
        <f>IF('C5'!B39&lt;&gt;"",'C5'!B39,"")</f>
        <v/>
      </c>
      <c r="AT41" s="2272" t="s">
        <v>4425</v>
      </c>
      <c r="AU41" s="2249" t="str">
        <f>IF('C6'!B39&lt;&gt;0,'C6'!B39,"")</f>
        <v/>
      </c>
      <c r="AW41" s="2272" t="s">
        <v>4418</v>
      </c>
      <c r="AX41" s="2249" t="str">
        <f>IF('C6'!B112&lt;&gt;0,'C6'!B112,"")</f>
        <v/>
      </c>
      <c r="BC41" s="2248" t="s">
        <v>1929</v>
      </c>
      <c r="BD41" s="2249" t="str">
        <f>IF('C8C9C10'!B40&lt;&gt;0,'C8C9C10'!B40,"")</f>
        <v/>
      </c>
      <c r="BF41" s="2248" t="s">
        <v>1921</v>
      </c>
      <c r="BG41" s="2273" t="str">
        <f>IF('C8C9C10'!B96&lt;&gt;"",'C8C9C10'!B96,"")</f>
        <v/>
      </c>
      <c r="BI41" s="1124"/>
    </row>
    <row r="42" spans="1:62" ht="12" thickBot="1" x14ac:dyDescent="0.4">
      <c r="A42" s="2286" t="s">
        <v>2374</v>
      </c>
      <c r="B42" s="2284" t="str">
        <f>IF(C0!B68&lt;&gt;"",C0!B68,"")</f>
        <v/>
      </c>
      <c r="C42" s="148"/>
      <c r="D42" s="2286" t="s">
        <v>47</v>
      </c>
      <c r="E42" s="2249"/>
      <c r="F42" s="148"/>
      <c r="G42" s="2248" t="s">
        <v>2380</v>
      </c>
      <c r="H42" s="2249" t="str">
        <f>IF('C1'!B54&lt;&gt;0,'C1'!B54,"")</f>
        <v/>
      </c>
      <c r="I42" s="148"/>
      <c r="J42" s="148"/>
      <c r="K42" s="148"/>
      <c r="L42" s="148"/>
      <c r="M42" s="2248" t="s">
        <v>883</v>
      </c>
      <c r="N42" s="2249" t="str">
        <f>IF('C2'!C17&lt;&gt;0,'C2'!C17,"")</f>
        <v/>
      </c>
      <c r="O42" s="148"/>
      <c r="P42" s="610" t="s">
        <v>1931</v>
      </c>
      <c r="Q42" s="2249" t="str">
        <f>IF('C2'!C64&lt;&gt;0,'C2'!C64,"")</f>
        <v/>
      </c>
      <c r="R42" s="148"/>
      <c r="S42" s="610" t="s">
        <v>1929</v>
      </c>
      <c r="T42" s="2249" t="str">
        <f>IF('C3'!B41&lt;&gt;0,'C3'!B41,"")</f>
        <v/>
      </c>
      <c r="U42" s="148"/>
      <c r="V42" s="2248" t="s">
        <v>1929</v>
      </c>
      <c r="W42" s="2249" t="str">
        <f>IF('C3'!B82&lt;&gt;0,'C3'!B82,"")</f>
        <v/>
      </c>
      <c r="X42" s="148"/>
      <c r="Y42" s="2248" t="s">
        <v>4223</v>
      </c>
      <c r="Z42" s="2249" t="str">
        <f>IF('C3'!B135&lt;&gt;0,'C3'!B135,"")</f>
        <v/>
      </c>
      <c r="AA42" s="148"/>
      <c r="AB42" s="2248" t="s">
        <v>1931</v>
      </c>
      <c r="AC42" s="2249" t="str">
        <f>IF('C3'!B188&lt;&gt;0,'C3'!B188,"")</f>
        <v/>
      </c>
      <c r="AK42" s="2248" t="s">
        <v>1931</v>
      </c>
      <c r="AL42" s="2285" t="str">
        <f>IF('C4'!B75&lt;&gt;0,'C4'!B75,"")</f>
        <v/>
      </c>
      <c r="AQ42" s="2248" t="s">
        <v>45</v>
      </c>
      <c r="AR42" s="2273">
        <f>IF('C5'!B40&lt;&gt;0,'C5'!B40,"")</f>
        <v>53780</v>
      </c>
      <c r="AT42" s="2272" t="s">
        <v>4426</v>
      </c>
      <c r="AU42" s="2249" t="str">
        <f>IF('C6'!B40&lt;&gt;0,'C6'!B40,"")</f>
        <v/>
      </c>
      <c r="AW42" s="2272" t="s">
        <v>4420</v>
      </c>
      <c r="AX42" s="2249" t="str">
        <f>IF('C6'!B113&lt;&gt;0,'C6'!B113,"")</f>
        <v/>
      </c>
      <c r="BC42" s="2248" t="s">
        <v>1931</v>
      </c>
      <c r="BD42" s="2249" t="str">
        <f>IF('C8C9C10'!B41&lt;&gt;0,'C8C9C10'!B41,"")</f>
        <v/>
      </c>
      <c r="BF42" s="2248" t="s">
        <v>1923</v>
      </c>
      <c r="BG42" s="2273" t="str">
        <f>IF('C8C9C10'!B97&lt;&gt;"",'C8C9C10'!B97,"")</f>
        <v/>
      </c>
      <c r="BI42" s="1124"/>
    </row>
    <row r="43" spans="1:62" ht="12" thickBot="1" x14ac:dyDescent="0.4">
      <c r="C43" s="148"/>
      <c r="D43" s="2286" t="s">
        <v>49</v>
      </c>
      <c r="E43" s="2262" t="s">
        <v>583</v>
      </c>
      <c r="F43" s="148"/>
      <c r="G43" s="2248" t="s">
        <v>2383</v>
      </c>
      <c r="H43" s="2249" t="str">
        <f>IF('C1'!B55&lt;&gt;0,'C1'!B55,"")</f>
        <v/>
      </c>
      <c r="I43" s="148"/>
      <c r="J43" s="148"/>
      <c r="K43" s="148"/>
      <c r="L43" s="148"/>
      <c r="M43" s="2248" t="s">
        <v>2403</v>
      </c>
      <c r="N43" s="2249" t="str">
        <f>IF('C2'!C18&lt;&gt;0,'C2'!C18,"")</f>
        <v/>
      </c>
      <c r="O43" s="148"/>
      <c r="P43" s="2747" t="s">
        <v>8528</v>
      </c>
      <c r="Q43" s="2249" t="str">
        <f>IF('C8C9C10'!B130="","",'C8C9C10'!B130)</f>
        <v/>
      </c>
      <c r="R43" s="148"/>
      <c r="S43" s="148"/>
      <c r="T43" s="148"/>
      <c r="U43" s="148"/>
      <c r="V43" s="2248" t="s">
        <v>1931</v>
      </c>
      <c r="W43" s="2249" t="str">
        <f>IF('C3'!B83&lt;&gt;0,'C3'!B83,"")</f>
        <v/>
      </c>
      <c r="X43" s="148"/>
      <c r="Y43" s="2248" t="s">
        <v>3055</v>
      </c>
      <c r="Z43" s="2249" t="str">
        <f>IF('C3'!B136&lt;&gt;0,'C3'!B136,"")</f>
        <v/>
      </c>
      <c r="AA43" s="148"/>
      <c r="AB43" s="2248" t="s">
        <v>1933</v>
      </c>
      <c r="AC43" s="2249" t="str">
        <f>IF('C3'!B189&lt;&gt;0,'C3'!B189,"")</f>
        <v/>
      </c>
      <c r="AK43" s="2248" t="s">
        <v>1933</v>
      </c>
      <c r="AL43" s="2285" t="str">
        <f>IF('C4'!B76&lt;&gt;"",'C4'!B76,"")</f>
        <v/>
      </c>
      <c r="AQ43" s="3149" t="s">
        <v>8415</v>
      </c>
      <c r="AR43" s="3150" t="str">
        <f>IF('C5'!B41&lt;&gt;0,'C5'!B41,"")</f>
        <v/>
      </c>
      <c r="AT43" s="2272" t="s">
        <v>4427</v>
      </c>
      <c r="AU43" s="2249" t="str">
        <f>IF('C6'!B41&lt;&gt;0,'C6'!B41,"")</f>
        <v/>
      </c>
      <c r="AW43" s="2272" t="s">
        <v>4444</v>
      </c>
      <c r="AX43" s="2249" t="str">
        <f>IF('C6'!B114&lt;&gt;0,'C6'!B114,"")</f>
        <v/>
      </c>
      <c r="BC43" s="2248" t="s">
        <v>1933</v>
      </c>
      <c r="BD43" s="2249" t="str">
        <f>IF('C8C9C10'!B42&lt;&gt;0,'C8C9C10'!B42,"")</f>
        <v/>
      </c>
      <c r="BF43" s="2248" t="s">
        <v>1925</v>
      </c>
      <c r="BG43" s="2273" t="str">
        <f>IF('C8C9C10'!B98&lt;&gt;"",'C8C9C10'!B98,"")</f>
        <v/>
      </c>
      <c r="BI43" s="1124"/>
    </row>
    <row r="44" spans="1:62" ht="12" thickBot="1" x14ac:dyDescent="0.4">
      <c r="A44" s="1124" t="s">
        <v>4563</v>
      </c>
      <c r="B44" s="1125"/>
      <c r="C44" s="148"/>
      <c r="D44" s="2286" t="s">
        <v>51</v>
      </c>
      <c r="E44" s="2249"/>
      <c r="F44" s="148"/>
      <c r="G44" s="2248" t="s">
        <v>4221</v>
      </c>
      <c r="H44" s="2249" t="str">
        <f>IF('C1'!B56&lt;&gt;0,'C1'!B56,"")</f>
        <v/>
      </c>
      <c r="I44" s="148"/>
      <c r="J44" s="148"/>
      <c r="K44" s="148"/>
      <c r="L44" s="148"/>
      <c r="M44" s="2248" t="s">
        <v>1874</v>
      </c>
      <c r="N44" s="2249" t="str">
        <f>IF('C2'!C19&lt;&gt;0,'C2'!C19,"")</f>
        <v/>
      </c>
      <c r="O44" s="148"/>
      <c r="P44" s="148"/>
      <c r="Q44" s="148"/>
      <c r="R44" s="148"/>
      <c r="S44" s="148"/>
      <c r="T44" s="148"/>
      <c r="U44" s="148"/>
      <c r="V44" s="2248" t="s">
        <v>1933</v>
      </c>
      <c r="W44" s="2249" t="str">
        <f>IF('C3'!B84&lt;&gt;0,'C3'!B84,"")</f>
        <v/>
      </c>
      <c r="X44" s="148"/>
      <c r="Y44" s="2248" t="s">
        <v>3058</v>
      </c>
      <c r="Z44" s="2249" t="str">
        <f>IF('C3'!B137&lt;&gt;0,'C3'!B137,"")</f>
        <v/>
      </c>
      <c r="AA44" s="148"/>
      <c r="AB44" s="2248" t="s">
        <v>1935</v>
      </c>
      <c r="AC44" s="2249" t="str">
        <f>IF('C3'!B190&lt;&gt;0,'C3'!B190,"")</f>
        <v/>
      </c>
      <c r="AK44" s="2248" t="s">
        <v>1935</v>
      </c>
      <c r="AL44" s="2285" t="str">
        <f>IF('C4'!B77&lt;&gt;"",'C4'!B77,"")</f>
        <v/>
      </c>
      <c r="AQ44" s="3149" t="s">
        <v>8414</v>
      </c>
      <c r="AR44" s="3150" t="str">
        <f>IF('C5'!B42&lt;&gt;"",'C5'!B42,"")</f>
        <v/>
      </c>
      <c r="AT44" s="2272" t="s">
        <v>4428</v>
      </c>
      <c r="AU44" s="2249" t="str">
        <f>IF('C6'!B42&lt;&gt;0,'C6'!B42,"")</f>
        <v/>
      </c>
      <c r="AW44" s="2272" t="s">
        <v>4422</v>
      </c>
      <c r="AX44" s="2249" t="str">
        <f>IF('C6'!B115&lt;&gt;0,'C6'!B115,"")</f>
        <v/>
      </c>
      <c r="BC44" s="2248" t="s">
        <v>1935</v>
      </c>
      <c r="BD44" s="2249" t="str">
        <f>IF('C8C9C10'!B43&lt;&gt;0,'C8C9C10'!B43,"")</f>
        <v/>
      </c>
      <c r="BF44" s="2248" t="s">
        <v>1927</v>
      </c>
      <c r="BG44" s="2269" t="str">
        <f>IF('C8C9C10'!B99&lt;&gt;"",'C8C9C10'!B99,"")</f>
        <v>N</v>
      </c>
      <c r="BI44" s="1124"/>
    </row>
    <row r="45" spans="1:62" x14ac:dyDescent="0.35">
      <c r="A45" s="607" t="s">
        <v>4583</v>
      </c>
      <c r="B45" s="2269" t="str">
        <f>IF(C0!B71&lt;&gt;"",C0!B71,"")</f>
        <v/>
      </c>
      <c r="C45" s="148"/>
      <c r="D45" s="2286" t="s">
        <v>1901</v>
      </c>
      <c r="E45" s="2249"/>
      <c r="F45" s="148"/>
      <c r="G45" s="2248" t="s">
        <v>4224</v>
      </c>
      <c r="H45" s="2249" t="str">
        <f>IF('C1'!B57&lt;&gt;0,'C1'!B57,"")</f>
        <v/>
      </c>
      <c r="I45" s="148"/>
      <c r="J45" s="148"/>
      <c r="K45" s="148"/>
      <c r="L45" s="148"/>
      <c r="M45" s="2248" t="s">
        <v>1877</v>
      </c>
      <c r="N45" s="2249" t="str">
        <f>IF('C2'!C20&lt;&gt;0,'C2'!C20,"")</f>
        <v/>
      </c>
      <c r="O45" s="148"/>
      <c r="P45" s="148"/>
      <c r="Q45" s="148"/>
      <c r="R45" s="148"/>
      <c r="S45" s="148"/>
      <c r="T45" s="148"/>
      <c r="U45" s="148"/>
      <c r="V45" s="2248" t="s">
        <v>1935</v>
      </c>
      <c r="W45" s="2249" t="str">
        <f>IF('C3'!B85&lt;&gt;0,'C3'!B85,"")</f>
        <v/>
      </c>
      <c r="X45" s="148"/>
      <c r="Y45" s="2248" t="s">
        <v>4179</v>
      </c>
      <c r="Z45" s="2249" t="str">
        <f>IF('C3'!B138&lt;&gt;0,'C3'!B138,"")</f>
        <v/>
      </c>
      <c r="AA45" s="148"/>
      <c r="AB45" s="2248" t="s">
        <v>3330</v>
      </c>
      <c r="AC45" s="2249" t="str">
        <f>IF('C3'!B191&lt;&gt;0,'C3'!B191,"")</f>
        <v/>
      </c>
      <c r="AK45" s="3149" t="s">
        <v>8369</v>
      </c>
      <c r="AL45" s="3150" t="str">
        <f>IF('C4'!B78&lt;&gt;"",'C4'!B78,"")</f>
        <v/>
      </c>
      <c r="AQ45" s="2248" t="s">
        <v>47</v>
      </c>
      <c r="AR45" s="2273" t="str">
        <f>IF('C5'!B43&lt;&gt;0,'C5'!B43,"")</f>
        <v/>
      </c>
      <c r="AT45" s="2272" t="s">
        <v>4429</v>
      </c>
      <c r="AU45" s="2249" t="str">
        <f>IF('C6'!B43&lt;&gt;0,'C6'!B43,"")</f>
        <v/>
      </c>
      <c r="AW45" s="2272" t="s">
        <v>4424</v>
      </c>
      <c r="AX45" s="2249" t="str">
        <f>IF('C6'!B116&lt;&gt;0,'C6'!B116,"")</f>
        <v/>
      </c>
      <c r="BC45" s="2248" t="s">
        <v>3330</v>
      </c>
      <c r="BD45" s="2249" t="str">
        <f>IF('C8C9C10'!B44&lt;&gt;0,'C8C9C10'!B44,"")</f>
        <v/>
      </c>
      <c r="BF45" s="2248" t="s">
        <v>1929</v>
      </c>
      <c r="BG45" s="2273" t="str">
        <f>IF('C8C9C10'!B100&lt;&gt;"",'C8C9C10'!B100,"")</f>
        <v/>
      </c>
      <c r="BI45" s="1124"/>
    </row>
    <row r="46" spans="1:62" ht="12" thickBot="1" x14ac:dyDescent="0.4">
      <c r="A46" s="2248" t="s">
        <v>990</v>
      </c>
      <c r="B46" s="2269" t="str">
        <f>IF(C0!B72&lt;&gt;"",C0!B72,"")</f>
        <v/>
      </c>
      <c r="C46" s="148"/>
      <c r="D46" s="2286" t="s">
        <v>1903</v>
      </c>
      <c r="E46" s="2249"/>
      <c r="F46" s="148"/>
      <c r="G46" s="2248" t="s">
        <v>3056</v>
      </c>
      <c r="H46" s="2249" t="str">
        <f>IF('C1'!B58&lt;&gt;0,'C1'!B58,"")</f>
        <v/>
      </c>
      <c r="I46" s="148"/>
      <c r="J46" s="1124"/>
      <c r="K46" s="148"/>
      <c r="L46" s="148"/>
      <c r="M46" s="2248" t="s">
        <v>1880</v>
      </c>
      <c r="N46" s="2249" t="str">
        <f>IF('C2'!C21&lt;&gt;0,'C2'!C21,"")</f>
        <v/>
      </c>
      <c r="O46" s="148"/>
      <c r="P46" s="148"/>
      <c r="Q46" s="148"/>
      <c r="R46" s="148"/>
      <c r="S46" s="148"/>
      <c r="T46" s="148"/>
      <c r="U46" s="148"/>
      <c r="V46" s="2248" t="s">
        <v>3330</v>
      </c>
      <c r="W46" s="2249" t="str">
        <f>IF('C3'!B86&lt;&gt;0,'C3'!B86,"")</f>
        <v/>
      </c>
      <c r="X46" s="148"/>
      <c r="Y46" s="2248" t="s">
        <v>2983</v>
      </c>
      <c r="Z46" s="2249" t="str">
        <f>IF('C3'!B139&lt;&gt;0,'C3'!B139,"")</f>
        <v/>
      </c>
      <c r="AA46" s="148"/>
      <c r="AB46" s="2248" t="s">
        <v>2369</v>
      </c>
      <c r="AC46" s="2249" t="str">
        <f>IF('C3'!B192&lt;&gt;0,'C3'!B192,"")</f>
        <v/>
      </c>
      <c r="AK46" s="2747" t="s">
        <v>7690</v>
      </c>
      <c r="AL46" s="2748" t="str">
        <f>IF('C4'!B79&lt;&gt;0,'C4'!B79,"")</f>
        <v/>
      </c>
      <c r="AQ46" s="2248" t="s">
        <v>49</v>
      </c>
      <c r="AR46" s="2273" t="str">
        <f>IF('C5'!B44&lt;&gt;0,'C5'!B44,"")</f>
        <v/>
      </c>
      <c r="AT46" s="2272" t="s">
        <v>4430</v>
      </c>
      <c r="AU46" s="2249" t="str">
        <f>IF('C6'!B44&lt;&gt;0,'C6'!B44,"")</f>
        <v/>
      </c>
      <c r="AW46" s="2272" t="s">
        <v>4426</v>
      </c>
      <c r="AX46" s="2249" t="str">
        <f>IF('C6'!B117&lt;&gt;0,'C6'!B117,"")</f>
        <v/>
      </c>
      <c r="BC46" s="2248" t="s">
        <v>2369</v>
      </c>
      <c r="BD46" s="2249" t="str">
        <f>IF('C8C9C10'!B45&lt;&gt;0,'C8C9C10'!B45,"")</f>
        <v/>
      </c>
      <c r="BF46" s="2248" t="s">
        <v>1931</v>
      </c>
      <c r="BG46" s="2269" t="str">
        <f>IF('C8C9C10'!B101&lt;&gt;"",'C8C9C10'!B101,"")</f>
        <v/>
      </c>
      <c r="BH46" s="115"/>
      <c r="BI46" s="606"/>
      <c r="BJ46" s="115"/>
    </row>
    <row r="47" spans="1:62" ht="12" thickBot="1" x14ac:dyDescent="0.4">
      <c r="A47" s="2248" t="s">
        <v>2371</v>
      </c>
      <c r="B47" s="2269" t="str">
        <f>IF(C0!B73&lt;&gt;"",C0!B73,"")</f>
        <v/>
      </c>
      <c r="C47" s="148"/>
      <c r="D47" s="2286" t="s">
        <v>1905</v>
      </c>
      <c r="E47" s="2249"/>
      <c r="F47" s="148"/>
      <c r="G47" s="2248" t="s">
        <v>3059</v>
      </c>
      <c r="H47" s="2249" t="str">
        <f>IF('C1'!B59&lt;&gt;0,'C1'!B59,"")</f>
        <v/>
      </c>
      <c r="I47" s="148"/>
      <c r="J47" s="1124"/>
      <c r="K47" s="148"/>
      <c r="L47" s="148"/>
      <c r="M47" s="2248" t="s">
        <v>43</v>
      </c>
      <c r="N47" s="2249" t="str">
        <f>IF('C2'!C22&lt;&gt;0,'C2'!C22,"")</f>
        <v/>
      </c>
      <c r="O47" s="148"/>
      <c r="P47" s="148"/>
      <c r="Q47" s="148"/>
      <c r="R47" s="148"/>
      <c r="S47" s="148"/>
      <c r="T47" s="148"/>
      <c r="U47" s="148"/>
      <c r="V47" s="2248" t="s">
        <v>2369</v>
      </c>
      <c r="W47" s="2249" t="str">
        <f>IF('C3'!B87&lt;&gt;0,'C3'!B87,"")</f>
        <v/>
      </c>
      <c r="X47" s="148"/>
      <c r="Y47" s="2248" t="s">
        <v>2986</v>
      </c>
      <c r="Z47" s="2249" t="str">
        <f>IF('C3'!B140&lt;&gt;0,'C3'!B140,"")</f>
        <v/>
      </c>
      <c r="AA47" s="148"/>
      <c r="AB47" s="2248" t="s">
        <v>2372</v>
      </c>
      <c r="AC47" s="2249" t="str">
        <f>IF('C3'!B193&lt;&gt;0,'C3'!B193,"")</f>
        <v/>
      </c>
      <c r="AK47" s="2248" t="s">
        <v>3330</v>
      </c>
      <c r="AL47" s="2285" t="str">
        <f>IF('C4'!B80&lt;&gt;"",'C4'!B80,"")</f>
        <v/>
      </c>
      <c r="AQ47" s="2248" t="s">
        <v>51</v>
      </c>
      <c r="AR47" s="2273" t="str">
        <f>IF('C5'!B45&lt;&gt;0,'C5'!B45,"")</f>
        <v/>
      </c>
      <c r="AT47" s="2272" t="s">
        <v>4431</v>
      </c>
      <c r="AU47" s="2249" t="str">
        <f>IF('C6'!B45&lt;&gt;0,'C6'!B45,"")</f>
        <v/>
      </c>
      <c r="AW47" s="2272" t="s">
        <v>4445</v>
      </c>
      <c r="AX47" s="2249" t="str">
        <f>IF('C6'!B118&lt;&gt;0,'C6'!B118,"")</f>
        <v/>
      </c>
      <c r="BC47" s="2248" t="s">
        <v>2372</v>
      </c>
      <c r="BD47" s="2249" t="str">
        <f>IF('C8C9C10'!B46&lt;&gt;0,'C8C9C10'!B46,"")</f>
        <v/>
      </c>
      <c r="BF47" s="610" t="s">
        <v>1933</v>
      </c>
      <c r="BG47" s="2269" t="str">
        <f>IF('C8C9C10'!B102&lt;&gt;"",'C8C9C10'!B102,"")</f>
        <v/>
      </c>
      <c r="BH47" s="115"/>
      <c r="BI47" s="606"/>
      <c r="BJ47" s="115"/>
    </row>
    <row r="48" spans="1:62" ht="12" thickBot="1" x14ac:dyDescent="0.4">
      <c r="A48" s="2248" t="s">
        <v>2374</v>
      </c>
      <c r="B48" s="2269" t="str">
        <f>IF(C0!B74&lt;&gt;"",C0!B74,"")</f>
        <v/>
      </c>
      <c r="G48" s="610" t="s">
        <v>2981</v>
      </c>
      <c r="H48" s="2249" t="str">
        <f>IF('C1'!B60&lt;&gt;0,'C1'!B60,"")</f>
        <v/>
      </c>
      <c r="M48" s="610" t="s">
        <v>45</v>
      </c>
      <c r="N48" s="2249" t="str">
        <f>IF('C2'!C23&lt;&gt;0,'C2'!C23,"")</f>
        <v/>
      </c>
      <c r="V48" s="2248" t="s">
        <v>2372</v>
      </c>
      <c r="W48" s="2249" t="str">
        <f>IF('C3'!B88&lt;&gt;0,'C3'!B88,"")</f>
        <v/>
      </c>
      <c r="X48" s="148"/>
      <c r="Y48" s="2248" t="s">
        <v>2989</v>
      </c>
      <c r="Z48" s="2249" t="str">
        <f>IF('C3'!B141&lt;&gt;0,'C3'!B141,"")</f>
        <v/>
      </c>
      <c r="AB48" s="2248" t="s">
        <v>2375</v>
      </c>
      <c r="AC48" s="2249" t="str">
        <f>IF('C3'!B194&lt;&gt;0,'C3'!B194,"")</f>
        <v/>
      </c>
      <c r="AK48" s="2248" t="s">
        <v>2369</v>
      </c>
      <c r="AL48" s="2285" t="str">
        <f>IF('C4'!B81&lt;&gt;"",'C4'!B81,"")</f>
        <v/>
      </c>
      <c r="AQ48" s="2248" t="s">
        <v>1901</v>
      </c>
      <c r="AR48" s="2273" t="str">
        <f>IF('C5'!B46&lt;&gt;0,'C5'!B46,"")</f>
        <v/>
      </c>
      <c r="AT48" s="2272" t="s">
        <v>4432</v>
      </c>
      <c r="AU48" s="2249" t="str">
        <f>IF('C6'!B46&lt;&gt;0,'C6'!B46,"")</f>
        <v/>
      </c>
      <c r="AW48" s="2272">
        <v>33</v>
      </c>
      <c r="AX48" s="2249" t="str">
        <f>IF('C6'!B119&lt;&gt;0,'C6'!B119,"")</f>
        <v/>
      </c>
      <c r="BC48" s="2248" t="s">
        <v>2375</v>
      </c>
      <c r="BD48" s="2249" t="str">
        <f>IF('C8C9C10'!B47&lt;&gt;0,'C8C9C10'!B47,"")</f>
        <v/>
      </c>
    </row>
    <row r="49" spans="1:56" ht="12" thickBot="1" x14ac:dyDescent="0.4">
      <c r="A49" s="2248" t="s">
        <v>2377</v>
      </c>
      <c r="B49" s="2284" t="str">
        <f>IF(C0!B75&lt;&gt;"",C0!B75,"")</f>
        <v/>
      </c>
      <c r="M49" s="2747" t="s">
        <v>8528</v>
      </c>
      <c r="N49" s="2249" t="str">
        <f>IF('C8C9C10'!B129="","",'C8C9C10'!B129)</f>
        <v/>
      </c>
      <c r="V49" s="2248" t="s">
        <v>2375</v>
      </c>
      <c r="W49" s="2249" t="str">
        <f>IF('C3'!B89&lt;&gt;0,'C3'!B89,"")</f>
        <v/>
      </c>
      <c r="X49" s="148"/>
      <c r="Y49" s="2248" t="s">
        <v>2402</v>
      </c>
      <c r="Z49" s="2249" t="str">
        <f>IF('C3'!B142&lt;&gt;0,'C3'!B142,"")</f>
        <v/>
      </c>
      <c r="AB49" s="2248" t="s">
        <v>2378</v>
      </c>
      <c r="AC49" s="2249" t="str">
        <f>IF('C3'!B195&lt;&gt;0,'C3'!B195,"")</f>
        <v/>
      </c>
      <c r="AK49" s="2248" t="s">
        <v>2372</v>
      </c>
      <c r="AL49" s="2285" t="str">
        <f>IF('C4'!B82&lt;&gt;"",'C4'!B82,"")</f>
        <v/>
      </c>
      <c r="AQ49" s="2248" t="s">
        <v>1903</v>
      </c>
      <c r="AR49" s="2273" t="str">
        <f>IF('C5'!B47&lt;&gt;0,'C5'!B47,"")</f>
        <v/>
      </c>
      <c r="AT49" s="2272" t="s">
        <v>4433</v>
      </c>
      <c r="AU49" s="2249" t="str">
        <f>IF('C6'!B47&lt;&gt;0,'C6'!B47,"")</f>
        <v/>
      </c>
      <c r="AW49" s="2272">
        <v>34</v>
      </c>
      <c r="AX49" s="2249" t="str">
        <f>IF('C6'!B120&lt;&gt;0,'C6'!B120,"")</f>
        <v/>
      </c>
      <c r="BC49" s="2248" t="s">
        <v>2378</v>
      </c>
      <c r="BD49" s="2249" t="str">
        <f>IF('C8C9C10'!B48&lt;&gt;0,'C8C9C10'!B48,"")</f>
        <v/>
      </c>
    </row>
    <row r="50" spans="1:56" x14ac:dyDescent="0.35">
      <c r="A50" s="2248" t="s">
        <v>2380</v>
      </c>
      <c r="B50" s="2284" t="str">
        <f>IF(C0!B76&lt;&gt;"",C0!B76,"")</f>
        <v/>
      </c>
      <c r="V50" s="2248" t="s">
        <v>2378</v>
      </c>
      <c r="W50" s="2249" t="str">
        <f>IF('C3'!B90&lt;&gt;0,'C3'!B90,"")</f>
        <v/>
      </c>
      <c r="X50" s="148"/>
      <c r="Y50" s="2248" t="s">
        <v>1750</v>
      </c>
      <c r="Z50" s="2249" t="str">
        <f>IF('C3'!B143&lt;&gt;0,'C3'!B143,"")</f>
        <v/>
      </c>
      <c r="AB50" s="2248" t="s">
        <v>2381</v>
      </c>
      <c r="AC50" s="2249" t="str">
        <f>IF('C3'!B196&lt;&gt;0,'C3'!B196,"")</f>
        <v/>
      </c>
      <c r="AK50" s="2248" t="s">
        <v>2375</v>
      </c>
      <c r="AL50" s="2285" t="str">
        <f>IF('C4'!B83&lt;&gt;0,'C4'!B83,"")</f>
        <v/>
      </c>
      <c r="AQ50" s="2248" t="s">
        <v>1905</v>
      </c>
      <c r="AR50" s="2273" t="str">
        <f>IF('C5'!B48&lt;&gt;0,'C5'!B48,"")</f>
        <v/>
      </c>
      <c r="AT50" s="2272">
        <v>5</v>
      </c>
      <c r="AU50" s="2249" t="str">
        <f>IF('C6'!B48&lt;&gt;0,'C6'!B48,"")</f>
        <v/>
      </c>
      <c r="AW50" s="2272">
        <v>35</v>
      </c>
      <c r="AX50" s="2249" t="str">
        <f>IF('C6'!B121&lt;&gt;0,'C6'!B121,"")</f>
        <v/>
      </c>
      <c r="BC50" s="2248" t="s">
        <v>2381</v>
      </c>
      <c r="BD50" s="2249" t="str">
        <f>IF('C8C9C10'!B49&lt;&gt;0,'C8C9C10'!B49,"")</f>
        <v/>
      </c>
    </row>
    <row r="51" spans="1:56" x14ac:dyDescent="0.35">
      <c r="A51" s="2954" t="s">
        <v>7312</v>
      </c>
      <c r="B51" s="2269" t="str">
        <f>IF(C0!B77&lt;&gt;"",C0!B77,"")</f>
        <v/>
      </c>
      <c r="V51" s="2248" t="s">
        <v>2381</v>
      </c>
      <c r="W51" s="2249" t="str">
        <f>IF('C3'!B91&lt;&gt;0,'C3'!B91,"")</f>
        <v/>
      </c>
      <c r="X51" s="148"/>
      <c r="Y51" s="2248" t="s">
        <v>1876</v>
      </c>
      <c r="Z51" s="2249" t="str">
        <f>IF('C3'!B144&lt;&gt;0,'C3'!B144,"")</f>
        <v/>
      </c>
      <c r="AB51" s="2248" t="s">
        <v>2384</v>
      </c>
      <c r="AC51" s="2249" t="str">
        <f>IF('C3'!B197&lt;&gt;0,'C3'!B197,"")</f>
        <v/>
      </c>
      <c r="AK51" s="2248" t="s">
        <v>2378</v>
      </c>
      <c r="AL51" s="2285" t="str">
        <f>IF('C4'!B84&lt;&gt;"",'C4'!B84,"")</f>
        <v/>
      </c>
      <c r="AQ51" s="2248" t="s">
        <v>1907</v>
      </c>
      <c r="AR51" s="2273" t="str">
        <f>IF('C5'!B49&lt;&gt;0,'C5'!B49,"")</f>
        <v/>
      </c>
      <c r="AT51" s="2272">
        <v>6</v>
      </c>
      <c r="AU51" s="2249" t="str">
        <f>IF('C6'!B49&lt;&gt;0,'C6'!B49,"")</f>
        <v/>
      </c>
      <c r="AW51" s="2272">
        <v>36</v>
      </c>
      <c r="AX51" s="2249" t="str">
        <f>IF('C6'!B122&lt;&gt;0,'C6'!B122,"")</f>
        <v/>
      </c>
      <c r="BC51" s="2248" t="s">
        <v>2384</v>
      </c>
      <c r="BD51" s="2249" t="str">
        <f>IF('C8C9C10'!B50&lt;&gt;0,'C8C9C10'!B50,"")</f>
        <v/>
      </c>
    </row>
    <row r="52" spans="1:56" ht="12" thickBot="1" x14ac:dyDescent="0.4">
      <c r="A52" s="2955" t="s">
        <v>7313</v>
      </c>
      <c r="B52" s="2269" t="str">
        <f>IF(C0!B78&lt;&gt;"",C0!B78,"")</f>
        <v/>
      </c>
      <c r="V52" s="2248" t="s">
        <v>2384</v>
      </c>
      <c r="W52" s="2249" t="str">
        <f>IF('C3'!B92&lt;&gt;0,'C3'!B92,"")</f>
        <v/>
      </c>
      <c r="X52" s="148"/>
      <c r="Y52" s="2248" t="s">
        <v>1879</v>
      </c>
      <c r="Z52" s="2249" t="str">
        <f>IF('C3'!B145&lt;&gt;0,'C3'!B145,"")</f>
        <v/>
      </c>
      <c r="AB52" s="2248" t="s">
        <v>4222</v>
      </c>
      <c r="AC52" s="2249" t="str">
        <f>IF('C3'!B198&lt;&gt;0,'C3'!B198,"")</f>
        <v/>
      </c>
      <c r="AK52" s="2248" t="s">
        <v>2381</v>
      </c>
      <c r="AL52" s="2285" t="str">
        <f>IF('C4'!B85&lt;&gt;"",'C4'!B85,"")</f>
        <v/>
      </c>
      <c r="AQ52" s="2248" t="s">
        <v>1909</v>
      </c>
      <c r="AR52" s="2273" t="str">
        <f>IF('C5'!B50&lt;&gt;0,'C5'!B50,"")</f>
        <v/>
      </c>
      <c r="AT52" s="2274">
        <v>7</v>
      </c>
      <c r="AU52" s="2268"/>
      <c r="AW52" s="2272">
        <v>37</v>
      </c>
      <c r="AX52" s="2249" t="str">
        <f>IF('C6'!B123&lt;&gt;0,'C6'!B123,"")</f>
        <v/>
      </c>
      <c r="BC52" s="2248" t="s">
        <v>4222</v>
      </c>
      <c r="BD52" s="2249" t="str">
        <f>IF('C8C9C10'!B51&lt;&gt;0,'C8C9C10'!B51,"")</f>
        <v/>
      </c>
    </row>
    <row r="53" spans="1:56" ht="12" thickBot="1" x14ac:dyDescent="0.4">
      <c r="V53" s="2248" t="s">
        <v>4222</v>
      </c>
      <c r="W53" s="2249" t="str">
        <f>IF('C3'!B93&lt;&gt;0,'C3'!B93,"")</f>
        <v/>
      </c>
      <c r="X53" s="148"/>
      <c r="Y53" s="2248" t="s">
        <v>1749</v>
      </c>
      <c r="Z53" s="2249" t="str">
        <f>IF('C3'!B146&lt;&gt;0,'C3'!B146,"")</f>
        <v/>
      </c>
      <c r="AB53" s="610" t="s">
        <v>3054</v>
      </c>
      <c r="AC53" s="2249" t="str">
        <f>IF('C3'!B199&lt;&gt;0,'C3'!B199,"")</f>
        <v/>
      </c>
      <c r="AK53" s="2248" t="s">
        <v>2384</v>
      </c>
      <c r="AL53" s="2285" t="str">
        <f>IF('C4'!B86&lt;&gt;"",'C4'!B86,"")</f>
        <v/>
      </c>
      <c r="AQ53" s="2248" t="s">
        <v>1911</v>
      </c>
      <c r="AR53" s="2273">
        <f>IF('C5'!B51&lt;&gt;0,'C5'!B51,"")</f>
        <v>47197</v>
      </c>
      <c r="AT53" s="2272" t="s">
        <v>4400</v>
      </c>
      <c r="AU53" s="2249" t="str">
        <f>IF('C6'!B50&lt;&gt;0,'C6'!B50,"")</f>
        <v/>
      </c>
      <c r="AW53" s="2272">
        <v>38</v>
      </c>
      <c r="AX53" s="2249" t="str">
        <f>IF('C6'!B124&lt;&gt;0,'C6'!B124,"")</f>
        <v/>
      </c>
      <c r="BC53" s="2248" t="s">
        <v>3054</v>
      </c>
      <c r="BD53" s="2249" t="str">
        <f>IF('C8C9C10'!B52&lt;&gt;0,'C8C9C10'!B52,"")</f>
        <v/>
      </c>
    </row>
    <row r="54" spans="1:56" ht="12" thickBot="1" x14ac:dyDescent="0.4">
      <c r="V54" s="2248" t="s">
        <v>3054</v>
      </c>
      <c r="W54" s="2249" t="str">
        <f>IF('C3'!B94&lt;&gt;0,'C3'!B94,"")</f>
        <v/>
      </c>
      <c r="X54" s="148"/>
      <c r="Y54" s="610" t="s">
        <v>792</v>
      </c>
      <c r="Z54" s="2249" t="str">
        <f>IF('C3'!B147&lt;&gt;0,'C3'!B147,"")</f>
        <v/>
      </c>
      <c r="AK54" s="2248" t="s">
        <v>4222</v>
      </c>
      <c r="AL54" s="2285" t="str">
        <f>IF('C4'!B87&lt;&gt;0,'C4'!B87,"")</f>
        <v/>
      </c>
      <c r="AQ54" s="2248" t="s">
        <v>1913</v>
      </c>
      <c r="AR54" s="2273" t="str">
        <f>IF('C5'!B52&lt;&gt;0,'C5'!B52,"")</f>
        <v/>
      </c>
      <c r="AT54" s="2272" t="s">
        <v>4401</v>
      </c>
      <c r="AU54" s="2249" t="str">
        <f>IF('C6'!B51&lt;&gt;0,'C6'!B51,"")</f>
        <v/>
      </c>
      <c r="AW54" s="2272">
        <v>39</v>
      </c>
      <c r="AX54" s="2249" t="str">
        <f>IF('C6'!B125&lt;&gt;0,'C6'!B125,"")</f>
        <v/>
      </c>
      <c r="BC54" s="2248" t="s">
        <v>3057</v>
      </c>
      <c r="BD54" s="2249" t="str">
        <f>IF('C8C9C10'!B53&lt;&gt;0,'C8C9C10'!B53,"")</f>
        <v/>
      </c>
    </row>
    <row r="55" spans="1:56" x14ac:dyDescent="0.35">
      <c r="V55" s="2248" t="s">
        <v>3057</v>
      </c>
      <c r="W55" s="2249" t="str">
        <f>IF('C3'!B95&lt;&gt;0,'C3'!B95,"")</f>
        <v/>
      </c>
      <c r="X55" s="148"/>
      <c r="AK55" s="2248" t="s">
        <v>3054</v>
      </c>
      <c r="AL55" s="2285" t="str">
        <f>IF('C4'!B88&lt;&gt;"",'C4'!B88,"")</f>
        <v/>
      </c>
      <c r="AQ55" s="2248" t="s">
        <v>1915</v>
      </c>
      <c r="AR55" s="2273" t="str">
        <f>IF('C5'!B53&lt;&gt;0,'C5'!B53,"")</f>
        <v/>
      </c>
      <c r="AT55" s="2272" t="s">
        <v>4402</v>
      </c>
      <c r="AU55" s="2249" t="str">
        <f>IF('C6'!B52&lt;&gt;0,'C6'!B52,"")</f>
        <v/>
      </c>
      <c r="AW55" s="2272">
        <v>40</v>
      </c>
      <c r="AX55" s="2249" t="str">
        <f>IF('C6'!B126&lt;&gt;0,'C6'!B126,"")</f>
        <v/>
      </c>
      <c r="BC55" s="2248" t="s">
        <v>3060</v>
      </c>
      <c r="BD55" s="2249" t="str">
        <f>IF('C8C9C10'!B54&lt;&gt;0,'C8C9C10'!B54,"")</f>
        <v/>
      </c>
    </row>
    <row r="56" spans="1:56" ht="12" thickBot="1" x14ac:dyDescent="0.4">
      <c r="V56" s="610" t="s">
        <v>3060</v>
      </c>
      <c r="W56" s="2249" t="str">
        <f>IF('C3'!B96&lt;&gt;0,'C3'!B96,"")</f>
        <v/>
      </c>
      <c r="X56" s="148"/>
      <c r="AK56" s="610" t="s">
        <v>3057</v>
      </c>
      <c r="AL56" s="2285" t="str">
        <f>IF('C4'!B89&lt;&gt;0,'C4'!B89,"")</f>
        <v/>
      </c>
      <c r="AQ56" s="2248" t="s">
        <v>1917</v>
      </c>
      <c r="AR56" s="2273" t="str">
        <f>IF('C5'!B54&lt;&gt;0,'C5'!B54,"")</f>
        <v/>
      </c>
      <c r="AT56" s="2272" t="s">
        <v>4434</v>
      </c>
      <c r="AU56" s="2249" t="str">
        <f>IF('C6'!B53&lt;&gt;0,'C6'!B53,"")</f>
        <v/>
      </c>
      <c r="AW56" s="2272">
        <v>41</v>
      </c>
      <c r="AX56" s="2249" t="str">
        <f>IF('C6'!B127&lt;&gt;0,'C6'!B127,"")</f>
        <v/>
      </c>
      <c r="BC56" s="2248" t="s">
        <v>2982</v>
      </c>
      <c r="BD56" s="2249" t="str">
        <f>IF('C8C9C10'!B55&lt;&gt;0,'C8C9C10'!B55,"")</f>
        <v/>
      </c>
    </row>
    <row r="57" spans="1:56" ht="12" thickBot="1" x14ac:dyDescent="0.4">
      <c r="W57" s="148"/>
      <c r="X57" s="148"/>
      <c r="Y57" s="148"/>
      <c r="Z57" s="148"/>
      <c r="AA57" s="148"/>
      <c r="AQ57" s="3433" t="s">
        <v>1919</v>
      </c>
      <c r="AR57" s="3434"/>
      <c r="AT57" s="2272" t="s">
        <v>4404</v>
      </c>
      <c r="AU57" s="2249" t="str">
        <f>IF('C6'!B54&lt;&gt;0,'C6'!B54,"")</f>
        <v/>
      </c>
      <c r="AW57" s="2272">
        <v>42</v>
      </c>
      <c r="AX57" s="2249" t="str">
        <f>IF('C6'!B128&lt;&gt;0,'C6'!B128,"")</f>
        <v/>
      </c>
      <c r="BC57" s="610" t="s">
        <v>2985</v>
      </c>
      <c r="BD57" s="2249" t="str">
        <f>IF('C8C9C10'!B56&lt;&gt;0,'C8C9C10'!B56,"")</f>
        <v/>
      </c>
    </row>
    <row r="58" spans="1:56" x14ac:dyDescent="0.35">
      <c r="X58" s="148"/>
      <c r="AQ58" s="2248" t="s">
        <v>1921</v>
      </c>
      <c r="AR58" s="2273" t="str">
        <f>IF('C5'!B56&lt;&gt;0,'C5'!B56,"")</f>
        <v/>
      </c>
      <c r="AT58" s="2272" t="s">
        <v>4435</v>
      </c>
      <c r="AU58" s="2249" t="str">
        <f>IF('C6'!B55&lt;&gt;0,'C6'!B55,"")</f>
        <v/>
      </c>
      <c r="AW58" s="2272">
        <v>43</v>
      </c>
      <c r="AX58" s="2249" t="str">
        <f>IF('C6'!B129&lt;&gt;0,'C6'!B129,"")</f>
        <v/>
      </c>
    </row>
    <row r="59" spans="1:56" x14ac:dyDescent="0.35">
      <c r="X59" s="148"/>
      <c r="AQ59" s="2248" t="s">
        <v>1923</v>
      </c>
      <c r="AR59" s="2273" t="str">
        <f>IF('C5'!B57&lt;&gt;0,'C5'!B57,"")</f>
        <v/>
      </c>
      <c r="AT59" s="2272">
        <v>8</v>
      </c>
      <c r="AU59" s="2249" t="str">
        <f>IF('C6'!B56&lt;&gt;0,'C6'!B56,"")</f>
        <v/>
      </c>
      <c r="AW59" s="2272">
        <v>44</v>
      </c>
      <c r="AX59" s="2250" t="str">
        <f>IF('C6'!B130&lt;&gt;0,'C6'!B130,"")</f>
        <v/>
      </c>
    </row>
    <row r="60" spans="1:56" x14ac:dyDescent="0.35">
      <c r="AQ60" s="2248" t="s">
        <v>1925</v>
      </c>
      <c r="AR60" s="2273">
        <f>IF('C5'!B58&lt;&gt;0,'C5'!B58,"")</f>
        <v>5379</v>
      </c>
      <c r="AT60" s="2272">
        <v>9</v>
      </c>
      <c r="AU60" s="2249" t="str">
        <f>IF('C6'!B57&lt;&gt;0,'C6'!B57,"")</f>
        <v/>
      </c>
      <c r="AW60" s="2272">
        <v>45</v>
      </c>
      <c r="AX60" s="2249" t="str">
        <f>IF('C6'!B131&lt;&gt;0,'C6'!B131,"")</f>
        <v/>
      </c>
    </row>
    <row r="61" spans="1:56" ht="12" thickBot="1" x14ac:dyDescent="0.4">
      <c r="AQ61" s="2248" t="s">
        <v>1927</v>
      </c>
      <c r="AR61" s="2273" t="str">
        <f>IF('C5'!B59&lt;&gt;0,'C5'!B59,"")</f>
        <v/>
      </c>
      <c r="AT61" s="2272" t="s">
        <v>4400</v>
      </c>
      <c r="AU61" s="2249" t="str">
        <f>IF('C6'!B58&lt;&gt;0,'C6'!B58,"")</f>
        <v/>
      </c>
      <c r="AW61" s="2276">
        <v>46</v>
      </c>
      <c r="AX61" s="2249" t="str">
        <f>IF('C6'!B132&lt;&gt;0,'C6'!B132,"")</f>
        <v/>
      </c>
    </row>
    <row r="62" spans="1:56" x14ac:dyDescent="0.35">
      <c r="AQ62" s="2248" t="s">
        <v>1929</v>
      </c>
      <c r="AR62" s="2273">
        <f>IF('C5'!B60&lt;&gt;0,'C5'!B60,"")</f>
        <v>1204</v>
      </c>
      <c r="AT62" s="2272" t="s">
        <v>4401</v>
      </c>
      <c r="AU62" s="2249" t="str">
        <f>IF('C6'!B59&lt;&gt;0,'C6'!B59,"")</f>
        <v/>
      </c>
    </row>
    <row r="63" spans="1:56" x14ac:dyDescent="0.35">
      <c r="AQ63" s="2248" t="s">
        <v>1931</v>
      </c>
      <c r="AR63" s="2273">
        <f>IF('C5'!B61&lt;&gt;0,'C5'!B61,"")</f>
        <v>1204</v>
      </c>
      <c r="AT63" s="2272" t="s">
        <v>4402</v>
      </c>
      <c r="AU63" s="2249" t="str">
        <f>IF('C6'!B60&lt;&gt;0,'C6'!B60,"")</f>
        <v/>
      </c>
    </row>
    <row r="64" spans="1:56" x14ac:dyDescent="0.35">
      <c r="AQ64" s="2248" t="s">
        <v>1933</v>
      </c>
      <c r="AR64" s="2273" t="str">
        <f>IF('C5'!B62&lt;&gt;0,'C5'!B62,"")</f>
        <v/>
      </c>
      <c r="AT64" s="2272" t="s">
        <v>4436</v>
      </c>
      <c r="AU64" s="2249" t="str">
        <f>IF('C6'!B61&lt;&gt;0,'C6'!B61,"")</f>
        <v/>
      </c>
    </row>
    <row r="65" spans="1:62" x14ac:dyDescent="0.35">
      <c r="AQ65" s="2248" t="s">
        <v>1935</v>
      </c>
      <c r="AR65" s="2273" t="str">
        <f>IF('C5'!B63&lt;&gt;0,'C5'!B63,"")</f>
        <v/>
      </c>
      <c r="AT65" s="2272" t="s">
        <v>4404</v>
      </c>
      <c r="AU65" s="2249" t="str">
        <f>IF('C6'!B62&lt;&gt;0,'C6'!B62,"")</f>
        <v/>
      </c>
    </row>
    <row r="66" spans="1:62" x14ac:dyDescent="0.35">
      <c r="AQ66" s="2248" t="s">
        <v>3330</v>
      </c>
      <c r="AR66" s="2273" t="str">
        <f>IF('C5'!B64&lt;&gt;0,'C5'!B64,"")</f>
        <v/>
      </c>
      <c r="AT66" s="2272" t="s">
        <v>4437</v>
      </c>
      <c r="AU66" s="2249" t="str">
        <f>IF('C6'!B63&lt;&gt;0,'C6'!B63,"")</f>
        <v/>
      </c>
    </row>
    <row r="67" spans="1:62" ht="12" thickBot="1" x14ac:dyDescent="0.4">
      <c r="AQ67" s="610" t="s">
        <v>2369</v>
      </c>
      <c r="AR67" s="2273" t="str">
        <f>IF('C5'!B65&lt;&gt;0,'C5'!B65,"")</f>
        <v/>
      </c>
      <c r="AT67" s="2272">
        <v>10</v>
      </c>
      <c r="AU67" s="2249" t="str">
        <f>IF('C6'!B64&lt;&gt;0,'C6'!B64,"")</f>
        <v/>
      </c>
    </row>
    <row r="68" spans="1:62" ht="12" thickBot="1" x14ac:dyDescent="0.4">
      <c r="AQ68" s="2747" t="s">
        <v>2372</v>
      </c>
      <c r="AR68" s="2748" t="str">
        <f>IF('C5'!B66&lt;&gt;0,'C5'!B66,"")</f>
        <v/>
      </c>
      <c r="AT68" s="2272">
        <v>11</v>
      </c>
      <c r="AU68" s="2249" t="str">
        <f>IF('C6'!B65&lt;&gt;0,'C6'!B65,"")</f>
        <v/>
      </c>
    </row>
    <row r="69" spans="1:62" ht="12" thickBot="1" x14ac:dyDescent="0.4">
      <c r="AQ69" s="3776" t="s">
        <v>2375</v>
      </c>
      <c r="AR69" s="2748"/>
      <c r="AT69" s="2272" t="s">
        <v>2919</v>
      </c>
      <c r="AU69" s="2249" t="str">
        <f>IF('C6'!B66&lt;&gt;0,'C6'!B66,"")</f>
        <v/>
      </c>
    </row>
    <row r="70" spans="1:62" x14ac:dyDescent="0.35">
      <c r="AT70" s="2272" t="s">
        <v>2920</v>
      </c>
      <c r="AU70" s="2249" t="str">
        <f>IF('C6'!B67&lt;&gt;0,'C6'!B67,"")</f>
        <v/>
      </c>
    </row>
    <row r="71" spans="1:62" x14ac:dyDescent="0.35">
      <c r="AT71" s="2272" t="s">
        <v>2921</v>
      </c>
      <c r="AU71" s="2249" t="str">
        <f>IF('C6'!B68&lt;&gt;0,'C6'!B68,"")</f>
        <v/>
      </c>
    </row>
    <row r="72" spans="1:62" x14ac:dyDescent="0.35">
      <c r="AT72" s="2272" t="s">
        <v>2922</v>
      </c>
      <c r="AU72" s="2249" t="str">
        <f>IF('C6'!B69&lt;&gt;0,'C6'!B69,"")</f>
        <v/>
      </c>
    </row>
    <row r="73" spans="1:62" x14ac:dyDescent="0.35">
      <c r="AT73" s="2272" t="s">
        <v>2923</v>
      </c>
      <c r="AU73" s="2249" t="str">
        <f>IF('C6'!B70&lt;&gt;0,'C6'!B70,"")</f>
        <v/>
      </c>
    </row>
    <row r="74" spans="1:62" x14ac:dyDescent="0.35">
      <c r="AT74" s="2272" t="s">
        <v>2924</v>
      </c>
      <c r="AU74" s="2249" t="str">
        <f>IF('C6'!B71&lt;&gt;0,'C6'!B71,"")</f>
        <v/>
      </c>
    </row>
    <row r="75" spans="1:62" x14ac:dyDescent="0.35">
      <c r="AT75" s="2272">
        <v>12</v>
      </c>
      <c r="AU75" s="2249" t="str">
        <f>IF('C6'!B72&lt;&gt;0,'C6'!B72,"")</f>
        <v/>
      </c>
    </row>
    <row r="76" spans="1:62" ht="12" thickBot="1" x14ac:dyDescent="0.4">
      <c r="AT76" s="2276">
        <v>13</v>
      </c>
      <c r="AU76" s="2249" t="str">
        <f>IF('C6'!B73&lt;&gt;0,'C6'!B73,"")</f>
        <v/>
      </c>
    </row>
    <row r="77" spans="1:62" ht="12" thickBot="1" x14ac:dyDescent="0.4">
      <c r="AT77" s="3144">
        <v>13.1</v>
      </c>
      <c r="AU77" s="3038" t="str">
        <f>IF('C6'!B74&lt;&gt;0,'C6'!B74,"")</f>
        <v/>
      </c>
    </row>
    <row r="78" spans="1:62" x14ac:dyDescent="0.35">
      <c r="A78" s="3837" t="s">
        <v>8495</v>
      </c>
      <c r="B78" s="3838"/>
      <c r="C78" s="3838"/>
      <c r="D78" s="3838"/>
      <c r="E78" s="3838"/>
      <c r="F78" s="3838"/>
      <c r="G78" s="3838"/>
      <c r="H78" s="3838"/>
      <c r="I78" s="3838"/>
      <c r="J78" s="3838"/>
      <c r="K78" s="3838"/>
      <c r="L78" s="3838"/>
      <c r="M78" s="3837"/>
      <c r="N78" s="3838"/>
      <c r="O78" s="3838"/>
      <c r="P78" s="3838"/>
      <c r="Q78" s="3838"/>
      <c r="R78" s="3838"/>
      <c r="S78" s="3838"/>
      <c r="T78" s="3838"/>
      <c r="U78" s="3838"/>
      <c r="V78" s="3838"/>
      <c r="W78" s="3838"/>
      <c r="X78" s="3838"/>
      <c r="Y78" s="3838"/>
      <c r="Z78" s="3838"/>
      <c r="AA78" s="3838"/>
      <c r="AB78" s="3839"/>
      <c r="AC78" s="3839"/>
      <c r="AD78" s="3839"/>
      <c r="AE78" s="3839"/>
      <c r="AF78" s="3839"/>
      <c r="AG78" s="3839"/>
      <c r="AH78" s="3839"/>
      <c r="AI78" s="3839"/>
      <c r="AJ78" s="3839"/>
      <c r="AK78" s="3839"/>
      <c r="AL78" s="3839"/>
      <c r="AM78" s="3839"/>
      <c r="AN78" s="3839"/>
      <c r="AO78" s="3839"/>
      <c r="AP78" s="3839"/>
      <c r="AQ78" s="3839"/>
      <c r="AR78" s="3839"/>
      <c r="AS78" s="3839"/>
      <c r="AT78" s="3839"/>
      <c r="AU78" s="3839"/>
      <c r="AV78" s="3839"/>
      <c r="AW78" s="3839"/>
      <c r="AX78" s="3839"/>
      <c r="AY78" s="3839"/>
      <c r="AZ78" s="3839"/>
      <c r="BA78" s="3839"/>
      <c r="BB78" s="3839"/>
      <c r="BC78" s="3839"/>
      <c r="BD78" s="3839"/>
      <c r="BE78" s="3839"/>
      <c r="BF78" s="3839"/>
      <c r="BG78" s="3839"/>
      <c r="BH78" s="3839"/>
      <c r="BI78" s="3837"/>
      <c r="BJ78" s="3839"/>
    </row>
    <row r="79" spans="1:62" x14ac:dyDescent="0.35">
      <c r="A79" s="590" t="s">
        <v>8496</v>
      </c>
    </row>
    <row r="80" spans="1:62" x14ac:dyDescent="0.35">
      <c r="A80" s="590" t="s">
        <v>8497</v>
      </c>
    </row>
    <row r="81" spans="1:1" x14ac:dyDescent="0.35">
      <c r="A81" s="590" t="s">
        <v>8498</v>
      </c>
    </row>
    <row r="82" spans="1:1" x14ac:dyDescent="0.35">
      <c r="A82" s="590" t="s">
        <v>8499</v>
      </c>
    </row>
    <row r="83" spans="1:1" x14ac:dyDescent="0.35">
      <c r="A83" s="590" t="s">
        <v>8500</v>
      </c>
    </row>
    <row r="84" spans="1:1" x14ac:dyDescent="0.35">
      <c r="A84" s="590" t="s">
        <v>8501</v>
      </c>
    </row>
    <row r="85" spans="1:1" x14ac:dyDescent="0.35">
      <c r="A85" s="590" t="s">
        <v>8502</v>
      </c>
    </row>
    <row r="86" spans="1:1" x14ac:dyDescent="0.35">
      <c r="A86" s="590" t="s">
        <v>8503</v>
      </c>
    </row>
    <row r="87" spans="1:1" x14ac:dyDescent="0.35">
      <c r="A87" s="590" t="s">
        <v>8502</v>
      </c>
    </row>
    <row r="88" spans="1:1" x14ac:dyDescent="0.35">
      <c r="A88" s="590" t="s">
        <v>8504</v>
      </c>
    </row>
    <row r="89" spans="1:1" x14ac:dyDescent="0.35">
      <c r="A89" s="590" t="s">
        <v>8505</v>
      </c>
    </row>
    <row r="90" spans="1:1" x14ac:dyDescent="0.35">
      <c r="A90" s="590" t="s">
        <v>8506</v>
      </c>
    </row>
  </sheetData>
  <phoneticPr fontId="68"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rgb="FFFFFF99"/>
  </sheetPr>
  <dimension ref="A1:BS168"/>
  <sheetViews>
    <sheetView showGridLines="0" zoomScale="119" zoomScaleNormal="85" workbookViewId="0">
      <pane xSplit="1" ySplit="1" topLeftCell="B80" activePane="bottomRight" state="frozen"/>
      <selection pane="topRight" activeCell="B1" sqref="B1"/>
      <selection pane="bottomLeft" activeCell="A2" sqref="A2"/>
      <selection pane="bottomRight" activeCell="G108" sqref="G108"/>
    </sheetView>
  </sheetViews>
  <sheetFormatPr defaultColWidth="9.1328125" defaultRowHeight="10.15" x14ac:dyDescent="0.3"/>
  <cols>
    <col min="1" max="1" width="11.86328125" style="6" customWidth="1"/>
    <col min="2" max="3" width="9.265625" style="6" customWidth="1"/>
    <col min="4" max="4" width="8.86328125" style="6" customWidth="1"/>
    <col min="5" max="5" width="9.1328125" style="6"/>
    <col min="6" max="6" width="9.265625" style="6" customWidth="1"/>
    <col min="7" max="7" width="9.59765625" style="6" customWidth="1"/>
    <col min="8" max="8" width="9.265625" style="6" customWidth="1"/>
    <col min="9" max="9" width="8.265625" style="6" customWidth="1"/>
    <col min="10" max="10" width="7.73046875" style="6" customWidth="1"/>
    <col min="11" max="14" width="8.1328125" style="6" customWidth="1"/>
    <col min="15" max="15" width="8.86328125" style="6" customWidth="1"/>
    <col min="16" max="16" width="7.73046875" style="6" customWidth="1"/>
    <col min="17" max="17" width="8.59765625" style="6" customWidth="1"/>
    <col min="18" max="18" width="9.73046875" style="6" customWidth="1"/>
    <col min="19" max="19" width="9.265625" style="6" customWidth="1"/>
    <col min="20" max="20" width="10.265625" style="6" customWidth="1"/>
    <col min="21" max="21" width="8.73046875" style="6" customWidth="1"/>
    <col min="22" max="22" width="8.86328125" style="6" customWidth="1"/>
    <col min="23" max="23" width="8.3984375" style="6" customWidth="1"/>
    <col min="24" max="16384" width="9.1328125" style="6"/>
  </cols>
  <sheetData>
    <row r="1" spans="1:71" x14ac:dyDescent="0.3">
      <c r="A1" s="56">
        <v>1</v>
      </c>
      <c r="B1" s="56">
        <v>2</v>
      </c>
      <c r="C1" s="56">
        <v>3</v>
      </c>
      <c r="D1" s="56">
        <v>4</v>
      </c>
      <c r="E1" s="56">
        <v>5</v>
      </c>
      <c r="F1" s="56">
        <v>6</v>
      </c>
      <c r="G1" s="56">
        <v>7</v>
      </c>
      <c r="H1" s="56">
        <v>8</v>
      </c>
      <c r="I1" s="56">
        <v>9</v>
      </c>
      <c r="J1" s="56">
        <v>10</v>
      </c>
      <c r="K1" s="56">
        <v>11</v>
      </c>
      <c r="L1" s="48">
        <v>12</v>
      </c>
      <c r="M1" s="48">
        <v>13</v>
      </c>
      <c r="N1" s="48">
        <v>14</v>
      </c>
      <c r="O1" s="48">
        <v>15</v>
      </c>
      <c r="P1" s="48">
        <v>16</v>
      </c>
      <c r="Q1" s="48">
        <v>17</v>
      </c>
      <c r="R1" s="48">
        <v>18</v>
      </c>
      <c r="S1" s="48">
        <v>19</v>
      </c>
      <c r="T1" s="48">
        <v>20</v>
      </c>
      <c r="U1" s="48">
        <v>21</v>
      </c>
      <c r="V1" s="48">
        <v>22</v>
      </c>
      <c r="W1" s="48">
        <v>23</v>
      </c>
      <c r="X1" s="48">
        <v>24</v>
      </c>
      <c r="Y1" s="48">
        <v>25</v>
      </c>
      <c r="Z1" s="48">
        <v>26</v>
      </c>
      <c r="AA1" s="48">
        <v>27</v>
      </c>
      <c r="AB1" s="48">
        <v>28</v>
      </c>
      <c r="AC1" s="48">
        <v>29</v>
      </c>
      <c r="AD1" s="48">
        <v>30</v>
      </c>
      <c r="AE1" s="48">
        <v>31</v>
      </c>
      <c r="AF1" s="48">
        <v>32</v>
      </c>
      <c r="AG1" s="48">
        <v>33</v>
      </c>
      <c r="AH1" s="48">
        <v>34</v>
      </c>
      <c r="AI1" s="48">
        <v>35</v>
      </c>
      <c r="AJ1" s="48">
        <v>36</v>
      </c>
      <c r="AK1" s="48">
        <v>37</v>
      </c>
      <c r="AL1" s="48">
        <v>38</v>
      </c>
      <c r="AM1" s="48">
        <v>39</v>
      </c>
      <c r="AN1" s="48">
        <v>40</v>
      </c>
      <c r="AO1" s="48">
        <v>41</v>
      </c>
      <c r="AP1" s="48">
        <v>42</v>
      </c>
      <c r="AQ1" s="48">
        <v>43</v>
      </c>
      <c r="AR1" s="48">
        <v>44</v>
      </c>
      <c r="AS1" s="48">
        <v>45</v>
      </c>
      <c r="AT1" s="48">
        <v>46</v>
      </c>
      <c r="AU1" s="48">
        <v>47</v>
      </c>
      <c r="AV1" s="48">
        <v>48</v>
      </c>
      <c r="AW1" s="48">
        <v>49</v>
      </c>
      <c r="AX1" s="48">
        <v>50</v>
      </c>
      <c r="AY1" s="48">
        <v>51</v>
      </c>
      <c r="AZ1" s="48">
        <v>52</v>
      </c>
      <c r="BA1" s="48">
        <v>53</v>
      </c>
      <c r="BB1" s="48">
        <v>54</v>
      </c>
      <c r="BC1" s="48">
        <v>55</v>
      </c>
      <c r="BD1" s="48">
        <v>56</v>
      </c>
      <c r="BE1" s="48">
        <v>57</v>
      </c>
      <c r="BF1" s="48">
        <v>58</v>
      </c>
      <c r="BG1" s="48">
        <v>59</v>
      </c>
      <c r="BH1" s="48">
        <v>60</v>
      </c>
      <c r="BI1" s="48">
        <v>61</v>
      </c>
      <c r="BJ1" s="48">
        <v>62</v>
      </c>
      <c r="BK1" s="48">
        <v>63</v>
      </c>
      <c r="BL1" s="48">
        <v>64</v>
      </c>
      <c r="BM1" s="48">
        <v>65</v>
      </c>
      <c r="BN1" s="48">
        <v>66</v>
      </c>
      <c r="BO1" s="48">
        <v>67</v>
      </c>
      <c r="BP1" s="48">
        <v>68</v>
      </c>
      <c r="BQ1" s="48">
        <v>69</v>
      </c>
      <c r="BR1" s="48">
        <v>70</v>
      </c>
      <c r="BS1" s="48">
        <v>71</v>
      </c>
    </row>
    <row r="2" spans="1:71" s="599" customFormat="1" x14ac:dyDescent="0.3">
      <c r="A2" s="597" t="s">
        <v>934</v>
      </c>
      <c r="B2" s="598" t="b">
        <f>OR(A97&gt;1,A101&gt;1,A105&gt;1,A109&gt;1,A113&gt;1)</f>
        <v>0</v>
      </c>
      <c r="V2" s="600"/>
      <c r="W2" s="600"/>
    </row>
    <row r="3" spans="1:71" s="599" customFormat="1" x14ac:dyDescent="0.3">
      <c r="A3" s="597" t="s">
        <v>4235</v>
      </c>
      <c r="B3" s="598" t="b">
        <f>OR(A85&gt;1,A89&gt;1,A93&gt;1,B16&lt;&gt;"",E16&lt;&gt;"" )</f>
        <v>1</v>
      </c>
      <c r="V3" s="600"/>
      <c r="W3" s="600"/>
    </row>
    <row r="4" spans="1:71" s="599" customFormat="1" x14ac:dyDescent="0.3">
      <c r="A4" s="601" t="s">
        <v>3532</v>
      </c>
      <c r="B4" s="601" t="b">
        <v>0</v>
      </c>
      <c r="M4" s="602"/>
      <c r="N4" s="602"/>
      <c r="O4" s="602"/>
      <c r="P4" s="600"/>
      <c r="Q4" s="600"/>
      <c r="R4" s="600"/>
      <c r="S4" s="600"/>
      <c r="T4" s="600"/>
      <c r="U4" s="600"/>
      <c r="V4" s="600"/>
      <c r="W4" s="600"/>
    </row>
    <row r="5" spans="1:71" x14ac:dyDescent="0.3">
      <c r="A5" s="503">
        <v>2</v>
      </c>
      <c r="B5" s="505" t="str">
        <f>YPD&amp;'INC(1)'!C4</f>
        <v>YPD1</v>
      </c>
      <c r="C5" s="509" t="str">
        <f>YPD&amp;'INC(1)'!C7</f>
        <v>YPDTR</v>
      </c>
      <c r="D5" s="502"/>
      <c r="E5" s="502"/>
      <c r="F5" s="502"/>
      <c r="G5" s="502"/>
      <c r="H5" s="502"/>
      <c r="I5" s="502"/>
      <c r="J5" s="502"/>
      <c r="K5" s="502"/>
      <c r="L5" s="502"/>
      <c r="M5" s="502"/>
      <c r="N5" s="502"/>
      <c r="O5" s="502"/>
      <c r="P5" s="502"/>
      <c r="Q5" s="502"/>
      <c r="R5" s="502"/>
      <c r="S5" s="502"/>
      <c r="T5" s="502"/>
      <c r="U5" s="502"/>
      <c r="V5" s="502"/>
    </row>
    <row r="6" spans="1:71" x14ac:dyDescent="0.3">
      <c r="A6" s="50" t="s">
        <v>3902</v>
      </c>
      <c r="B6" s="14" t="s">
        <v>5489</v>
      </c>
      <c r="C6" s="26" t="s">
        <v>6295</v>
      </c>
      <c r="D6" s="502"/>
      <c r="E6" s="502"/>
      <c r="F6" s="502"/>
      <c r="G6" s="502"/>
      <c r="H6" s="502"/>
      <c r="I6" s="502"/>
      <c r="J6" s="502"/>
      <c r="K6" s="502"/>
      <c r="L6" s="502"/>
      <c r="M6" s="502"/>
      <c r="N6" s="502"/>
      <c r="O6" s="502"/>
      <c r="P6" s="502"/>
      <c r="Q6" s="502"/>
      <c r="R6" s="502"/>
      <c r="S6" s="502"/>
      <c r="T6" s="502"/>
      <c r="U6" s="502"/>
      <c r="V6" s="502"/>
    </row>
    <row r="7" spans="1:71" x14ac:dyDescent="0.3">
      <c r="A7" s="1154">
        <v>3</v>
      </c>
      <c r="B7" s="14">
        <v>2</v>
      </c>
      <c r="C7" s="26">
        <v>1</v>
      </c>
      <c r="D7" s="502"/>
      <c r="E7" s="502"/>
      <c r="U7" s="502"/>
      <c r="V7" s="502"/>
    </row>
    <row r="8" spans="1:71" x14ac:dyDescent="0.3">
      <c r="A8" s="53"/>
      <c r="B8" s="15">
        <f>IF(Selector!A24=1,Selector!A24,2)</f>
        <v>2</v>
      </c>
      <c r="C8" s="27">
        <f>C0!B8</f>
        <v>1</v>
      </c>
      <c r="D8" s="502"/>
      <c r="E8" s="502"/>
      <c r="U8" s="502"/>
      <c r="V8" s="502"/>
    </row>
    <row r="9" spans="1:71" x14ac:dyDescent="0.3">
      <c r="A9" s="503">
        <v>3</v>
      </c>
      <c r="B9" s="505" t="str">
        <f>INC&amp;'INC(1)'!C13</f>
        <v>INC1</v>
      </c>
      <c r="C9" s="505" t="str">
        <f>INC&amp;'INC(1)'!C16</f>
        <v>INC2</v>
      </c>
      <c r="D9" s="505" t="str">
        <f>INC&amp;'INC(1)'!C19</f>
        <v>INC3</v>
      </c>
      <c r="E9" s="505" t="str">
        <f>INC&amp;'INC(1)'!I13</f>
        <v>INC4</v>
      </c>
      <c r="F9" s="505" t="str">
        <f>INC&amp;'INC(1)'!I16</f>
        <v>INC5</v>
      </c>
      <c r="G9" s="505" t="str">
        <f>INC&amp;'INC(1)'!I19</f>
        <v>INC6</v>
      </c>
      <c r="U9" s="502"/>
      <c r="V9" s="502"/>
    </row>
    <row r="10" spans="1:71" x14ac:dyDescent="0.3">
      <c r="A10" s="50" t="s">
        <v>3902</v>
      </c>
      <c r="B10" s="504" t="s">
        <v>2306</v>
      </c>
      <c r="C10" s="504" t="s">
        <v>2314</v>
      </c>
      <c r="D10" s="504" t="s">
        <v>2307</v>
      </c>
      <c r="E10" s="504" t="s">
        <v>5486</v>
      </c>
      <c r="F10" s="504" t="s">
        <v>5487</v>
      </c>
      <c r="G10" s="504" t="s">
        <v>5488</v>
      </c>
      <c r="U10" s="502"/>
      <c r="V10" s="502"/>
    </row>
    <row r="11" spans="1:71" x14ac:dyDescent="0.3">
      <c r="A11" s="52">
        <v>7</v>
      </c>
      <c r="B11" s="14" t="s">
        <v>685</v>
      </c>
      <c r="C11" s="14" t="s">
        <v>685</v>
      </c>
      <c r="D11" s="14" t="s">
        <v>685</v>
      </c>
      <c r="E11" s="14" t="s">
        <v>685</v>
      </c>
      <c r="F11" s="14" t="s">
        <v>685</v>
      </c>
      <c r="G11" s="14" t="s">
        <v>685</v>
      </c>
      <c r="U11" s="502"/>
      <c r="V11" s="502"/>
    </row>
    <row r="12" spans="1:71" x14ac:dyDescent="0.3">
      <c r="A12" s="53"/>
      <c r="B12" s="15">
        <f>C0!B11</f>
        <v>321</v>
      </c>
      <c r="C12" s="15">
        <f>C0!B12</f>
        <v>1625</v>
      </c>
      <c r="D12" s="15" t="str">
        <f>C0!B13</f>
        <v/>
      </c>
      <c r="E12" s="15">
        <f>C0!B14</f>
        <v>128</v>
      </c>
      <c r="F12" s="15" t="str">
        <f>C0!B15</f>
        <v/>
      </c>
      <c r="G12" s="15" t="str">
        <f>C0!B16</f>
        <v/>
      </c>
      <c r="U12" s="502"/>
      <c r="V12" s="502"/>
    </row>
    <row r="13" spans="1:71" x14ac:dyDescent="0.3">
      <c r="A13" s="62">
        <v>12</v>
      </c>
      <c r="B13" s="508" t="str">
        <f>INC&amp;'INC(2)'!C4</f>
        <v>INC8</v>
      </c>
      <c r="C13" s="508" t="str">
        <f>INC&amp;'INC(2)'!C7</f>
        <v>INC9</v>
      </c>
      <c r="D13" s="509" t="str">
        <f>INC&amp;'INC(2)'!C10</f>
        <v>INC10</v>
      </c>
      <c r="E13" s="509" t="str">
        <f>INC&amp;'INC(2)'!C13</f>
        <v>INC11</v>
      </c>
      <c r="F13" s="509" t="str">
        <f>INC&amp;'INC(2)'!G4</f>
        <v>INC12</v>
      </c>
      <c r="G13" s="509" t="str">
        <f>INC&amp;'INC(2)'!G7</f>
        <v>INC13</v>
      </c>
      <c r="H13" s="509" t="str">
        <f>INC&amp;'INC(2)'!G10</f>
        <v>INC14</v>
      </c>
      <c r="I13" s="509" t="str">
        <f>INC&amp;'INC(2)'!G13</f>
        <v>INC15</v>
      </c>
      <c r="J13" s="509" t="str">
        <f>INC&amp;'INC(2)'!G16</f>
        <v>INC16</v>
      </c>
      <c r="U13" s="502"/>
      <c r="V13" s="502"/>
    </row>
    <row r="14" spans="1:71" x14ac:dyDescent="0.3">
      <c r="A14" s="50" t="s">
        <v>2302</v>
      </c>
      <c r="B14" s="510" t="s">
        <v>2303</v>
      </c>
      <c r="C14" s="510" t="s">
        <v>2304</v>
      </c>
      <c r="D14" s="510" t="s">
        <v>2305</v>
      </c>
      <c r="E14" s="510" t="s">
        <v>2306</v>
      </c>
      <c r="F14" s="511" t="s">
        <v>683</v>
      </c>
      <c r="G14" s="510" t="s">
        <v>2966</v>
      </c>
      <c r="H14" s="510" t="s">
        <v>680</v>
      </c>
      <c r="I14" s="510" t="s">
        <v>684</v>
      </c>
      <c r="J14" s="510" t="s">
        <v>644</v>
      </c>
      <c r="O14" s="502"/>
      <c r="P14" s="502"/>
      <c r="Q14" s="502"/>
      <c r="R14" s="502"/>
      <c r="S14" s="502"/>
      <c r="T14" s="502"/>
      <c r="U14" s="502"/>
      <c r="V14" s="502"/>
    </row>
    <row r="15" spans="1:71" x14ac:dyDescent="0.3">
      <c r="A15" s="52">
        <v>10</v>
      </c>
      <c r="B15" s="26" t="s">
        <v>685</v>
      </c>
      <c r="C15" s="26" t="s">
        <v>685</v>
      </c>
      <c r="D15" s="26" t="s">
        <v>685</v>
      </c>
      <c r="E15" s="26" t="s">
        <v>685</v>
      </c>
      <c r="F15" s="26" t="s">
        <v>685</v>
      </c>
      <c r="G15" s="26" t="s">
        <v>685</v>
      </c>
      <c r="H15" s="26" t="s">
        <v>685</v>
      </c>
      <c r="I15" s="26" t="s">
        <v>685</v>
      </c>
      <c r="J15" s="26" t="s">
        <v>685</v>
      </c>
      <c r="O15" s="502"/>
      <c r="P15" s="502"/>
      <c r="Q15" s="502"/>
      <c r="R15" s="502"/>
      <c r="S15" s="502"/>
      <c r="T15" s="502"/>
      <c r="U15" s="502"/>
      <c r="V15" s="502"/>
    </row>
    <row r="16" spans="1:71" x14ac:dyDescent="0.3">
      <c r="A16" s="53"/>
      <c r="B16" s="591">
        <f>C0!B20</f>
        <v>14206</v>
      </c>
      <c r="C16" s="591" t="str">
        <f>C0!B21</f>
        <v/>
      </c>
      <c r="D16" s="592" t="str">
        <f>C0!B22</f>
        <v/>
      </c>
      <c r="E16" s="592">
        <f>C0!B23</f>
        <v>5300</v>
      </c>
      <c r="F16" s="592">
        <f>C0!B24</f>
        <v>1060</v>
      </c>
      <c r="G16" s="592" t="str">
        <f>C0!B25</f>
        <v/>
      </c>
      <c r="H16" s="592" t="str">
        <f>C0!B26</f>
        <v/>
      </c>
      <c r="I16" s="592" t="str">
        <f>C0!B27</f>
        <v/>
      </c>
      <c r="J16" s="592" t="str">
        <f>C0!B28</f>
        <v/>
      </c>
      <c r="O16" s="502"/>
      <c r="P16" s="502"/>
      <c r="Q16" s="502"/>
      <c r="R16" s="502"/>
      <c r="S16" s="502"/>
      <c r="T16" s="502"/>
      <c r="U16" s="502"/>
      <c r="V16" s="502"/>
    </row>
    <row r="17" spans="1:22" x14ac:dyDescent="0.3">
      <c r="A17" s="62">
        <v>1</v>
      </c>
      <c r="B17" s="505" t="str">
        <f>INC&amp;'INC(2)'!C22</f>
        <v>INC17</v>
      </c>
      <c r="C17" s="505" t="str">
        <f>INC&amp;'INC(2)'!C25</f>
        <v>INC18</v>
      </c>
      <c r="D17" s="505" t="str">
        <f>INC&amp;'INC(2)'!C28</f>
        <v>INC19</v>
      </c>
      <c r="E17" s="505" t="str">
        <f>INC&amp;'INC(2)'!G22</f>
        <v>INC20</v>
      </c>
      <c r="G17" s="502"/>
    </row>
    <row r="18" spans="1:22" x14ac:dyDescent="0.3">
      <c r="A18" s="50" t="s">
        <v>2302</v>
      </c>
      <c r="B18" s="14" t="s">
        <v>2308</v>
      </c>
      <c r="C18" s="504" t="s">
        <v>2309</v>
      </c>
      <c r="D18" s="506" t="s">
        <v>2316</v>
      </c>
      <c r="E18" s="504" t="s">
        <v>2315</v>
      </c>
      <c r="G18" s="502"/>
    </row>
    <row r="19" spans="1:22" x14ac:dyDescent="0.3">
      <c r="A19" s="52">
        <v>5</v>
      </c>
      <c r="B19" s="14" t="s">
        <v>685</v>
      </c>
      <c r="C19" s="14" t="s">
        <v>685</v>
      </c>
      <c r="D19" s="14" t="s">
        <v>685</v>
      </c>
      <c r="E19" s="14" t="s">
        <v>685</v>
      </c>
      <c r="G19" s="502"/>
    </row>
    <row r="20" spans="1:22" x14ac:dyDescent="0.3">
      <c r="A20" s="53"/>
      <c r="B20" s="628" t="str">
        <f>C0!B31</f>
        <v/>
      </c>
      <c r="C20" s="514" t="str">
        <f>C0!B32</f>
        <v/>
      </c>
      <c r="D20" s="628" t="str">
        <f>C0!B33</f>
        <v/>
      </c>
      <c r="E20" s="628" t="str">
        <f>C0!B34</f>
        <v/>
      </c>
      <c r="G20" s="502"/>
    </row>
    <row r="21" spans="1:22" x14ac:dyDescent="0.3">
      <c r="A21" s="62">
        <v>1</v>
      </c>
      <c r="B21" s="507" t="str">
        <f>REL&amp;'REL(1)'!C6</f>
        <v>REL1</v>
      </c>
      <c r="C21" s="505" t="str">
        <f>REL&amp;'REL(1)'!C9</f>
        <v>REL2</v>
      </c>
      <c r="D21" s="505" t="str">
        <f>REL&amp;'REL(1)'!H6</f>
        <v>REL3</v>
      </c>
      <c r="E21" s="505" t="str">
        <f>REL&amp;'REL(1)'!H9</f>
        <v>REL4</v>
      </c>
      <c r="U21" s="58"/>
      <c r="V21" s="58"/>
    </row>
    <row r="22" spans="1:22" x14ac:dyDescent="0.3">
      <c r="A22" s="50" t="s">
        <v>2395</v>
      </c>
      <c r="B22" s="504" t="s">
        <v>550</v>
      </c>
      <c r="C22" s="504" t="s">
        <v>1945</v>
      </c>
      <c r="D22" s="504" t="s">
        <v>4123</v>
      </c>
      <c r="E22" s="504" t="s">
        <v>4124</v>
      </c>
      <c r="U22" s="58"/>
      <c r="V22" s="58"/>
    </row>
    <row r="23" spans="1:22" x14ac:dyDescent="0.3">
      <c r="A23" s="52">
        <v>5</v>
      </c>
      <c r="B23" s="14" t="s">
        <v>685</v>
      </c>
      <c r="C23" s="14" t="s">
        <v>685</v>
      </c>
      <c r="D23" s="14" t="s">
        <v>685</v>
      </c>
      <c r="E23" s="14" t="s">
        <v>685</v>
      </c>
      <c r="U23" s="58"/>
      <c r="V23" s="58"/>
    </row>
    <row r="24" spans="1:22" x14ac:dyDescent="0.3">
      <c r="A24" s="53"/>
      <c r="B24" s="15" t="str">
        <f>IF(C0!B38=0,"",C0!B38)</f>
        <v/>
      </c>
      <c r="C24" s="15" t="str">
        <f>IF(C0!B39=0,"",C0!B39)</f>
        <v/>
      </c>
      <c r="D24" s="15" t="str">
        <f>IF(C0!B40=0,"",C0!B40)</f>
        <v/>
      </c>
      <c r="E24" s="15" t="str">
        <f>IF(C0!B41=0,"",C0!B41)</f>
        <v/>
      </c>
      <c r="U24" s="58"/>
      <c r="V24" s="58"/>
    </row>
    <row r="25" spans="1:22" x14ac:dyDescent="0.3">
      <c r="A25" s="62">
        <v>3</v>
      </c>
      <c r="B25" s="505" t="str">
        <f>REL&amp;'REL(1)'!C16</f>
        <v>REL5</v>
      </c>
      <c r="C25" s="505" t="str">
        <f>REL&amp;'REL(1)'!C22</f>
        <v>REL7</v>
      </c>
      <c r="D25" s="505" t="str">
        <f>REL&amp;'REL(1)'!H16</f>
        <v>REL8</v>
      </c>
      <c r="E25" s="505" t="str">
        <f>REL&amp;'REL(1)'!H19</f>
        <v>REL9</v>
      </c>
      <c r="F25" s="505" t="str">
        <f>REL&amp;'REL(1)'!H22</f>
        <v>REL10</v>
      </c>
      <c r="U25" s="58"/>
      <c r="V25" s="58"/>
    </row>
    <row r="26" spans="1:22" x14ac:dyDescent="0.3">
      <c r="A26" s="50" t="s">
        <v>2395</v>
      </c>
      <c r="B26" s="510" t="s">
        <v>2314</v>
      </c>
      <c r="C26" s="510" t="s">
        <v>2308</v>
      </c>
      <c r="D26" s="510" t="s">
        <v>4125</v>
      </c>
      <c r="E26" s="510" t="s">
        <v>4126</v>
      </c>
      <c r="F26" s="510" t="s">
        <v>1982</v>
      </c>
      <c r="U26" s="58"/>
      <c r="V26" s="58"/>
    </row>
    <row r="27" spans="1:22" x14ac:dyDescent="0.3">
      <c r="A27" s="52">
        <v>6</v>
      </c>
      <c r="B27" s="26" t="s">
        <v>685</v>
      </c>
      <c r="C27" s="26" t="s">
        <v>685</v>
      </c>
      <c r="D27" s="26" t="s">
        <v>685</v>
      </c>
      <c r="E27" s="26" t="s">
        <v>685</v>
      </c>
      <c r="F27" s="26" t="s">
        <v>685</v>
      </c>
      <c r="U27" s="58"/>
      <c r="V27" s="58"/>
    </row>
    <row r="28" spans="1:22" x14ac:dyDescent="0.3">
      <c r="A28" s="53"/>
      <c r="B28" s="593">
        <f>IF(C0!B44=0,"",C0!B44)</f>
        <v>3450</v>
      </c>
      <c r="C28" s="593" t="str">
        <f>IF(C0!B46=0,"",C0!B46)</f>
        <v/>
      </c>
      <c r="D28" s="593" t="str">
        <f>IF(C0!B47=0,"",C0!B47)</f>
        <v/>
      </c>
      <c r="E28" s="593" t="str">
        <f>IF(C0!B48=0,"",C0!B48)</f>
        <v/>
      </c>
      <c r="F28" s="593" t="str">
        <f>IF(C0!B49=0,"",C0!B49)</f>
        <v/>
      </c>
      <c r="U28" s="58"/>
      <c r="V28" s="58"/>
    </row>
    <row r="29" spans="1:22" x14ac:dyDescent="0.3">
      <c r="A29" s="62">
        <v>1</v>
      </c>
      <c r="B29" s="505" t="str">
        <f>REL&amp;'REL(2)'!C4&amp;" BPR"</f>
        <v>REL13 BPR</v>
      </c>
    </row>
    <row r="30" spans="1:22" x14ac:dyDescent="0.3">
      <c r="A30" s="50" t="s">
        <v>2396</v>
      </c>
      <c r="B30" s="14" t="s">
        <v>4127</v>
      </c>
    </row>
    <row r="31" spans="1:22" x14ac:dyDescent="0.3">
      <c r="A31" s="1154">
        <v>2</v>
      </c>
      <c r="B31" s="14" t="b">
        <v>0</v>
      </c>
    </row>
    <row r="32" spans="1:22" x14ac:dyDescent="0.3">
      <c r="A32" s="53"/>
      <c r="B32" s="15" t="b">
        <f>C0!B54="Y"</f>
        <v>0</v>
      </c>
    </row>
    <row r="33" spans="1:22" x14ac:dyDescent="0.3">
      <c r="A33" s="62">
        <v>1</v>
      </c>
      <c r="B33" s="505" t="str">
        <f>SLR&amp;'REL(2)'!C11</f>
        <v>SLR1</v>
      </c>
      <c r="C33" s="509" t="str">
        <f>SLR&amp;'REL(2)'!C13</f>
        <v>SLRPT</v>
      </c>
      <c r="D33" s="505" t="str">
        <f>SLR&amp;'REL(2)'!G11</f>
        <v>SLR2</v>
      </c>
    </row>
    <row r="34" spans="1:22" x14ac:dyDescent="0.3">
      <c r="A34" s="50" t="s">
        <v>2396</v>
      </c>
      <c r="B34" s="26" t="s">
        <v>4128</v>
      </c>
      <c r="C34" s="26" t="s">
        <v>5604</v>
      </c>
      <c r="D34" s="511" t="s">
        <v>681</v>
      </c>
    </row>
    <row r="35" spans="1:22" x14ac:dyDescent="0.3">
      <c r="A35" s="1154">
        <v>4</v>
      </c>
      <c r="B35" s="26" t="b">
        <v>0</v>
      </c>
      <c r="C35" s="26">
        <v>3</v>
      </c>
      <c r="D35" s="14" t="s">
        <v>685</v>
      </c>
    </row>
    <row r="36" spans="1:22" x14ac:dyDescent="0.3">
      <c r="A36" s="53"/>
      <c r="B36" s="1568" t="b">
        <f>C0!B60="Y"</f>
        <v>0</v>
      </c>
      <c r="C36" s="2741" t="str">
        <f>C0!B61</f>
        <v/>
      </c>
      <c r="D36" s="594" t="str">
        <f>C0!B62</f>
        <v/>
      </c>
    </row>
    <row r="37" spans="1:22" x14ac:dyDescent="0.3">
      <c r="A37" s="62">
        <v>1</v>
      </c>
      <c r="B37" s="505" t="str">
        <f>'REL(2)'!K18&amp;'REL(2)'!C20</f>
        <v>CBC1</v>
      </c>
    </row>
    <row r="38" spans="1:22" x14ac:dyDescent="0.3">
      <c r="A38" s="50" t="s">
        <v>2396</v>
      </c>
      <c r="B38" s="26" t="s">
        <v>2313</v>
      </c>
    </row>
    <row r="39" spans="1:22" x14ac:dyDescent="0.3">
      <c r="A39" s="52">
        <v>2</v>
      </c>
      <c r="B39" s="14" t="s">
        <v>685</v>
      </c>
    </row>
    <row r="40" spans="1:22" x14ac:dyDescent="0.3">
      <c r="A40" s="53"/>
      <c r="B40" s="990" t="str">
        <f>C0!B66</f>
        <v/>
      </c>
    </row>
    <row r="41" spans="1:22" x14ac:dyDescent="0.3">
      <c r="A41" s="62">
        <v>1</v>
      </c>
      <c r="B41" s="509" t="str">
        <f>'REL(2)'!K25&amp;'REL(2)'!C27</f>
        <v>MAT1-5</v>
      </c>
      <c r="C41" s="509" t="str">
        <f>'REL(2)'!K25&amp;'REL(2)'!C33</f>
        <v>MATM_O</v>
      </c>
      <c r="D41" s="509" t="str">
        <f>'REL(2)'!K25&amp;'REL(2)'!G33</f>
        <v>MATM_I</v>
      </c>
    </row>
    <row r="42" spans="1:22" x14ac:dyDescent="0.3">
      <c r="A42" s="1644" t="s">
        <v>2396</v>
      </c>
      <c r="B42" s="26" t="s">
        <v>4582</v>
      </c>
      <c r="C42" s="26" t="s">
        <v>4824</v>
      </c>
      <c r="D42" s="26" t="s">
        <v>4825</v>
      </c>
    </row>
    <row r="43" spans="1:22" x14ac:dyDescent="0.3">
      <c r="A43" s="1154">
        <v>4</v>
      </c>
      <c r="B43" s="26" t="b">
        <v>0</v>
      </c>
      <c r="C43" s="26" t="b">
        <v>0</v>
      </c>
      <c r="D43" s="26" t="b">
        <v>0</v>
      </c>
    </row>
    <row r="44" spans="1:22" x14ac:dyDescent="0.3">
      <c r="A44" s="1645"/>
      <c r="B44" s="27" t="b">
        <f>C0!B71="Y"</f>
        <v>0</v>
      </c>
      <c r="C44" s="27" t="b">
        <f>C0!B77="Y"</f>
        <v>0</v>
      </c>
      <c r="D44" s="27" t="b">
        <f>C0!B78="Y"</f>
        <v>0</v>
      </c>
    </row>
    <row r="45" spans="1:22" x14ac:dyDescent="0.3">
      <c r="A45" s="596">
        <v>2</v>
      </c>
      <c r="B45" s="505" t="str">
        <f>FIN&amp;'REL(2)'!C40</f>
        <v>FIN1</v>
      </c>
      <c r="C45" s="599"/>
      <c r="D45" s="502"/>
      <c r="E45" s="502"/>
      <c r="U45" s="502"/>
      <c r="V45" s="502"/>
    </row>
    <row r="46" spans="1:22" x14ac:dyDescent="0.3">
      <c r="A46" s="50" t="s">
        <v>2396</v>
      </c>
      <c r="B46" s="511" t="s">
        <v>4658</v>
      </c>
      <c r="C46" s="599"/>
      <c r="D46" s="502"/>
      <c r="E46" s="502"/>
      <c r="U46" s="502"/>
      <c r="V46" s="502"/>
    </row>
    <row r="47" spans="1:22" x14ac:dyDescent="0.3">
      <c r="A47" s="52">
        <v>2</v>
      </c>
      <c r="B47" s="14" t="s">
        <v>685</v>
      </c>
      <c r="C47" s="599"/>
      <c r="D47" s="502"/>
      <c r="E47" s="502"/>
      <c r="U47" s="502"/>
      <c r="V47" s="502"/>
    </row>
    <row r="48" spans="1:22" x14ac:dyDescent="0.3">
      <c r="A48" s="53"/>
      <c r="B48" s="15">
        <f>IF(Selector!H4="","",Selector!H4)</f>
        <v>0</v>
      </c>
      <c r="C48" s="599"/>
      <c r="D48" s="502"/>
      <c r="E48" s="502"/>
      <c r="U48" s="502"/>
      <c r="V48" s="502"/>
    </row>
    <row r="49" spans="1:9" x14ac:dyDescent="0.3">
      <c r="A49" s="62">
        <v>1</v>
      </c>
      <c r="B49" s="505" t="str">
        <f>AOI&amp;AOI!C5</f>
        <v>AOI2</v>
      </c>
      <c r="C49" s="505" t="str">
        <f>AOI&amp;AOI!G7</f>
        <v>AOI3</v>
      </c>
    </row>
    <row r="50" spans="1:9" x14ac:dyDescent="0.3">
      <c r="A50" s="50" t="s">
        <v>3570</v>
      </c>
      <c r="B50" s="504" t="s">
        <v>2311</v>
      </c>
      <c r="C50" s="14" t="s">
        <v>2966</v>
      </c>
    </row>
    <row r="51" spans="1:9" x14ac:dyDescent="0.3">
      <c r="A51" s="52">
        <v>3</v>
      </c>
      <c r="B51" s="14" t="s">
        <v>685</v>
      </c>
      <c r="C51" s="14" t="s">
        <v>685</v>
      </c>
    </row>
    <row r="52" spans="1:9" x14ac:dyDescent="0.3">
      <c r="A52" s="53"/>
      <c r="B52" s="15" t="str">
        <f>'C1'!B5</f>
        <v/>
      </c>
      <c r="C52" s="15" t="str">
        <f>'C1'!B6</f>
        <v/>
      </c>
    </row>
    <row r="53" spans="1:9" x14ac:dyDescent="0.3">
      <c r="A53" s="62">
        <v>1</v>
      </c>
      <c r="B53" s="505" t="str">
        <f>AOI&amp;AOI!C13</f>
        <v>AOI4</v>
      </c>
      <c r="C53" s="505" t="str">
        <f>AOI&amp;AOI!C16</f>
        <v>AOI5</v>
      </c>
      <c r="D53" s="505" t="str">
        <f>AOI&amp;AOI!C19</f>
        <v>AOI6</v>
      </c>
      <c r="E53" s="505" t="str">
        <f>AOI&amp;AOI!C22</f>
        <v>AOI7</v>
      </c>
      <c r="F53" s="505" t="str">
        <f>AOI&amp;AOI!G13</f>
        <v>AOI8</v>
      </c>
      <c r="G53" s="505" t="str">
        <f>AOI&amp;AOI!G16</f>
        <v>AOI9</v>
      </c>
      <c r="H53" s="505" t="str">
        <f>AOI&amp;AOI!G19</f>
        <v>AOI10</v>
      </c>
      <c r="I53" s="505" t="str">
        <f>AOI&amp;AOI!G22</f>
        <v>AOI11</v>
      </c>
    </row>
    <row r="54" spans="1:9" x14ac:dyDescent="0.3">
      <c r="A54" s="50" t="s">
        <v>3570</v>
      </c>
      <c r="B54" s="504" t="s">
        <v>2306</v>
      </c>
      <c r="C54" s="14" t="s">
        <v>2314</v>
      </c>
      <c r="D54" s="504" t="s">
        <v>2307</v>
      </c>
      <c r="E54" s="14" t="s">
        <v>2308</v>
      </c>
      <c r="F54" s="14" t="s">
        <v>684</v>
      </c>
      <c r="G54" s="14" t="s">
        <v>644</v>
      </c>
      <c r="H54" s="506" t="s">
        <v>2310</v>
      </c>
      <c r="I54" s="14" t="s">
        <v>2315</v>
      </c>
    </row>
    <row r="55" spans="1:9" x14ac:dyDescent="0.3">
      <c r="A55" s="52">
        <v>9</v>
      </c>
      <c r="B55" s="14" t="s">
        <v>685</v>
      </c>
      <c r="C55" s="14" t="s">
        <v>685</v>
      </c>
      <c r="D55" s="14" t="s">
        <v>685</v>
      </c>
      <c r="E55" s="14" t="s">
        <v>685</v>
      </c>
      <c r="F55" s="14" t="s">
        <v>685</v>
      </c>
      <c r="G55" s="14" t="s">
        <v>685</v>
      </c>
      <c r="H55" s="14" t="s">
        <v>685</v>
      </c>
      <c r="I55" s="14" t="s">
        <v>685</v>
      </c>
    </row>
    <row r="56" spans="1:9" x14ac:dyDescent="0.3">
      <c r="A56" s="53"/>
      <c r="B56" s="15" t="str">
        <f>'C1'!B10</f>
        <v/>
      </c>
      <c r="C56" s="15" t="str">
        <f>'C1'!B11</f>
        <v/>
      </c>
      <c r="D56" s="15" t="str">
        <f>'C1'!B12</f>
        <v/>
      </c>
      <c r="E56" s="15" t="str">
        <f>'C1'!B13</f>
        <v/>
      </c>
      <c r="F56" s="15" t="str">
        <f>'C1'!B14</f>
        <v/>
      </c>
      <c r="G56" s="15" t="str">
        <f>'C1'!B15</f>
        <v/>
      </c>
      <c r="H56" s="15" t="str">
        <f>'C1'!B16</f>
        <v/>
      </c>
      <c r="I56" s="15" t="str">
        <f>'C1'!B17</f>
        <v/>
      </c>
    </row>
    <row r="57" spans="1:9" x14ac:dyDescent="0.3">
      <c r="A57" s="62">
        <v>1</v>
      </c>
      <c r="B57" s="507" t="str">
        <f>AOI&amp;AOI!C28</f>
        <v>AOI12</v>
      </c>
      <c r="C57" s="507" t="str">
        <f>AOI&amp;AOI!G28</f>
        <v>AOI13</v>
      </c>
    </row>
    <row r="58" spans="1:9" x14ac:dyDescent="0.3">
      <c r="A58" s="50" t="s">
        <v>3570</v>
      </c>
      <c r="B58" s="504" t="s">
        <v>2316</v>
      </c>
      <c r="C58" s="504" t="s">
        <v>2317</v>
      </c>
    </row>
    <row r="59" spans="1:9" x14ac:dyDescent="0.3">
      <c r="A59" s="52">
        <v>3</v>
      </c>
      <c r="B59" s="14" t="s">
        <v>685</v>
      </c>
      <c r="C59" s="14" t="s">
        <v>685</v>
      </c>
    </row>
    <row r="60" spans="1:9" x14ac:dyDescent="0.3">
      <c r="A60" s="53"/>
      <c r="B60" s="594" t="str">
        <f>'C1'!B21</f>
        <v/>
      </c>
      <c r="C60" s="15" t="str">
        <f>'C1'!B22</f>
        <v/>
      </c>
    </row>
    <row r="61" spans="1:9" x14ac:dyDescent="0.3">
      <c r="A61" s="62">
        <v>1</v>
      </c>
      <c r="B61" s="509" t="str">
        <f>ASE&amp;ASE!C5</f>
        <v>ASE1</v>
      </c>
    </row>
    <row r="62" spans="1:9" x14ac:dyDescent="0.3">
      <c r="A62" s="50" t="s">
        <v>6</v>
      </c>
      <c r="B62" s="510" t="s">
        <v>2311</v>
      </c>
    </row>
    <row r="63" spans="1:9" x14ac:dyDescent="0.3">
      <c r="A63" s="52">
        <v>2</v>
      </c>
      <c r="B63" s="26" t="s">
        <v>685</v>
      </c>
    </row>
    <row r="64" spans="1:9" x14ac:dyDescent="0.3">
      <c r="A64" s="53"/>
      <c r="B64" s="27" t="str">
        <f>'C1'!B28</f>
        <v/>
      </c>
    </row>
    <row r="65" spans="1:12" x14ac:dyDescent="0.3">
      <c r="A65" s="62">
        <v>1</v>
      </c>
      <c r="B65" s="509" t="str">
        <f>ASE&amp;ASE!C8</f>
        <v>ASE3</v>
      </c>
      <c r="C65" s="509" t="str">
        <f>ASE&amp;ASE!C11</f>
        <v>ASE4</v>
      </c>
      <c r="D65" s="509" t="str">
        <f>ASE&amp;ASE!C14</f>
        <v>ASE5</v>
      </c>
      <c r="E65" s="509" t="str">
        <f>ASE&amp;ASE!C17</f>
        <v>ASE6</v>
      </c>
    </row>
    <row r="66" spans="1:12" x14ac:dyDescent="0.3">
      <c r="A66" s="50" t="s">
        <v>6</v>
      </c>
      <c r="B66" s="512" t="s">
        <v>2312</v>
      </c>
      <c r="C66" s="512" t="s">
        <v>1666</v>
      </c>
      <c r="D66" s="512" t="s">
        <v>1570</v>
      </c>
      <c r="E66" s="512" t="s">
        <v>1667</v>
      </c>
    </row>
    <row r="67" spans="1:12" x14ac:dyDescent="0.3">
      <c r="A67" s="52">
        <v>5</v>
      </c>
      <c r="B67" s="26" t="s">
        <v>685</v>
      </c>
      <c r="C67" s="26" t="s">
        <v>685</v>
      </c>
      <c r="D67" s="26" t="s">
        <v>685</v>
      </c>
      <c r="E67" s="26" t="s">
        <v>685</v>
      </c>
    </row>
    <row r="68" spans="1:12" x14ac:dyDescent="0.3">
      <c r="B68" s="27" t="str">
        <f>'C1'!B32</f>
        <v/>
      </c>
      <c r="C68" s="27" t="str">
        <f>'C1'!B33</f>
        <v/>
      </c>
      <c r="D68" s="27" t="str">
        <f>'C1'!B34</f>
        <v/>
      </c>
      <c r="E68" s="27" t="str">
        <f>'C1'!B35</f>
        <v/>
      </c>
    </row>
    <row r="69" spans="1:12" x14ac:dyDescent="0.3">
      <c r="A69" s="62">
        <v>1</v>
      </c>
      <c r="B69" s="509" t="str">
        <f>ASE&amp;ASE!G11</f>
        <v>ASE11</v>
      </c>
      <c r="C69" s="509" t="str">
        <f>ASE&amp;ASE!G14</f>
        <v>ASE12</v>
      </c>
      <c r="D69" s="509" t="str">
        <f>ASE&amp;ASE!G17</f>
        <v>ASE13</v>
      </c>
      <c r="E69" s="509" t="str">
        <f>ASE&amp;ASE!G20</f>
        <v>ASE15</v>
      </c>
    </row>
    <row r="70" spans="1:12" x14ac:dyDescent="0.3">
      <c r="A70" s="50" t="s">
        <v>6</v>
      </c>
      <c r="B70" s="512" t="s">
        <v>681</v>
      </c>
      <c r="C70" s="513" t="s">
        <v>682</v>
      </c>
      <c r="D70" s="513" t="s">
        <v>1986</v>
      </c>
      <c r="E70" s="513" t="s">
        <v>1668</v>
      </c>
    </row>
    <row r="71" spans="1:12" x14ac:dyDescent="0.3">
      <c r="A71" s="52">
        <v>5</v>
      </c>
      <c r="B71" s="26" t="s">
        <v>685</v>
      </c>
      <c r="C71" s="14" t="s">
        <v>685</v>
      </c>
      <c r="D71" s="14" t="s">
        <v>685</v>
      </c>
      <c r="E71" s="14" t="s">
        <v>685</v>
      </c>
    </row>
    <row r="72" spans="1:12" x14ac:dyDescent="0.3">
      <c r="A72" s="53"/>
      <c r="B72" s="27" t="str">
        <f>'C1'!B43</f>
        <v/>
      </c>
      <c r="C72" s="27" t="str">
        <f>'C1'!B44</f>
        <v/>
      </c>
      <c r="D72" s="27" t="str">
        <f>'C1'!B45</f>
        <v/>
      </c>
      <c r="E72" s="27" t="str">
        <f>'C1'!B47</f>
        <v/>
      </c>
    </row>
    <row r="73" spans="1:12" x14ac:dyDescent="0.3">
      <c r="A73" s="62">
        <v>1</v>
      </c>
      <c r="B73" s="505" t="str">
        <f>AOR&amp;AOR!C5</f>
        <v>AOR1</v>
      </c>
      <c r="C73" s="505" t="str">
        <f>AOR&amp;AOR!C8</f>
        <v>AOR2</v>
      </c>
      <c r="D73" s="505" t="str">
        <f>AOR&amp;AOR!C11</f>
        <v>AOR3</v>
      </c>
      <c r="E73" s="505" t="str">
        <f>AOR&amp;AOR!C14</f>
        <v>AOR4</v>
      </c>
      <c r="F73" s="505" t="str">
        <f>AOR&amp;AOR!C17</f>
        <v>AOR5</v>
      </c>
      <c r="G73" s="505" t="str">
        <f>AOR&amp;AOR!C20</f>
        <v>AOR6</v>
      </c>
      <c r="H73" s="505" t="str">
        <f>AOR&amp;AOR!G5</f>
        <v>AOR7</v>
      </c>
      <c r="I73" s="505" t="str">
        <f>AOR&amp;AOR!G8</f>
        <v>AOR8</v>
      </c>
      <c r="J73" s="505" t="str">
        <f>AOR&amp;AOR!G11</f>
        <v>AOR9</v>
      </c>
      <c r="K73" s="505" t="str">
        <f>AOR&amp;AOR!G14</f>
        <v>AOR10</v>
      </c>
      <c r="L73" s="505" t="str">
        <f>AOR&amp;AOR!G17</f>
        <v>AOR11</v>
      </c>
    </row>
    <row r="74" spans="1:12" x14ac:dyDescent="0.3">
      <c r="A74" s="50" t="s">
        <v>4112</v>
      </c>
      <c r="B74" s="504" t="s">
        <v>2311</v>
      </c>
      <c r="C74" s="504" t="s">
        <v>2312</v>
      </c>
      <c r="D74" s="504" t="s">
        <v>1666</v>
      </c>
      <c r="E74" s="504" t="s">
        <v>1570</v>
      </c>
      <c r="F74" s="504" t="s">
        <v>1667</v>
      </c>
      <c r="G74" s="504" t="s">
        <v>2313</v>
      </c>
      <c r="H74" s="504" t="s">
        <v>4134</v>
      </c>
      <c r="I74" s="504" t="s">
        <v>679</v>
      </c>
      <c r="J74" s="504" t="s">
        <v>681</v>
      </c>
      <c r="K74" s="504" t="s">
        <v>682</v>
      </c>
      <c r="L74" s="504" t="s">
        <v>1986</v>
      </c>
    </row>
    <row r="75" spans="1:12" x14ac:dyDescent="0.3">
      <c r="A75" s="52">
        <v>12</v>
      </c>
      <c r="B75" s="14" t="s">
        <v>685</v>
      </c>
      <c r="C75" s="14" t="s">
        <v>685</v>
      </c>
      <c r="D75" s="14" t="s">
        <v>685</v>
      </c>
      <c r="E75" s="14" t="s">
        <v>685</v>
      </c>
      <c r="F75" s="14" t="s">
        <v>685</v>
      </c>
      <c r="G75" s="14" t="s">
        <v>685</v>
      </c>
      <c r="H75" s="14" t="s">
        <v>685</v>
      </c>
      <c r="I75" s="14" t="s">
        <v>685</v>
      </c>
      <c r="J75" s="14" t="s">
        <v>685</v>
      </c>
      <c r="K75" s="14" t="s">
        <v>685</v>
      </c>
      <c r="L75" s="14" t="s">
        <v>685</v>
      </c>
    </row>
    <row r="76" spans="1:12" x14ac:dyDescent="0.3">
      <c r="A76" s="53"/>
      <c r="B76" s="15" t="str">
        <f>'C1'!B50</f>
        <v/>
      </c>
      <c r="C76" s="15" t="str">
        <f>'C1'!B51</f>
        <v/>
      </c>
      <c r="D76" s="15" t="str">
        <f>'C1'!B52</f>
        <v/>
      </c>
      <c r="E76" s="15" t="str">
        <f>'C1'!B53</f>
        <v/>
      </c>
      <c r="F76" s="15" t="str">
        <f>'C1'!B54</f>
        <v/>
      </c>
      <c r="G76" s="15" t="str">
        <f>'C1'!B55</f>
        <v/>
      </c>
      <c r="H76" s="15" t="str">
        <f>'C1'!B56</f>
        <v/>
      </c>
      <c r="I76" s="15" t="str">
        <f>'C1'!B57</f>
        <v/>
      </c>
      <c r="J76" s="15" t="str">
        <f>'C1'!B58</f>
        <v/>
      </c>
      <c r="K76" s="15" t="str">
        <f>'C1'!B59</f>
        <v/>
      </c>
      <c r="L76" s="15" t="str">
        <f>'C1'!B60</f>
        <v/>
      </c>
    </row>
    <row r="77" spans="1:12" x14ac:dyDescent="0.3">
      <c r="A77" s="62">
        <v>1</v>
      </c>
      <c r="B77" s="507" t="str">
        <f>"MCA"&amp;MCA!$C$4</f>
        <v>MCA1</v>
      </c>
      <c r="C77" s="507" t="str">
        <f>"MCA"&amp;MCA!$C$8</f>
        <v>MCA2</v>
      </c>
      <c r="D77" s="507" t="str">
        <f>"MCA"&amp;MCA!$C$12</f>
        <v>MCA3</v>
      </c>
      <c r="E77" s="507" t="str">
        <f>"MCA"&amp;MCA!$C$16</f>
        <v>MCA9</v>
      </c>
    </row>
    <row r="78" spans="1:12" x14ac:dyDescent="0.3">
      <c r="A78" s="50" t="s">
        <v>627</v>
      </c>
      <c r="B78" s="14" t="s">
        <v>1963</v>
      </c>
      <c r="C78" s="14" t="s">
        <v>2910</v>
      </c>
      <c r="D78" s="14" t="s">
        <v>2911</v>
      </c>
      <c r="E78" s="14" t="s">
        <v>2912</v>
      </c>
    </row>
    <row r="79" spans="1:12" x14ac:dyDescent="0.3">
      <c r="A79" s="52">
        <v>5</v>
      </c>
      <c r="B79" s="14">
        <v>1</v>
      </c>
      <c r="C79" s="14">
        <v>2</v>
      </c>
      <c r="D79" s="14">
        <v>1</v>
      </c>
      <c r="E79" s="14">
        <v>1</v>
      </c>
    </row>
    <row r="80" spans="1:12" x14ac:dyDescent="0.3">
      <c r="A80" s="55"/>
      <c r="B80" s="14" t="str">
        <f>IF(MCA_IND&gt;1,HLOOKUP(MCA_IND-1,MCA_CONTROL_RANGE,2),"")</f>
        <v/>
      </c>
      <c r="C80" s="14" t="str">
        <f>IF(MCA_IND&gt;1,HLOOKUP(MCA_IND-1,MCA_CONTROL_RANGE,4),"")</f>
        <v/>
      </c>
      <c r="D80" s="14" t="str">
        <f>IF(MCA_IND&gt;1,HLOOKUP(MCA_IND-1,MCA_CONTROL_RANGE,6),"")</f>
        <v/>
      </c>
      <c r="E80" s="14" t="str">
        <f>IF(MCA_IND&gt;1,HLOOKUP(MCA_IND-1,MCA_CONTROL_RANGE,8),"")</f>
        <v/>
      </c>
    </row>
    <row r="81" spans="1:17" x14ac:dyDescent="0.3">
      <c r="A81" s="62">
        <v>1</v>
      </c>
      <c r="B81" s="1048" t="str">
        <f>AIL&amp;AIL!C5</f>
        <v>AIL1</v>
      </c>
      <c r="C81" s="1048" t="str">
        <f>AIL&amp;AIL!G5</f>
        <v>AIL6</v>
      </c>
      <c r="D81" s="505" t="str">
        <f>AIL&amp;AIL!C11</f>
        <v>AIL7</v>
      </c>
      <c r="E81" s="505" t="str">
        <f>AIL&amp;AIL!C14</f>
        <v>AIL8</v>
      </c>
      <c r="F81" s="505" t="str">
        <f>AIL&amp;AIL!C17</f>
        <v>AIL9</v>
      </c>
      <c r="G81" s="505" t="str">
        <f>AIL&amp;AIL!C20</f>
        <v>AIL10</v>
      </c>
      <c r="H81" s="505" t="str">
        <f>AIL&amp;AIL!C23</f>
        <v>AIL11</v>
      </c>
      <c r="I81" s="3369" t="str">
        <f>AIL&amp;AIL!C26</f>
        <v>AIL11.1</v>
      </c>
      <c r="J81" s="3369" t="str">
        <f>AIL&amp;AIL!C29</f>
        <v>AIL11.2</v>
      </c>
      <c r="K81" s="505" t="str">
        <f>AIL&amp;AIL!G11</f>
        <v>AIL13</v>
      </c>
      <c r="L81" s="505" t="str">
        <f>AIL&amp;AIL!G14</f>
        <v>AIL14</v>
      </c>
      <c r="M81" s="505" t="str">
        <f>AIL&amp;AIL!G17</f>
        <v>AIL15</v>
      </c>
      <c r="N81" s="505" t="str">
        <f>AIL&amp;AIL!G20</f>
        <v>AIL16</v>
      </c>
      <c r="O81" s="3372" t="str">
        <f>AIL&amp;AIL!G23</f>
        <v>AIL17</v>
      </c>
      <c r="P81" s="505" t="str">
        <f>AIL&amp;AIL!G26</f>
        <v>AIL18</v>
      </c>
    </row>
    <row r="82" spans="1:17" x14ac:dyDescent="0.3">
      <c r="A82" s="50" t="s">
        <v>4114</v>
      </c>
      <c r="B82" s="1049" t="s">
        <v>2311</v>
      </c>
      <c r="C82" s="1049" t="s">
        <v>4134</v>
      </c>
      <c r="D82" s="14" t="s">
        <v>1666</v>
      </c>
      <c r="E82" s="14" t="s">
        <v>1570</v>
      </c>
      <c r="F82" s="14" t="s">
        <v>1667</v>
      </c>
      <c r="G82" s="14" t="s">
        <v>2313</v>
      </c>
      <c r="H82" s="14" t="s">
        <v>1669</v>
      </c>
      <c r="I82" s="3370" t="s">
        <v>3657</v>
      </c>
      <c r="J82" s="3370" t="s">
        <v>7083</v>
      </c>
      <c r="K82" s="663" t="s">
        <v>681</v>
      </c>
      <c r="L82" s="14" t="s">
        <v>682</v>
      </c>
      <c r="M82" s="14" t="s">
        <v>1986</v>
      </c>
      <c r="N82" s="14" t="s">
        <v>1668</v>
      </c>
      <c r="O82" s="3373" t="s">
        <v>1372</v>
      </c>
      <c r="P82" s="14" t="s">
        <v>7945</v>
      </c>
    </row>
    <row r="83" spans="1:17" x14ac:dyDescent="0.3">
      <c r="A83" s="3375">
        <v>16</v>
      </c>
      <c r="B83" s="1049" t="s">
        <v>685</v>
      </c>
      <c r="C83" s="1049" t="s">
        <v>685</v>
      </c>
      <c r="D83" s="14" t="s">
        <v>685</v>
      </c>
      <c r="E83" s="14" t="s">
        <v>685</v>
      </c>
      <c r="F83" s="14" t="s">
        <v>685</v>
      </c>
      <c r="G83" s="14" t="s">
        <v>685</v>
      </c>
      <c r="H83" s="26" t="s">
        <v>685</v>
      </c>
      <c r="I83" s="3370" t="s">
        <v>685</v>
      </c>
      <c r="J83" s="3370" t="s">
        <v>685</v>
      </c>
      <c r="K83" s="14" t="s">
        <v>685</v>
      </c>
      <c r="L83" s="14" t="s">
        <v>685</v>
      </c>
      <c r="M83" s="14" t="s">
        <v>685</v>
      </c>
      <c r="N83" s="14" t="s">
        <v>685</v>
      </c>
      <c r="O83" s="3373" t="s">
        <v>685</v>
      </c>
      <c r="P83" s="26" t="s">
        <v>685</v>
      </c>
    </row>
    <row r="84" spans="1:17" x14ac:dyDescent="0.3">
      <c r="A84" s="55"/>
      <c r="B84" s="1049" t="str">
        <f>'C1'!B86</f>
        <v/>
      </c>
      <c r="C84" s="1050" t="str">
        <f>'C1'!B91</f>
        <v/>
      </c>
      <c r="D84" s="15" t="str">
        <f>'C1'!B92</f>
        <v/>
      </c>
      <c r="E84" s="15" t="str">
        <f>'C1'!B93</f>
        <v/>
      </c>
      <c r="F84" s="15" t="str">
        <f>'C1'!B94</f>
        <v/>
      </c>
      <c r="G84" s="15" t="str">
        <f>'C1'!B95</f>
        <v/>
      </c>
      <c r="H84" s="27" t="str">
        <f>'C1'!B96</f>
        <v/>
      </c>
      <c r="I84" s="3371" t="str">
        <f>'C1'!B97</f>
        <v/>
      </c>
      <c r="J84" s="3371" t="str">
        <f>'C1'!B98</f>
        <v/>
      </c>
      <c r="K84" s="15" t="str">
        <f>'C1'!B100</f>
        <v/>
      </c>
      <c r="L84" s="15" t="str">
        <f>'C1'!B101</f>
        <v/>
      </c>
      <c r="M84" s="15" t="str">
        <f>'C1'!B102</f>
        <v/>
      </c>
      <c r="N84" s="15" t="str">
        <f>'C1'!B103</f>
        <v/>
      </c>
      <c r="O84" s="3374"/>
      <c r="P84" s="15" t="str">
        <f>'C1'!B105</f>
        <v/>
      </c>
    </row>
    <row r="85" spans="1:17" x14ac:dyDescent="0.3">
      <c r="A85" s="62">
        <v>1</v>
      </c>
      <c r="B85" s="505" t="str">
        <f>EMP&amp;EMP!C4</f>
        <v>EMP1</v>
      </c>
      <c r="C85" s="507" t="str">
        <f>EMP&amp;EMP!C7</f>
        <v>EMP2</v>
      </c>
      <c r="D85" s="505" t="str">
        <f>EMP&amp;EMP!C10</f>
        <v>EMP3</v>
      </c>
      <c r="E85" s="505" t="str">
        <f>EMP&amp;EMP!G11</f>
        <v>EMP8</v>
      </c>
      <c r="F85" s="505" t="str">
        <f>EMP&amp;EMP!C16</f>
        <v>EMP9</v>
      </c>
      <c r="G85" s="505" t="str">
        <f>EMP&amp;EMP!C19</f>
        <v>EMP10</v>
      </c>
      <c r="H85" s="505" t="str">
        <f>EMP&amp;EMP!C22</f>
        <v>EMP11</v>
      </c>
      <c r="I85" s="505" t="str">
        <f>EMP&amp;EMP!C25</f>
        <v>EMP12</v>
      </c>
      <c r="J85" s="505" t="str">
        <f>EMP&amp;EMP!G16</f>
        <v>EMP13</v>
      </c>
      <c r="K85" s="505" t="str">
        <f>EMP&amp;EMP!G19</f>
        <v>EMP14</v>
      </c>
      <c r="L85" s="505" t="str">
        <f>EMP&amp;EMP!G22</f>
        <v>EMP15</v>
      </c>
      <c r="M85" s="505" t="str">
        <f>EMP&amp;EMP!G25</f>
        <v>EMP16</v>
      </c>
      <c r="N85" s="505" t="str">
        <f>EMP&amp;EMP!C30</f>
        <v>EMP17</v>
      </c>
      <c r="O85" s="505" t="str">
        <f>EMP&amp;EMP!C33</f>
        <v>EMP18</v>
      </c>
      <c r="P85" s="505" t="str">
        <f>EMP&amp;EMP!G30</f>
        <v>EMP19</v>
      </c>
      <c r="Q85" s="505" t="str">
        <f>EMP&amp;EMP!G33</f>
        <v>EMP20</v>
      </c>
    </row>
    <row r="86" spans="1:17" x14ac:dyDescent="0.3">
      <c r="A86" s="50" t="s">
        <v>4043</v>
      </c>
      <c r="B86" s="504" t="s">
        <v>2303</v>
      </c>
      <c r="C86" s="506" t="s">
        <v>2304</v>
      </c>
      <c r="D86" s="504" t="s">
        <v>2305</v>
      </c>
      <c r="E86" s="14" t="s">
        <v>816</v>
      </c>
      <c r="F86" s="504" t="s">
        <v>2314</v>
      </c>
      <c r="G86" s="504" t="s">
        <v>2307</v>
      </c>
      <c r="H86" s="504" t="s">
        <v>2308</v>
      </c>
      <c r="I86" s="504" t="s">
        <v>2309</v>
      </c>
      <c r="J86" s="504" t="s">
        <v>644</v>
      </c>
      <c r="K86" s="504" t="s">
        <v>2310</v>
      </c>
      <c r="L86" s="504" t="s">
        <v>2315</v>
      </c>
      <c r="M86" s="504" t="s">
        <v>817</v>
      </c>
      <c r="N86" s="504" t="s">
        <v>818</v>
      </c>
      <c r="O86" s="504" t="s">
        <v>819</v>
      </c>
      <c r="P86" s="504" t="s">
        <v>820</v>
      </c>
      <c r="Q86" s="504" t="s">
        <v>821</v>
      </c>
    </row>
    <row r="87" spans="1:17" x14ac:dyDescent="0.3">
      <c r="A87" s="52">
        <v>17</v>
      </c>
      <c r="B87" s="14" t="s">
        <v>685</v>
      </c>
      <c r="C87" s="14" t="s">
        <v>685</v>
      </c>
      <c r="D87" s="14" t="s">
        <v>685</v>
      </c>
      <c r="E87" s="14" t="b">
        <v>0</v>
      </c>
      <c r="F87" s="14" t="s">
        <v>685</v>
      </c>
      <c r="G87" s="14" t="s">
        <v>685</v>
      </c>
      <c r="H87" s="14" t="s">
        <v>685</v>
      </c>
      <c r="I87" s="14" t="s">
        <v>685</v>
      </c>
      <c r="J87" s="14" t="s">
        <v>685</v>
      </c>
      <c r="K87" s="14" t="s">
        <v>685</v>
      </c>
      <c r="L87" s="14" t="s">
        <v>685</v>
      </c>
      <c r="M87" s="14" t="s">
        <v>685</v>
      </c>
      <c r="N87" s="14" t="s">
        <v>685</v>
      </c>
      <c r="O87" s="14" t="s">
        <v>685</v>
      </c>
      <c r="P87" s="14" t="s">
        <v>685</v>
      </c>
      <c r="Q87" s="14" t="s">
        <v>685</v>
      </c>
    </row>
    <row r="88" spans="1:17" x14ac:dyDescent="0.3">
      <c r="A88" s="53"/>
      <c r="B88" s="628" t="str">
        <f>'C2'!B3</f>
        <v/>
      </c>
      <c r="C88" s="628" t="str">
        <f>'C2'!B4</f>
        <v/>
      </c>
      <c r="D88" s="628" t="str">
        <f>'C2'!B5</f>
        <v/>
      </c>
      <c r="E88" s="628" t="b">
        <f>'C2'!B11="Y"</f>
        <v>0</v>
      </c>
      <c r="F88" s="628" t="str">
        <f>'C2'!B12</f>
        <v/>
      </c>
      <c r="G88" s="628" t="str">
        <f>'C2'!B13</f>
        <v/>
      </c>
      <c r="H88" s="628" t="str">
        <f>'C2'!B14</f>
        <v/>
      </c>
      <c r="I88" s="628" t="str">
        <f>'C2'!B15</f>
        <v/>
      </c>
      <c r="J88" s="628" t="str">
        <f>'C2'!B16</f>
        <v/>
      </c>
      <c r="K88" s="628" t="str">
        <f>'C2'!B17</f>
        <v/>
      </c>
      <c r="L88" s="628" t="str">
        <f>'C2'!B18</f>
        <v/>
      </c>
      <c r="M88" s="628" t="str">
        <f>'C2'!B19</f>
        <v/>
      </c>
      <c r="N88" s="628" t="str">
        <f>'C2'!B20</f>
        <v/>
      </c>
      <c r="O88" s="628" t="str">
        <f>'C2'!B21</f>
        <v/>
      </c>
      <c r="P88" s="628" t="str">
        <f>'C2'!B22</f>
        <v/>
      </c>
      <c r="Q88" s="628" t="str">
        <f>'C2'!B23</f>
        <v/>
      </c>
    </row>
    <row r="89" spans="1:17" x14ac:dyDescent="0.3">
      <c r="A89" s="62">
        <v>1</v>
      </c>
      <c r="B89" s="505" t="str">
        <f>EMP&amp;EMP!K4</f>
        <v>EMP1</v>
      </c>
      <c r="C89" s="505" t="str">
        <f>EMP&amp;EMP!K7</f>
        <v>EMP2</v>
      </c>
      <c r="D89" s="505" t="str">
        <f>EMP&amp;EMP!K10</f>
        <v>EMP3</v>
      </c>
      <c r="E89" s="505" t="str">
        <f>EMP&amp;EMP!O11</f>
        <v>EMP8</v>
      </c>
      <c r="F89" s="505" t="str">
        <f>EMP&amp;EMP!K16</f>
        <v>EMP9</v>
      </c>
      <c r="G89" s="505" t="str">
        <f>EMP&amp;EMP!K19</f>
        <v>EMP10</v>
      </c>
      <c r="H89" s="505" t="str">
        <f>EMP&amp;EMP!K22</f>
        <v>EMP11</v>
      </c>
      <c r="I89" s="505" t="str">
        <f>EMP&amp;EMP!K25</f>
        <v>EMP12</v>
      </c>
      <c r="J89" s="505" t="str">
        <f>EMP&amp;EMP!O16</f>
        <v>EMP13</v>
      </c>
      <c r="K89" s="505" t="str">
        <f>EMP&amp;EMP!O19</f>
        <v>EMP14</v>
      </c>
      <c r="L89" s="505" t="str">
        <f>EMP&amp;EMP!O22</f>
        <v>EMP15</v>
      </c>
      <c r="M89" s="505" t="str">
        <f>EMP&amp;EMP!O25</f>
        <v>EMP16</v>
      </c>
      <c r="N89" s="505" t="str">
        <f>EMP&amp;EMP!K30</f>
        <v>EMP17</v>
      </c>
      <c r="O89" s="505" t="str">
        <f>EMP&amp;EMP!K33</f>
        <v>EMP18</v>
      </c>
      <c r="P89" s="505" t="str">
        <f>EMP&amp;EMP!O30</f>
        <v>EMP19</v>
      </c>
      <c r="Q89" s="505" t="str">
        <f>EMP&amp;EMP!O33</f>
        <v>EMP20</v>
      </c>
    </row>
    <row r="90" spans="1:17" x14ac:dyDescent="0.3">
      <c r="A90" s="50" t="s">
        <v>4043</v>
      </c>
      <c r="B90" s="513" t="s">
        <v>630</v>
      </c>
      <c r="C90" s="513" t="s">
        <v>633</v>
      </c>
      <c r="D90" s="513" t="s">
        <v>636</v>
      </c>
      <c r="E90" s="513" t="s">
        <v>822</v>
      </c>
      <c r="F90" s="513" t="s">
        <v>919</v>
      </c>
      <c r="G90" s="513" t="s">
        <v>922</v>
      </c>
      <c r="H90" s="513" t="s">
        <v>2693</v>
      </c>
      <c r="I90" s="513" t="s">
        <v>2696</v>
      </c>
      <c r="J90" s="513" t="s">
        <v>823</v>
      </c>
      <c r="K90" s="513" t="s">
        <v>824</v>
      </c>
      <c r="L90" s="513" t="s">
        <v>825</v>
      </c>
      <c r="M90" s="513" t="s">
        <v>826</v>
      </c>
      <c r="N90" s="513" t="s">
        <v>62</v>
      </c>
      <c r="O90" s="513" t="s">
        <v>65</v>
      </c>
      <c r="P90" s="513" t="s">
        <v>827</v>
      </c>
      <c r="Q90" s="513" t="s">
        <v>828</v>
      </c>
    </row>
    <row r="91" spans="1:17" x14ac:dyDescent="0.3">
      <c r="A91" s="52">
        <v>17</v>
      </c>
      <c r="B91" s="14" t="s">
        <v>685</v>
      </c>
      <c r="C91" s="14" t="s">
        <v>685</v>
      </c>
      <c r="D91" s="14" t="s">
        <v>685</v>
      </c>
      <c r="E91" s="14" t="b">
        <v>0</v>
      </c>
      <c r="F91" s="14" t="s">
        <v>685</v>
      </c>
      <c r="G91" s="14" t="s">
        <v>685</v>
      </c>
      <c r="H91" s="14" t="s">
        <v>685</v>
      </c>
      <c r="I91" s="14" t="s">
        <v>685</v>
      </c>
      <c r="J91" s="14" t="s">
        <v>685</v>
      </c>
      <c r="K91" s="14" t="s">
        <v>685</v>
      </c>
      <c r="L91" s="14" t="s">
        <v>685</v>
      </c>
      <c r="M91" s="14" t="s">
        <v>685</v>
      </c>
      <c r="N91" s="14" t="s">
        <v>685</v>
      </c>
      <c r="O91" s="14" t="s">
        <v>685</v>
      </c>
      <c r="P91" s="14" t="s">
        <v>685</v>
      </c>
      <c r="Q91" s="14" t="s">
        <v>685</v>
      </c>
    </row>
    <row r="92" spans="1:17" x14ac:dyDescent="0.3">
      <c r="A92" s="53"/>
      <c r="B92" s="628" t="str">
        <f>'C2'!C3</f>
        <v/>
      </c>
      <c r="C92" s="628" t="str">
        <f>'C2'!C4</f>
        <v/>
      </c>
      <c r="D92" s="628" t="str">
        <f>'C2'!C5</f>
        <v/>
      </c>
      <c r="E92" s="628" t="b">
        <f>'C2'!C11="Y"</f>
        <v>0</v>
      </c>
      <c r="F92" s="628" t="str">
        <f>'C2'!C12</f>
        <v/>
      </c>
      <c r="G92" s="628" t="str">
        <f>'C2'!C13</f>
        <v/>
      </c>
      <c r="H92" s="628" t="str">
        <f>'C2'!C14</f>
        <v/>
      </c>
      <c r="I92" s="628" t="str">
        <f>'C2'!C15</f>
        <v/>
      </c>
      <c r="J92" s="628" t="str">
        <f>'C2'!C16</f>
        <v/>
      </c>
      <c r="K92" s="628" t="str">
        <f>'C2'!C17</f>
        <v/>
      </c>
      <c r="L92" s="628" t="str">
        <f>'C2'!C18</f>
        <v/>
      </c>
      <c r="M92" s="628" t="str">
        <f>'C2'!C19</f>
        <v/>
      </c>
      <c r="N92" s="628" t="str">
        <f>'C2'!C20</f>
        <v/>
      </c>
      <c r="O92" s="628" t="str">
        <f>'C2'!C21</f>
        <v/>
      </c>
      <c r="P92" s="628" t="str">
        <f>'C2'!C22</f>
        <v/>
      </c>
      <c r="Q92" s="628" t="str">
        <f>'C2'!C23</f>
        <v/>
      </c>
    </row>
    <row r="93" spans="1:17" x14ac:dyDescent="0.3">
      <c r="A93" s="62">
        <v>1</v>
      </c>
      <c r="B93" s="505" t="str">
        <f>MOR&amp;MOR!C8</f>
        <v>MOR6</v>
      </c>
      <c r="C93" s="505" t="str">
        <f>MOR&amp;MOR!C19</f>
        <v>MOR38</v>
      </c>
      <c r="D93" s="505" t="str">
        <f>MOR&amp;MOR!G11</f>
        <v>MOR17</v>
      </c>
      <c r="E93" s="505" t="str">
        <f>MOR&amp;MOR!G15</f>
        <v>MOR19</v>
      </c>
      <c r="F93" s="505" t="str">
        <f>MOR&amp;MOR!G19</f>
        <v>MOR39</v>
      </c>
    </row>
    <row r="94" spans="1:17" x14ac:dyDescent="0.3">
      <c r="A94" s="50" t="s">
        <v>2184</v>
      </c>
      <c r="B94" s="504" t="s">
        <v>2312</v>
      </c>
      <c r="C94" s="513" t="s">
        <v>2307</v>
      </c>
      <c r="D94" s="513" t="s">
        <v>681</v>
      </c>
      <c r="E94" s="513" t="s">
        <v>2967</v>
      </c>
      <c r="F94" s="513" t="s">
        <v>2310</v>
      </c>
    </row>
    <row r="95" spans="1:17" x14ac:dyDescent="0.3">
      <c r="A95" s="52">
        <v>6</v>
      </c>
      <c r="B95" s="14" t="s">
        <v>685</v>
      </c>
      <c r="C95" s="14" t="s">
        <v>685</v>
      </c>
      <c r="D95" s="14" t="s">
        <v>685</v>
      </c>
      <c r="E95" s="14" t="s">
        <v>685</v>
      </c>
      <c r="F95" s="14" t="s">
        <v>685</v>
      </c>
    </row>
    <row r="96" spans="1:17" x14ac:dyDescent="0.3">
      <c r="A96" s="55"/>
      <c r="B96" s="506" t="str">
        <f>'C2'!C31</f>
        <v/>
      </c>
      <c r="C96" s="506" t="str">
        <f>'C2'!C63</f>
        <v/>
      </c>
      <c r="D96" s="506" t="str">
        <f>'C2'!C42</f>
        <v/>
      </c>
      <c r="E96" s="594" t="str">
        <f>'C2'!C44</f>
        <v/>
      </c>
      <c r="F96" s="594" t="str">
        <f>'C2'!C64</f>
        <v/>
      </c>
    </row>
    <row r="97" spans="1:22" x14ac:dyDescent="0.3">
      <c r="A97" s="62">
        <v>1</v>
      </c>
      <c r="B97" s="1646" t="str">
        <f>SSE&amp;SE!C5</f>
        <v>SSE29</v>
      </c>
      <c r="C97" s="1646" t="str">
        <f>SSE&amp;SE!C8</f>
        <v>SSE31</v>
      </c>
      <c r="D97" s="1646" t="str">
        <f>SSE&amp;SE!C11</f>
        <v>SSE33</v>
      </c>
      <c r="E97" s="1647" t="str">
        <f>SSE&amp;SE!C14</f>
        <v>SSE36</v>
      </c>
      <c r="F97" s="1646" t="str">
        <f>SSE&amp;SE!C17</f>
        <v>SSE37</v>
      </c>
      <c r="G97" s="1646" t="str">
        <f>SSE&amp;SE!C20</f>
        <v>SSE38</v>
      </c>
      <c r="H97" s="4"/>
      <c r="I97" s="4"/>
      <c r="J97" s="4"/>
      <c r="K97" s="4"/>
      <c r="L97" s="4"/>
      <c r="M97" s="4"/>
      <c r="N97" s="4"/>
      <c r="O97" s="4"/>
      <c r="P97" s="4"/>
      <c r="Q97" s="4"/>
      <c r="R97" s="4"/>
      <c r="S97" s="4"/>
      <c r="T97" s="4"/>
      <c r="U97" s="4"/>
      <c r="V97" s="4"/>
    </row>
    <row r="98" spans="1:22" x14ac:dyDescent="0.3">
      <c r="A98" s="50" t="s">
        <v>829</v>
      </c>
      <c r="B98" s="510" t="s">
        <v>2311</v>
      </c>
      <c r="C98" s="510" t="s">
        <v>2312</v>
      </c>
      <c r="D98" s="26" t="s">
        <v>1666</v>
      </c>
      <c r="E98" s="26" t="s">
        <v>922</v>
      </c>
      <c r="F98" s="26" t="s">
        <v>2691</v>
      </c>
      <c r="G98" s="512" t="s">
        <v>2313</v>
      </c>
      <c r="H98" s="4"/>
      <c r="I98" s="4"/>
      <c r="J98" s="4"/>
      <c r="K98" s="4"/>
      <c r="L98" s="4"/>
      <c r="M98" s="4"/>
      <c r="N98" s="4"/>
      <c r="O98" s="4"/>
      <c r="P98" s="4"/>
      <c r="Q98" s="4"/>
      <c r="R98" s="4"/>
      <c r="S98" s="4"/>
      <c r="T98" s="4"/>
      <c r="U98" s="4"/>
      <c r="V98" s="4"/>
    </row>
    <row r="99" spans="1:22" x14ac:dyDescent="0.3">
      <c r="A99" s="1154">
        <v>7</v>
      </c>
      <c r="B99" s="26" t="s">
        <v>685</v>
      </c>
      <c r="C99" s="26" t="s">
        <v>685</v>
      </c>
      <c r="D99" s="26" t="s">
        <v>685</v>
      </c>
      <c r="E99" s="26" t="b">
        <v>0</v>
      </c>
      <c r="F99" s="26" t="b">
        <v>0</v>
      </c>
      <c r="G99" s="26" t="s">
        <v>685</v>
      </c>
      <c r="H99" s="4"/>
      <c r="I99" s="4"/>
      <c r="J99" s="4"/>
      <c r="K99" s="4"/>
      <c r="L99" s="4"/>
      <c r="M99" s="4"/>
      <c r="N99" s="4"/>
      <c r="O99" s="4"/>
      <c r="P99" s="4"/>
      <c r="Q99" s="4"/>
      <c r="R99" s="4"/>
      <c r="S99" s="4"/>
      <c r="T99" s="4"/>
      <c r="U99" s="4"/>
      <c r="V99" s="4"/>
    </row>
    <row r="100" spans="1:22" x14ac:dyDescent="0.3">
      <c r="A100" s="55"/>
      <c r="B100" s="26" t="str">
        <f>'C3'!B32</f>
        <v/>
      </c>
      <c r="C100" s="26" t="str">
        <f>'C3'!B34</f>
        <v/>
      </c>
      <c r="D100" s="26" t="str">
        <f>'C3'!B36</f>
        <v/>
      </c>
      <c r="E100" s="26" t="b">
        <f>'C3'!B39="Y"</f>
        <v>0</v>
      </c>
      <c r="F100" s="26" t="b">
        <f>'C3'!B40="Y"</f>
        <v>0</v>
      </c>
      <c r="G100" s="26" t="str">
        <f>'C3'!B41</f>
        <v/>
      </c>
      <c r="H100" s="4"/>
      <c r="I100" s="4"/>
      <c r="J100" s="4"/>
      <c r="K100" s="4"/>
      <c r="L100" s="4"/>
      <c r="M100" s="4"/>
      <c r="N100" s="4"/>
      <c r="O100" s="4"/>
      <c r="P100" s="4"/>
      <c r="Q100" s="4"/>
      <c r="R100" s="4"/>
      <c r="S100" s="4"/>
      <c r="T100" s="4"/>
      <c r="U100" s="4"/>
      <c r="V100" s="4"/>
    </row>
    <row r="101" spans="1:22" x14ac:dyDescent="0.3">
      <c r="A101" s="62">
        <v>1</v>
      </c>
      <c r="B101" s="3399" t="str">
        <f>FSE&amp;SE!G5</f>
        <v>FSE54</v>
      </c>
      <c r="C101" s="509" t="str">
        <f>FSE&amp;SE!G8</f>
        <v>FSE69</v>
      </c>
      <c r="D101" s="509" t="str">
        <f>FSE&amp;SE!G11</f>
        <v>FSE74</v>
      </c>
      <c r="E101" s="509" t="str">
        <f>FSE&amp;SE!G14</f>
        <v>FSE76</v>
      </c>
      <c r="F101" s="509" t="str">
        <f>FSE&amp;SE!G17</f>
        <v>FSE78</v>
      </c>
      <c r="G101" s="509" t="str">
        <f>FSE&amp;SE!G20</f>
        <v>FSE81</v>
      </c>
      <c r="H101" s="509" t="str">
        <f>FSE&amp;SE!G23</f>
        <v>FSE82</v>
      </c>
      <c r="I101" s="25" t="str">
        <f>FSE&amp;SE!G26</f>
        <v>FSE100</v>
      </c>
      <c r="J101" s="509" t="str">
        <f>FSE&amp;SE!G29</f>
        <v>FSE101</v>
      </c>
      <c r="K101" s="509" t="str">
        <f>FSE&amp;SE!G32</f>
        <v>FSE102</v>
      </c>
      <c r="L101" s="4"/>
      <c r="M101" s="4"/>
      <c r="N101" s="4"/>
      <c r="O101" s="4"/>
      <c r="P101" s="4"/>
      <c r="Q101" s="4"/>
      <c r="R101" s="4"/>
      <c r="S101" s="4"/>
      <c r="T101" s="4"/>
      <c r="U101" s="4"/>
      <c r="V101" s="4"/>
    </row>
    <row r="102" spans="1:22" x14ac:dyDescent="0.3">
      <c r="A102" s="50" t="s">
        <v>829</v>
      </c>
      <c r="B102" s="3400" t="s">
        <v>4134</v>
      </c>
      <c r="C102" s="512" t="s">
        <v>679</v>
      </c>
      <c r="D102" s="512" t="s">
        <v>681</v>
      </c>
      <c r="E102" s="512" t="s">
        <v>682</v>
      </c>
      <c r="F102" s="512" t="s">
        <v>1986</v>
      </c>
      <c r="G102" s="512" t="s">
        <v>1668</v>
      </c>
      <c r="H102" s="512" t="s">
        <v>1372</v>
      </c>
      <c r="I102" s="512" t="s">
        <v>4546</v>
      </c>
      <c r="J102" s="512" t="s">
        <v>4545</v>
      </c>
      <c r="K102" s="512" t="s">
        <v>2781</v>
      </c>
      <c r="L102" s="4"/>
      <c r="M102" s="4"/>
      <c r="N102" s="4"/>
      <c r="O102" s="4"/>
      <c r="P102" s="4"/>
      <c r="Q102" s="4"/>
      <c r="R102" s="4"/>
      <c r="S102" s="4"/>
      <c r="T102" s="4"/>
      <c r="U102" s="4"/>
      <c r="V102" s="4"/>
    </row>
    <row r="103" spans="1:22" x14ac:dyDescent="0.3">
      <c r="A103" s="1154">
        <v>11</v>
      </c>
      <c r="B103" s="3401" t="s">
        <v>685</v>
      </c>
      <c r="C103" s="26" t="s">
        <v>685</v>
      </c>
      <c r="D103" s="26" t="s">
        <v>685</v>
      </c>
      <c r="E103" s="26" t="s">
        <v>685</v>
      </c>
      <c r="F103" s="26" t="s">
        <v>685</v>
      </c>
      <c r="G103" s="26" t="s">
        <v>685</v>
      </c>
      <c r="H103" s="26" t="s">
        <v>685</v>
      </c>
      <c r="I103" s="26" t="b">
        <v>0</v>
      </c>
      <c r="J103" s="26" t="b">
        <v>0</v>
      </c>
      <c r="K103" s="26" t="s">
        <v>685</v>
      </c>
      <c r="L103" s="4"/>
      <c r="M103" s="4"/>
      <c r="N103" s="4"/>
      <c r="O103" s="4"/>
      <c r="P103" s="4"/>
      <c r="Q103" s="4"/>
      <c r="R103" s="4"/>
      <c r="S103" s="4"/>
      <c r="T103" s="4"/>
      <c r="U103" s="4"/>
      <c r="V103" s="4"/>
    </row>
    <row r="104" spans="1:22" x14ac:dyDescent="0.3">
      <c r="A104" s="53"/>
      <c r="B104" s="3402"/>
      <c r="C104" s="27" t="str">
        <f>'C3'!B113</f>
        <v/>
      </c>
      <c r="D104" s="27" t="str">
        <f>'C3'!B118</f>
        <v/>
      </c>
      <c r="E104" s="27" t="str">
        <f>'C3'!B120</f>
        <v/>
      </c>
      <c r="F104" s="27" t="str">
        <f>'C3'!B122</f>
        <v/>
      </c>
      <c r="G104" s="27" t="str">
        <f>'C3'!B125</f>
        <v/>
      </c>
      <c r="H104" s="27" t="str">
        <f>'C3'!B126</f>
        <v/>
      </c>
      <c r="I104" s="26" t="b">
        <f>'C3'!B144="Y"</f>
        <v>0</v>
      </c>
      <c r="J104" s="26" t="b">
        <f>'C3'!B145="Y"</f>
        <v>0</v>
      </c>
      <c r="K104" s="592" t="str">
        <f>'C3'!B146</f>
        <v/>
      </c>
      <c r="L104" s="4"/>
      <c r="M104" s="4"/>
      <c r="N104" s="4"/>
      <c r="O104" s="4"/>
      <c r="P104" s="4"/>
      <c r="Q104" s="4"/>
      <c r="R104" s="4"/>
      <c r="S104" s="4"/>
      <c r="T104" s="4"/>
      <c r="U104" s="4"/>
      <c r="V104" s="4"/>
    </row>
    <row r="105" spans="1:22" x14ac:dyDescent="0.3">
      <c r="A105" s="62">
        <v>1</v>
      </c>
      <c r="B105" s="509" t="str">
        <f>LUN&amp;LUN!C4</f>
        <v>LUN4</v>
      </c>
      <c r="C105" s="509" t="str">
        <f>LUN&amp;LUN!C7</f>
        <v>LUN6</v>
      </c>
      <c r="D105" s="3427" t="str">
        <f>LUN&amp;LUN!C10</f>
        <v>LUN7</v>
      </c>
      <c r="E105" s="509" t="str">
        <f>LUN&amp;LUN!C13</f>
        <v>LUN8</v>
      </c>
      <c r="F105" s="509" t="str">
        <f>LUN&amp;LUN!C16</f>
        <v>LUN9</v>
      </c>
      <c r="G105" s="3427" t="str">
        <f>LUN&amp;LUN!C19</f>
        <v>LUN10</v>
      </c>
      <c r="H105" s="509" t="str">
        <f>LUN&amp;LUN!G4</f>
        <v>LUN14</v>
      </c>
      <c r="I105" s="509" t="str">
        <f>LUN&amp;LUN!G7</f>
        <v>LUN15</v>
      </c>
      <c r="J105" s="509" t="str">
        <f>LUN&amp;LUN!G10</f>
        <v>LUN16</v>
      </c>
      <c r="K105" s="509" t="str">
        <f>LUN&amp;LUN!G13</f>
        <v>LUN17</v>
      </c>
      <c r="L105" s="3427" t="str">
        <f>LUN&amp;LUN!G17</f>
        <v>LUN19</v>
      </c>
      <c r="M105" s="25" t="str">
        <f>LUN&amp;LUN!K4</f>
        <v>LUN51</v>
      </c>
      <c r="N105" s="509" t="str">
        <f>LUN&amp;LUN!K7</f>
        <v>LUN52</v>
      </c>
      <c r="O105" s="509" t="str">
        <f>LUN&amp;LUN!K10</f>
        <v>LUN56</v>
      </c>
      <c r="P105" s="25" t="str">
        <f>LUN&amp;LUN!K13</f>
        <v>LUN63</v>
      </c>
      <c r="Q105" s="509" t="str">
        <f>LUN&amp;LUN!K16</f>
        <v>LUN64</v>
      </c>
      <c r="R105" s="509" t="str">
        <f>LUN&amp;LUN!K19</f>
        <v>LUN65</v>
      </c>
      <c r="S105" s="4"/>
      <c r="T105" s="4"/>
      <c r="U105" s="4"/>
      <c r="V105" s="4"/>
    </row>
    <row r="106" spans="1:22" x14ac:dyDescent="0.3">
      <c r="A106" s="50" t="s">
        <v>3927</v>
      </c>
      <c r="B106" s="511" t="s">
        <v>2303</v>
      </c>
      <c r="C106" s="510" t="s">
        <v>2304</v>
      </c>
      <c r="D106" s="3429" t="s">
        <v>2305</v>
      </c>
      <c r="E106" s="510" t="s">
        <v>2306</v>
      </c>
      <c r="F106" s="510" t="s">
        <v>2314</v>
      </c>
      <c r="G106" s="3429" t="s">
        <v>2307</v>
      </c>
      <c r="H106" s="511" t="s">
        <v>683</v>
      </c>
      <c r="I106" s="511" t="s">
        <v>2966</v>
      </c>
      <c r="J106" s="511" t="s">
        <v>680</v>
      </c>
      <c r="K106" s="511" t="s">
        <v>684</v>
      </c>
      <c r="L106" s="3447" t="s">
        <v>1986</v>
      </c>
      <c r="M106" s="26" t="s">
        <v>630</v>
      </c>
      <c r="N106" s="510" t="s">
        <v>633</v>
      </c>
      <c r="O106" s="26" t="s">
        <v>636</v>
      </c>
      <c r="P106" s="26" t="s">
        <v>4548</v>
      </c>
      <c r="Q106" s="26" t="s">
        <v>824</v>
      </c>
      <c r="R106" s="26" t="s">
        <v>922</v>
      </c>
      <c r="S106" s="4"/>
      <c r="T106" s="4"/>
      <c r="U106" s="4"/>
      <c r="V106" s="4"/>
    </row>
    <row r="107" spans="1:22" x14ac:dyDescent="0.3">
      <c r="A107" s="1154">
        <v>18</v>
      </c>
      <c r="B107" s="26" t="s">
        <v>685</v>
      </c>
      <c r="C107" s="26" t="s">
        <v>685</v>
      </c>
      <c r="D107" s="3446" t="s">
        <v>685</v>
      </c>
      <c r="E107" s="26" t="s">
        <v>685</v>
      </c>
      <c r="F107" s="26" t="s">
        <v>685</v>
      </c>
      <c r="G107" s="3446" t="s">
        <v>685</v>
      </c>
      <c r="H107" s="26" t="s">
        <v>685</v>
      </c>
      <c r="I107" s="26" t="s">
        <v>685</v>
      </c>
      <c r="J107" s="26" t="s">
        <v>685</v>
      </c>
      <c r="K107" s="26" t="s">
        <v>685</v>
      </c>
      <c r="L107" s="3429" t="s">
        <v>685</v>
      </c>
      <c r="M107" s="26" t="s">
        <v>685</v>
      </c>
      <c r="N107" s="26" t="s">
        <v>685</v>
      </c>
      <c r="O107" s="26" t="s">
        <v>685</v>
      </c>
      <c r="P107" s="26" t="b">
        <v>0</v>
      </c>
      <c r="Q107" s="26" t="b">
        <v>0</v>
      </c>
      <c r="R107" s="26" t="s">
        <v>685</v>
      </c>
      <c r="S107" s="4"/>
      <c r="T107" s="4"/>
      <c r="U107" s="4"/>
      <c r="V107" s="4"/>
    </row>
    <row r="108" spans="1:22" x14ac:dyDescent="0.3">
      <c r="A108" s="55"/>
      <c r="B108" s="26" t="str">
        <f>'C3'!B153</f>
        <v/>
      </c>
      <c r="C108" s="26" t="str">
        <f>'C3'!B155</f>
        <v/>
      </c>
      <c r="D108" s="3432"/>
      <c r="E108" s="26" t="str">
        <f>'C3'!B157</f>
        <v/>
      </c>
      <c r="F108" s="26" t="str">
        <f>'C3'!B158</f>
        <v/>
      </c>
      <c r="G108" s="3432"/>
      <c r="H108" s="26" t="str">
        <f>'C3'!B163</f>
        <v/>
      </c>
      <c r="I108" s="27" t="str">
        <f>'C3'!B164</f>
        <v/>
      </c>
      <c r="J108" s="27" t="str">
        <f>'C3'!B165</f>
        <v/>
      </c>
      <c r="K108" s="27" t="str">
        <f>'C3'!B166</f>
        <v/>
      </c>
      <c r="L108" s="3448"/>
      <c r="M108" s="27" t="str">
        <f>'C3'!B200</f>
        <v/>
      </c>
      <c r="N108" s="27" t="str">
        <f>'C3'!B201</f>
        <v/>
      </c>
      <c r="O108" s="27" t="str">
        <f>'C3'!B205</f>
        <v/>
      </c>
      <c r="P108" s="27" t="b">
        <f>'C3'!B212="Y"</f>
        <v>0</v>
      </c>
      <c r="Q108" s="27" t="b">
        <f>'C3'!B213="Y"</f>
        <v>0</v>
      </c>
      <c r="R108" s="592" t="str">
        <f>'C3'!B214</f>
        <v/>
      </c>
      <c r="S108" s="4"/>
      <c r="T108" s="4"/>
      <c r="U108" s="4"/>
      <c r="V108" s="4"/>
    </row>
    <row r="109" spans="1:22" x14ac:dyDescent="0.3">
      <c r="A109" s="62">
        <v>1</v>
      </c>
      <c r="B109" s="509" t="str">
        <f>SPS&amp;PS!C4</f>
        <v>SPS13</v>
      </c>
      <c r="C109" s="3427" t="str">
        <f>SPS&amp;PS!C7</f>
        <v>SPS15</v>
      </c>
      <c r="D109" s="509" t="str">
        <f>SPS&amp;PS!C10</f>
        <v>SPS17</v>
      </c>
      <c r="E109" s="509" t="str">
        <f>SPS&amp;PS!C13</f>
        <v>SPS20</v>
      </c>
      <c r="F109" s="509" t="str">
        <f>SPS&amp;PS!C16</f>
        <v>SPS22</v>
      </c>
      <c r="G109" s="1646" t="str">
        <f>SPS&amp;PS!C19</f>
        <v>SPS25</v>
      </c>
      <c r="H109" s="1646" t="str">
        <f>SPS&amp;PS!C22</f>
        <v>SPS26</v>
      </c>
      <c r="I109" s="509" t="str">
        <f>SPS&amp;PS!C25</f>
        <v>SPS27</v>
      </c>
      <c r="J109" s="509" t="str">
        <f>SPS&amp;PS!C28</f>
        <v>SPS28</v>
      </c>
      <c r="K109" s="508" t="str">
        <f>SPS&amp;PS!C31</f>
        <v>SPS30</v>
      </c>
      <c r="L109" s="508" t="str">
        <f>SPS&amp;PS!C34</f>
        <v>SPS31</v>
      </c>
      <c r="M109" s="4"/>
      <c r="N109" s="4"/>
      <c r="O109" s="4"/>
      <c r="P109" s="4"/>
      <c r="Q109" s="4"/>
      <c r="R109" s="4"/>
      <c r="S109" s="4"/>
      <c r="T109" s="4"/>
      <c r="U109" s="4"/>
      <c r="V109" s="4"/>
    </row>
    <row r="110" spans="1:22" x14ac:dyDescent="0.3">
      <c r="A110" s="50" t="s">
        <v>830</v>
      </c>
      <c r="B110" s="512" t="s">
        <v>2303</v>
      </c>
      <c r="C110" s="3428" t="s">
        <v>2304</v>
      </c>
      <c r="D110" s="512" t="s">
        <v>2305</v>
      </c>
      <c r="E110" s="512" t="s">
        <v>2306</v>
      </c>
      <c r="F110" s="512" t="s">
        <v>2314</v>
      </c>
      <c r="G110" s="1148" t="s">
        <v>3643</v>
      </c>
      <c r="H110" s="1148" t="s">
        <v>3645</v>
      </c>
      <c r="I110" s="512" t="s">
        <v>2309</v>
      </c>
      <c r="J110" s="512" t="s">
        <v>2316</v>
      </c>
      <c r="K110" s="2787" t="s">
        <v>831</v>
      </c>
      <c r="L110" s="2787" t="s">
        <v>794</v>
      </c>
      <c r="M110" s="4"/>
      <c r="N110" s="4"/>
      <c r="O110" s="4"/>
      <c r="P110" s="4"/>
      <c r="Q110" s="4"/>
      <c r="R110" s="4"/>
      <c r="S110" s="4"/>
      <c r="T110" s="4"/>
      <c r="U110" s="4"/>
      <c r="V110" s="4"/>
    </row>
    <row r="111" spans="1:22" x14ac:dyDescent="0.3">
      <c r="A111" s="1154">
        <v>12</v>
      </c>
      <c r="B111" s="26" t="s">
        <v>685</v>
      </c>
      <c r="C111" s="3429" t="s">
        <v>685</v>
      </c>
      <c r="D111" s="26" t="s">
        <v>685</v>
      </c>
      <c r="E111" s="26" t="s">
        <v>685</v>
      </c>
      <c r="F111" s="26" t="s">
        <v>685</v>
      </c>
      <c r="G111" s="26" t="b">
        <v>0</v>
      </c>
      <c r="H111" s="26" t="b">
        <v>0</v>
      </c>
      <c r="I111" s="26" t="s">
        <v>685</v>
      </c>
      <c r="J111" s="26" t="s">
        <v>685</v>
      </c>
      <c r="K111" s="26" t="s">
        <v>685</v>
      </c>
      <c r="L111" s="26" t="s">
        <v>685</v>
      </c>
      <c r="M111" s="4"/>
      <c r="N111" s="4"/>
      <c r="O111" s="4"/>
      <c r="P111" s="4"/>
      <c r="Q111" s="4"/>
      <c r="R111" s="4"/>
      <c r="S111" s="4"/>
      <c r="T111" s="4"/>
      <c r="U111" s="4"/>
      <c r="V111" s="4"/>
    </row>
    <row r="112" spans="1:22" x14ac:dyDescent="0.3">
      <c r="A112" s="55"/>
      <c r="B112" s="27" t="str">
        <f>'C4'!B15</f>
        <v/>
      </c>
      <c r="C112" s="3430"/>
      <c r="D112" s="27" t="str">
        <f>'C4'!B19</f>
        <v/>
      </c>
      <c r="E112" s="27" t="str">
        <f>'C4'!B22</f>
        <v/>
      </c>
      <c r="F112" s="27" t="str">
        <f>'C4'!B24</f>
        <v/>
      </c>
      <c r="G112" s="26" t="b">
        <f>'C4'!B27="Y"</f>
        <v>0</v>
      </c>
      <c r="H112" s="26" t="b">
        <f>'C4'!B28="Y"</f>
        <v>0</v>
      </c>
      <c r="I112" s="27" t="str">
        <f>'C4'!B29</f>
        <v/>
      </c>
      <c r="J112" s="27" t="str">
        <f>'C4'!B30</f>
        <v/>
      </c>
      <c r="K112" s="27" t="str">
        <f>'C4'!B32</f>
        <v/>
      </c>
      <c r="L112" s="27" t="str">
        <f>'C4'!B33</f>
        <v/>
      </c>
      <c r="M112" s="4"/>
      <c r="N112" s="4"/>
      <c r="O112" s="4"/>
      <c r="P112" s="4"/>
      <c r="Q112" s="4"/>
      <c r="R112" s="4"/>
      <c r="S112" s="4"/>
      <c r="T112" s="4"/>
      <c r="U112" s="4"/>
      <c r="V112" s="4"/>
    </row>
    <row r="113" spans="1:26" x14ac:dyDescent="0.3">
      <c r="A113" s="62">
        <v>1</v>
      </c>
      <c r="B113" s="1648" t="str">
        <f>FPS&amp;PS!G4</f>
        <v>FPS13</v>
      </c>
      <c r="C113" s="3431" t="str">
        <f>FPS&amp;PS!G7</f>
        <v>FPS15</v>
      </c>
      <c r="D113" s="1648" t="str">
        <f>FPS&amp;PS!J4</f>
        <v>FPS17</v>
      </c>
      <c r="E113" s="1648" t="str">
        <f>FPS&amp;PS!J7</f>
        <v>FPS20</v>
      </c>
      <c r="F113" s="1648" t="str">
        <f>FPS&amp;PS!G10</f>
        <v>FPS22</v>
      </c>
      <c r="G113" s="1649" t="str">
        <f>FPS&amp;PS!G13</f>
        <v>FPS25</v>
      </c>
      <c r="H113" s="1646" t="str">
        <f>FPS&amp;PS!J13</f>
        <v>FPS26</v>
      </c>
      <c r="I113" s="509" t="str">
        <f>FPS&amp;PS!M13</f>
        <v>FPS27</v>
      </c>
      <c r="J113" s="509" t="str">
        <f>FPS&amp;PS!G16</f>
        <v>FPS35</v>
      </c>
      <c r="K113" s="1647" t="str">
        <f>FPS&amp;PS!G19</f>
        <v>FPS38</v>
      </c>
      <c r="L113" s="509" t="str">
        <f>FPS&amp;PS!J19</f>
        <v>FPS39</v>
      </c>
      <c r="M113" s="1149" t="s">
        <v>2358</v>
      </c>
      <c r="N113" s="1149" t="s">
        <v>7013</v>
      </c>
      <c r="O113" s="1646" t="str">
        <f>FPS&amp;PS!G25</f>
        <v>FPS47</v>
      </c>
      <c r="P113" s="1646" t="str">
        <f>FPS&amp;PS!G28</f>
        <v>FPS58</v>
      </c>
      <c r="Q113" s="2788" t="s">
        <v>724</v>
      </c>
      <c r="R113" s="2788" t="s">
        <v>7014</v>
      </c>
      <c r="S113" s="509" t="str">
        <f>FPS&amp;PS!G31</f>
        <v>FPS70</v>
      </c>
      <c r="T113" s="509" t="str">
        <f>FPS&amp;PS!J37</f>
        <v>FPS73</v>
      </c>
      <c r="U113" s="509" t="str">
        <f>FPS&amp;PS!G34</f>
        <v>FPS76</v>
      </c>
      <c r="V113" s="509" t="str">
        <f>FPS&amp;PS!G37</f>
        <v>FPS77</v>
      </c>
      <c r="W113" s="509" t="str">
        <f>FPS&amp;PS!G40</f>
        <v>FPS78</v>
      </c>
      <c r="X113" s="509" t="str">
        <f>FPS&amp;PS!J40</f>
        <v>FPS79</v>
      </c>
      <c r="Y113" s="2788" t="str">
        <f>FPS&amp;PS!M24</f>
        <v>FPSAF1</v>
      </c>
      <c r="Z113" s="2788" t="str">
        <f>FPS&amp;PS!M30</f>
        <v>FPSAF2</v>
      </c>
    </row>
    <row r="114" spans="1:26" x14ac:dyDescent="0.3">
      <c r="A114" s="50" t="s">
        <v>830</v>
      </c>
      <c r="B114" s="26" t="s">
        <v>683</v>
      </c>
      <c r="C114" s="3428" t="s">
        <v>2966</v>
      </c>
      <c r="D114" s="26" t="s">
        <v>4670</v>
      </c>
      <c r="E114" s="512" t="s">
        <v>4671</v>
      </c>
      <c r="F114" s="512" t="s">
        <v>680</v>
      </c>
      <c r="G114" s="1148" t="s">
        <v>7015</v>
      </c>
      <c r="H114" s="1148" t="s">
        <v>3955</v>
      </c>
      <c r="I114" s="1148" t="s">
        <v>7016</v>
      </c>
      <c r="J114" s="1705" t="s">
        <v>644</v>
      </c>
      <c r="K114" s="1148" t="s">
        <v>2310</v>
      </c>
      <c r="L114" s="1705" t="s">
        <v>7017</v>
      </c>
      <c r="M114" s="1705" t="s">
        <v>2315</v>
      </c>
      <c r="N114" s="1705" t="s">
        <v>841</v>
      </c>
      <c r="O114" s="1148" t="s">
        <v>817</v>
      </c>
      <c r="P114" s="1148" t="s">
        <v>2317</v>
      </c>
      <c r="Q114" s="2789" t="s">
        <v>7740</v>
      </c>
      <c r="R114" s="2789" t="s">
        <v>7741</v>
      </c>
      <c r="S114" s="1705" t="s">
        <v>839</v>
      </c>
      <c r="T114" s="1705" t="s">
        <v>4676</v>
      </c>
      <c r="U114" s="2776" t="s">
        <v>4592</v>
      </c>
      <c r="V114" s="2776" t="s">
        <v>4669</v>
      </c>
      <c r="W114" s="2776" t="s">
        <v>4675</v>
      </c>
      <c r="X114" s="1705" t="s">
        <v>4678</v>
      </c>
      <c r="Y114" s="2789" t="s">
        <v>7713</v>
      </c>
      <c r="Z114" s="2789" t="s">
        <v>4825</v>
      </c>
    </row>
    <row r="115" spans="1:26" x14ac:dyDescent="0.3">
      <c r="A115" s="1150">
        <v>26</v>
      </c>
      <c r="B115" s="26" t="s">
        <v>685</v>
      </c>
      <c r="C115" s="3429" t="s">
        <v>685</v>
      </c>
      <c r="D115" s="26" t="s">
        <v>685</v>
      </c>
      <c r="E115" s="26" t="s">
        <v>685</v>
      </c>
      <c r="F115" s="26" t="s">
        <v>685</v>
      </c>
      <c r="G115" s="26" t="b">
        <v>0</v>
      </c>
      <c r="H115" s="26" t="b">
        <v>0</v>
      </c>
      <c r="I115" s="26" t="s">
        <v>685</v>
      </c>
      <c r="J115" s="26" t="s">
        <v>685</v>
      </c>
      <c r="K115" s="26" t="s">
        <v>685</v>
      </c>
      <c r="L115" s="26" t="s">
        <v>685</v>
      </c>
      <c r="M115" s="1148" t="s">
        <v>685</v>
      </c>
      <c r="N115" s="1148" t="s">
        <v>685</v>
      </c>
      <c r="O115" s="26" t="s">
        <v>685</v>
      </c>
      <c r="P115" s="26" t="s">
        <v>685</v>
      </c>
      <c r="Q115" s="2790" t="s">
        <v>685</v>
      </c>
      <c r="R115" s="2790" t="s">
        <v>685</v>
      </c>
      <c r="S115" s="26" t="s">
        <v>685</v>
      </c>
      <c r="T115" s="26" t="s">
        <v>685</v>
      </c>
      <c r="U115" s="26" t="s">
        <v>685</v>
      </c>
      <c r="V115" s="26" t="s">
        <v>685</v>
      </c>
      <c r="W115" s="26" t="s">
        <v>685</v>
      </c>
      <c r="X115" s="26" t="s">
        <v>685</v>
      </c>
      <c r="Y115" s="2790" t="s">
        <v>685</v>
      </c>
      <c r="Z115" s="2790" t="s">
        <v>685</v>
      </c>
    </row>
    <row r="116" spans="1:26" x14ac:dyDescent="0.3">
      <c r="A116" s="55"/>
      <c r="B116" s="1650" t="str">
        <f>'C4'!B49</f>
        <v/>
      </c>
      <c r="C116" s="3432"/>
      <c r="D116" s="1269" t="str">
        <f>'C4'!B53</f>
        <v/>
      </c>
      <c r="E116" s="1650" t="str">
        <f>'C4'!B56</f>
        <v/>
      </c>
      <c r="F116" s="1650" t="str">
        <f>'C4'!B58</f>
        <v/>
      </c>
      <c r="G116" s="1650" t="b">
        <f>'C4'!B61="Y"</f>
        <v>0</v>
      </c>
      <c r="H116" s="27" t="b">
        <f>'C4'!B62="Y"</f>
        <v>0</v>
      </c>
      <c r="I116" s="27" t="str">
        <f>'C4'!B63</f>
        <v/>
      </c>
      <c r="J116" s="27" t="str">
        <f>'C4'!B71</f>
        <v/>
      </c>
      <c r="K116" s="27" t="str">
        <f>'C4'!B74</f>
        <v/>
      </c>
      <c r="L116" s="27" t="str">
        <f>'C4'!B75</f>
        <v/>
      </c>
      <c r="M116" s="1148" t="str">
        <f>'C4'!B77</f>
        <v/>
      </c>
      <c r="N116" s="1148" t="str">
        <f>'C4'!B78</f>
        <v/>
      </c>
      <c r="O116" s="27" t="str">
        <f>'C4'!B85</f>
        <v/>
      </c>
      <c r="P116" s="27" t="str">
        <f>'C4'!B96</f>
        <v/>
      </c>
      <c r="Q116" s="2791" t="str">
        <f>'C4'!B98</f>
        <v/>
      </c>
      <c r="R116" s="2791" t="str">
        <f>'C4'!B102</f>
        <v/>
      </c>
      <c r="S116" s="27" t="str">
        <f>'C4'!B110</f>
        <v/>
      </c>
      <c r="T116" s="27" t="str">
        <f>'C4'!B113</f>
        <v/>
      </c>
      <c r="U116" s="592" t="str">
        <f>'C4'!B116</f>
        <v/>
      </c>
      <c r="V116" s="592" t="str">
        <f>'C4'!B117</f>
        <v/>
      </c>
      <c r="W116" s="592" t="str">
        <f>'C4'!B118</f>
        <v/>
      </c>
      <c r="X116" s="592" t="str">
        <f>'C4'!B119</f>
        <v/>
      </c>
      <c r="Y116" s="3140" t="str">
        <f>'C4'!B79</f>
        <v/>
      </c>
      <c r="Z116" s="3140" t="str">
        <f>'C4'!B103</f>
        <v/>
      </c>
    </row>
    <row r="117" spans="1:26" x14ac:dyDescent="0.3">
      <c r="A117" s="1308">
        <v>1</v>
      </c>
      <c r="B117" s="2788" t="s">
        <v>7075</v>
      </c>
      <c r="C117" s="2850" t="s">
        <v>4965</v>
      </c>
      <c r="D117" s="2850" t="s">
        <v>4964</v>
      </c>
      <c r="F117" s="1304"/>
      <c r="G117" s="1304"/>
      <c r="H117" s="1304"/>
      <c r="I117" s="1304"/>
      <c r="J117" s="1304"/>
      <c r="K117" s="1304"/>
      <c r="L117" s="1304"/>
      <c r="M117" s="1304"/>
      <c r="N117" s="1304"/>
      <c r="O117" s="58"/>
      <c r="P117" s="58"/>
      <c r="Q117" s="1301"/>
      <c r="R117" s="1301"/>
      <c r="S117" s="1301"/>
      <c r="T117" s="1301"/>
      <c r="U117" s="1301"/>
      <c r="V117" s="1301"/>
    </row>
    <row r="118" spans="1:26" x14ac:dyDescent="0.3">
      <c r="A118" s="50" t="s">
        <v>4944</v>
      </c>
      <c r="B118" s="1705" t="s">
        <v>2304</v>
      </c>
      <c r="C118" s="1705" t="s">
        <v>1666</v>
      </c>
      <c r="D118" s="1705" t="s">
        <v>7082</v>
      </c>
      <c r="F118" s="1303"/>
      <c r="G118" s="1303"/>
      <c r="H118" s="1303"/>
      <c r="I118" s="1303"/>
      <c r="J118" s="1303"/>
      <c r="K118" s="1303"/>
      <c r="L118" s="1303"/>
      <c r="M118" s="1303"/>
      <c r="N118" s="1303"/>
      <c r="O118" s="58"/>
      <c r="P118" s="58"/>
      <c r="Q118" s="1301"/>
      <c r="R118" s="1301"/>
      <c r="S118" s="1301"/>
      <c r="T118" s="1301"/>
      <c r="U118" s="1301"/>
      <c r="V118" s="1301"/>
    </row>
    <row r="119" spans="1:26" x14ac:dyDescent="0.3">
      <c r="A119" s="1150">
        <v>4</v>
      </c>
      <c r="B119" s="1148" t="s">
        <v>685</v>
      </c>
      <c r="C119" s="14" t="s">
        <v>685</v>
      </c>
      <c r="D119" s="14">
        <v>2</v>
      </c>
      <c r="F119" s="1303"/>
      <c r="G119" s="1303"/>
      <c r="H119" s="1303"/>
      <c r="I119" s="1303"/>
      <c r="J119" s="1303"/>
      <c r="K119" s="1303"/>
      <c r="L119" s="1303"/>
      <c r="M119" s="1303"/>
      <c r="N119" s="1303"/>
      <c r="O119" s="58"/>
      <c r="P119" s="58"/>
      <c r="Q119" s="1301"/>
      <c r="R119" s="1301"/>
      <c r="S119" s="1301"/>
      <c r="T119" s="1301"/>
      <c r="U119" s="1301"/>
      <c r="V119" s="1301"/>
    </row>
    <row r="120" spans="1:26" x14ac:dyDescent="0.3">
      <c r="A120" s="1309"/>
      <c r="B120" s="2851"/>
      <c r="C120" s="2852" t="str">
        <f>'C8C9C10'!B125</f>
        <v/>
      </c>
      <c r="D120" s="2852" t="str">
        <f>'C8C9C10'!B126</f>
        <v/>
      </c>
      <c r="F120" s="1303"/>
      <c r="G120" s="1303"/>
      <c r="H120" s="1303"/>
      <c r="I120" s="1303"/>
      <c r="J120" s="1303"/>
      <c r="K120" s="1303"/>
      <c r="L120" s="1303"/>
      <c r="M120" s="1303"/>
      <c r="N120" s="1303"/>
      <c r="O120" s="58"/>
      <c r="P120" s="58"/>
      <c r="Q120" s="1301"/>
      <c r="R120" s="1301"/>
      <c r="S120" s="1301"/>
      <c r="T120" s="1301"/>
      <c r="U120" s="1301"/>
      <c r="V120" s="1301"/>
    </row>
    <row r="121" spans="1:26" x14ac:dyDescent="0.3">
      <c r="A121" s="1308">
        <v>1</v>
      </c>
      <c r="B121" s="2788" t="s">
        <v>6361</v>
      </c>
      <c r="C121" s="2788" t="s">
        <v>7079</v>
      </c>
      <c r="D121" s="2788" t="s">
        <v>6362</v>
      </c>
      <c r="E121" s="2788" t="s">
        <v>7080</v>
      </c>
      <c r="F121" s="1303"/>
      <c r="G121" s="1303"/>
      <c r="H121" s="1303"/>
      <c r="I121" s="1303"/>
      <c r="J121" s="1303"/>
      <c r="K121" s="1303"/>
      <c r="L121" s="1303"/>
      <c r="M121" s="1303"/>
      <c r="N121" s="1303"/>
      <c r="O121" s="58"/>
      <c r="P121" s="58"/>
      <c r="Q121" s="1301"/>
      <c r="R121" s="1301"/>
      <c r="S121" s="1301"/>
      <c r="T121" s="1301"/>
      <c r="U121" s="1301"/>
      <c r="V121" s="1301"/>
    </row>
    <row r="122" spans="1:26" x14ac:dyDescent="0.3">
      <c r="A122" s="50" t="s">
        <v>4944</v>
      </c>
      <c r="B122" s="2787" t="s">
        <v>2307</v>
      </c>
      <c r="C122" s="2787" t="s">
        <v>2308</v>
      </c>
      <c r="D122" s="2787" t="s">
        <v>3657</v>
      </c>
      <c r="E122" s="2787" t="s">
        <v>7083</v>
      </c>
      <c r="F122" s="1303"/>
      <c r="G122" s="1303"/>
      <c r="H122" s="1303"/>
      <c r="I122" s="1303"/>
      <c r="J122" s="1303"/>
      <c r="K122" s="1303"/>
      <c r="L122" s="1303"/>
      <c r="M122" s="1303"/>
      <c r="N122" s="1303"/>
      <c r="O122" s="58"/>
      <c r="P122" s="58"/>
      <c r="Q122" s="1301"/>
      <c r="R122" s="1301"/>
      <c r="S122" s="1301"/>
      <c r="T122" s="1301"/>
      <c r="U122" s="1301"/>
      <c r="V122" s="1301"/>
    </row>
    <row r="123" spans="1:26" x14ac:dyDescent="0.3">
      <c r="A123" s="1150">
        <v>5</v>
      </c>
      <c r="B123" s="14" t="s">
        <v>685</v>
      </c>
      <c r="C123" s="14" t="s">
        <v>685</v>
      </c>
      <c r="D123" s="14" t="s">
        <v>685</v>
      </c>
      <c r="E123" s="14" t="s">
        <v>685</v>
      </c>
      <c r="F123" s="1303"/>
      <c r="G123" s="1303"/>
      <c r="H123" s="1303"/>
      <c r="I123" s="1303"/>
      <c r="J123" s="1303"/>
      <c r="K123" s="1303"/>
      <c r="L123" s="1303"/>
      <c r="M123" s="1303"/>
      <c r="N123" s="1303"/>
      <c r="O123" s="58"/>
      <c r="P123" s="58"/>
      <c r="Q123" s="1301"/>
      <c r="R123" s="1301"/>
      <c r="S123" s="1301"/>
      <c r="T123" s="1301"/>
      <c r="U123" s="1301"/>
      <c r="V123" s="1301"/>
    </row>
    <row r="124" spans="1:26" x14ac:dyDescent="0.3">
      <c r="A124" s="1309"/>
      <c r="B124" s="506" t="str">
        <f>'C8C9C10'!B129</f>
        <v/>
      </c>
      <c r="C124" s="506"/>
      <c r="D124" s="506"/>
      <c r="E124" s="506"/>
      <c r="F124" s="1310"/>
      <c r="G124" s="1303"/>
      <c r="H124" s="1303"/>
      <c r="I124" s="1303"/>
      <c r="J124" s="1303"/>
      <c r="K124" s="1303"/>
      <c r="L124" s="1303"/>
      <c r="M124" s="1303"/>
      <c r="N124" s="1303"/>
      <c r="O124" s="58"/>
      <c r="P124" s="58"/>
      <c r="Q124" s="1301"/>
      <c r="R124" s="1301"/>
      <c r="S124" s="1301"/>
      <c r="T124" s="1301"/>
      <c r="U124" s="1301"/>
      <c r="V124" s="1301"/>
    </row>
    <row r="125" spans="1:26" x14ac:dyDescent="0.3">
      <c r="A125" s="62">
        <v>10</v>
      </c>
      <c r="B125" s="509" t="str">
        <f>PRO&amp;PRO!C7</f>
        <v>PRO13</v>
      </c>
      <c r="C125" s="509" t="str">
        <f>PRO&amp;PRO!C14</f>
        <v>PRO13</v>
      </c>
      <c r="D125" s="509" t="str">
        <f>PRO&amp;PRO!C10</f>
        <v>PRO14</v>
      </c>
      <c r="E125" s="509" t="str">
        <f>PRO&amp;PRO!C17</f>
        <v>PRO14</v>
      </c>
      <c r="F125" s="509" t="str">
        <f>PRO&amp;PRO!G10</f>
        <v>PRO15</v>
      </c>
      <c r="G125" s="509" t="str">
        <f>PRO&amp;PRO!G17</f>
        <v>PRO15</v>
      </c>
      <c r="H125" s="509" t="str">
        <f>PRO&amp;PRO!C21</f>
        <v>PRO21</v>
      </c>
      <c r="I125" s="509" t="str">
        <f>PRO&amp;PRO!G21</f>
        <v>PRO22</v>
      </c>
      <c r="J125" s="3427" t="str">
        <f>PRO&amp;PRO!G24</f>
        <v>PRO33</v>
      </c>
      <c r="K125" s="509" t="str">
        <f>PRO&amp;PRO!G27</f>
        <v>PRO38</v>
      </c>
      <c r="L125" s="509" t="str">
        <f>PRO&amp;PRO!G30</f>
        <v>PRO39</v>
      </c>
      <c r="M125" s="509" t="str">
        <f>PRO&amp;PRO!G33</f>
        <v>PRO40</v>
      </c>
      <c r="N125" s="509" t="str">
        <f>PRO&amp;PRO!G36</f>
        <v>PRO42</v>
      </c>
      <c r="O125" s="1149" t="str">
        <f>PRO&amp;PRO!G39</f>
        <v>PRO44</v>
      </c>
      <c r="P125" s="4"/>
      <c r="Q125" s="4"/>
      <c r="R125" s="4"/>
      <c r="S125" s="4"/>
      <c r="T125" s="4"/>
      <c r="U125" s="4"/>
      <c r="V125" s="4"/>
      <c r="W125" s="4"/>
      <c r="X125" s="4"/>
      <c r="Y125" s="4"/>
    </row>
    <row r="126" spans="1:26" x14ac:dyDescent="0.3">
      <c r="A126" s="50" t="s">
        <v>3566</v>
      </c>
      <c r="B126" s="26" t="s">
        <v>2304</v>
      </c>
      <c r="C126" s="26" t="s">
        <v>1570</v>
      </c>
      <c r="D126" s="26" t="s">
        <v>2305</v>
      </c>
      <c r="E126" s="26" t="s">
        <v>1667</v>
      </c>
      <c r="F126" s="510" t="s">
        <v>680</v>
      </c>
      <c r="G126" s="510" t="s">
        <v>1986</v>
      </c>
      <c r="H126" s="510" t="s">
        <v>6304</v>
      </c>
      <c r="I126" s="510" t="s">
        <v>4060</v>
      </c>
      <c r="J126" s="3440" t="s">
        <v>3588</v>
      </c>
      <c r="K126" s="26" t="s">
        <v>3589</v>
      </c>
      <c r="L126" s="26" t="s">
        <v>820</v>
      </c>
      <c r="M126" s="510" t="s">
        <v>821</v>
      </c>
      <c r="N126" s="510" t="s">
        <v>2780</v>
      </c>
      <c r="O126" s="1705" t="s">
        <v>6941</v>
      </c>
      <c r="P126" s="4"/>
      <c r="Q126" s="4"/>
      <c r="R126" s="4"/>
      <c r="S126" s="4"/>
      <c r="T126" s="4"/>
      <c r="U126" s="4"/>
      <c r="V126" s="4"/>
      <c r="W126" s="4"/>
      <c r="X126" s="4"/>
      <c r="Y126" s="4"/>
    </row>
    <row r="127" spans="1:26" x14ac:dyDescent="0.3">
      <c r="A127" s="1150">
        <v>15</v>
      </c>
      <c r="B127" s="26" t="s">
        <v>685</v>
      </c>
      <c r="C127" s="26" t="s">
        <v>685</v>
      </c>
      <c r="D127" s="26" t="s">
        <v>685</v>
      </c>
      <c r="E127" s="26" t="s">
        <v>685</v>
      </c>
      <c r="F127" s="26" t="s">
        <v>685</v>
      </c>
      <c r="G127" s="26" t="s">
        <v>685</v>
      </c>
      <c r="H127" s="26" t="s">
        <v>685</v>
      </c>
      <c r="I127" s="26" t="s">
        <v>685</v>
      </c>
      <c r="J127" s="3429" t="s">
        <v>685</v>
      </c>
      <c r="K127" s="1706" t="s">
        <v>685</v>
      </c>
      <c r="L127" s="1706" t="s">
        <v>685</v>
      </c>
      <c r="M127" s="26" t="s">
        <v>685</v>
      </c>
      <c r="N127" s="26" t="s">
        <v>685</v>
      </c>
      <c r="O127" s="1148" t="s">
        <v>685</v>
      </c>
      <c r="P127" s="4"/>
      <c r="Q127" s="4"/>
      <c r="R127" s="4"/>
      <c r="S127" s="4"/>
      <c r="T127" s="4"/>
      <c r="U127" s="4"/>
      <c r="V127" s="4"/>
      <c r="W127" s="4"/>
      <c r="X127" s="4"/>
      <c r="Y127" s="4"/>
    </row>
    <row r="128" spans="1:26" x14ac:dyDescent="0.3">
      <c r="A128" s="55"/>
      <c r="B128" s="726">
        <f>'C5'!B16</f>
        <v>0</v>
      </c>
      <c r="C128" s="726">
        <f>'C5'!B33</f>
        <v>0</v>
      </c>
      <c r="D128" s="726" t="str">
        <f>'C5'!B17</f>
        <v/>
      </c>
      <c r="E128" s="726" t="str">
        <f>'C5'!B34</f>
        <v/>
      </c>
      <c r="F128" s="26">
        <f>'C5'!B18</f>
        <v>0</v>
      </c>
      <c r="G128" s="26">
        <f>'C5'!B35</f>
        <v>0</v>
      </c>
      <c r="H128" s="26" t="str">
        <f>'C5'!B43</f>
        <v/>
      </c>
      <c r="I128" s="726" t="str">
        <f>'C5'!B44</f>
        <v/>
      </c>
      <c r="J128" s="3430"/>
      <c r="K128" s="1650">
        <f>'C5'!B60</f>
        <v>1204</v>
      </c>
      <c r="L128" s="1302">
        <f>'C5'!B61</f>
        <v>1204</v>
      </c>
      <c r="M128" s="26">
        <f>'C5'!B62</f>
        <v>0</v>
      </c>
      <c r="N128" s="26" t="str">
        <f>'C5'!B64</f>
        <v/>
      </c>
      <c r="O128" s="1148" t="str">
        <f>'C5'!B66</f>
        <v/>
      </c>
      <c r="P128" s="4"/>
      <c r="Q128" s="4"/>
      <c r="R128" s="4"/>
      <c r="S128" s="4"/>
      <c r="T128" s="4"/>
      <c r="U128" s="4"/>
      <c r="V128" s="4"/>
      <c r="W128" s="4"/>
      <c r="X128" s="4"/>
      <c r="Y128" s="4"/>
    </row>
    <row r="129" spans="1:28" x14ac:dyDescent="0.3">
      <c r="A129" s="62">
        <v>1</v>
      </c>
      <c r="B129" s="509" t="str">
        <f>FOR&amp;FOR!C9</f>
        <v>FOR2</v>
      </c>
      <c r="C129" s="509" t="str">
        <f>FOR&amp;FOR!C16</f>
        <v>FOR3</v>
      </c>
      <c r="D129" s="509" t="str">
        <f>FOR&amp;FOR!G16</f>
        <v>FOR4</v>
      </c>
      <c r="E129" s="509" t="str">
        <f>FOR&amp;FOR!C19</f>
        <v>FOR5</v>
      </c>
      <c r="F129" s="509" t="str">
        <f>FOR&amp;FOR!G19</f>
        <v>FOR6</v>
      </c>
      <c r="G129" s="509" t="str">
        <f>FOR&amp;FOR!C27</f>
        <v>FOR8</v>
      </c>
      <c r="H129" s="509" t="str">
        <f>FOR&amp;FOR!G27</f>
        <v>FOR9</v>
      </c>
      <c r="I129" s="509" t="str">
        <f>FOR&amp;FOR!C30</f>
        <v>FOR10</v>
      </c>
      <c r="J129" s="509" t="str">
        <f>FOR&amp;FOR!G30</f>
        <v>FOR11</v>
      </c>
      <c r="K129" s="509" t="str">
        <f>FOR&amp;FOR!C33</f>
        <v>FOR12</v>
      </c>
      <c r="L129" s="509" t="str">
        <f>FOR&amp;FOR!G33</f>
        <v>FOR13</v>
      </c>
      <c r="M129" s="3139" t="str">
        <f>FOR&amp;FOR!G37</f>
        <v>FOR13.1</v>
      </c>
      <c r="N129" s="1149" t="s">
        <v>1601</v>
      </c>
      <c r="O129" s="1149" t="s">
        <v>6999</v>
      </c>
      <c r="P129" s="1646" t="str">
        <f>FOR&amp;FOR!K9</f>
        <v>FOR26</v>
      </c>
      <c r="Q129" s="509" t="str">
        <f>FOR&amp;FOR!K13</f>
        <v>FOR29</v>
      </c>
      <c r="R129" s="509" t="str">
        <f>FOR&amp;FOR!O13</f>
        <v>FOR30</v>
      </c>
      <c r="S129" s="509" t="str">
        <f>FOR&amp;FOR!K17</f>
        <v>FOR31</v>
      </c>
      <c r="T129" s="509" t="str">
        <f>FOR&amp;FOR!O17</f>
        <v>FOR32</v>
      </c>
      <c r="U129" s="509" t="str">
        <f>FOR&amp;FOR!K23</f>
        <v>FOR39</v>
      </c>
      <c r="V129" s="509" t="str">
        <f>FOR&amp;FOR!O23</f>
        <v>FOR40</v>
      </c>
      <c r="W129" s="509" t="str">
        <f>FOR&amp;FOR!K31</f>
        <v>FOR41</v>
      </c>
      <c r="X129" s="509" t="str">
        <f>FOR&amp;FOR!K34</f>
        <v>FOR42</v>
      </c>
      <c r="Y129" s="509" t="str">
        <f>FOR&amp;FOR!K37</f>
        <v>FOR43</v>
      </c>
      <c r="Z129" s="509" t="str">
        <f>FOR&amp;FOR!O31</f>
        <v>FOR44</v>
      </c>
      <c r="AA129" s="509" t="str">
        <f>FOR&amp;FOR!O34</f>
        <v>FOR45</v>
      </c>
      <c r="AB129" s="505" t="s">
        <v>3954</v>
      </c>
    </row>
    <row r="130" spans="1:28" x14ac:dyDescent="0.3">
      <c r="A130" s="50" t="s">
        <v>3567</v>
      </c>
      <c r="B130" s="511" t="s">
        <v>1945</v>
      </c>
      <c r="C130" s="511" t="s">
        <v>2314</v>
      </c>
      <c r="D130" s="591" t="s">
        <v>644</v>
      </c>
      <c r="E130" s="511" t="s">
        <v>2307</v>
      </c>
      <c r="F130" s="591" t="s">
        <v>2310</v>
      </c>
      <c r="G130" s="511" t="s">
        <v>3587</v>
      </c>
      <c r="H130" s="511" t="s">
        <v>3589</v>
      </c>
      <c r="I130" s="511" t="s">
        <v>818</v>
      </c>
      <c r="J130" s="511" t="s">
        <v>820</v>
      </c>
      <c r="K130" s="511" t="s">
        <v>819</v>
      </c>
      <c r="L130" s="511" t="s">
        <v>821</v>
      </c>
      <c r="M130" s="2776" t="s">
        <v>4669</v>
      </c>
      <c r="N130" s="1705" t="s">
        <v>631</v>
      </c>
      <c r="O130" s="1705" t="s">
        <v>7004</v>
      </c>
      <c r="P130" s="1148" t="s">
        <v>635</v>
      </c>
      <c r="Q130" s="2776" t="s">
        <v>639</v>
      </c>
      <c r="R130" s="2776" t="s">
        <v>4977</v>
      </c>
      <c r="S130" s="2776" t="s">
        <v>920</v>
      </c>
      <c r="T130" s="2776" t="s">
        <v>7005</v>
      </c>
      <c r="U130" s="2776" t="s">
        <v>2694</v>
      </c>
      <c r="V130" s="2776" t="s">
        <v>7006</v>
      </c>
      <c r="W130" s="2777" t="s">
        <v>63</v>
      </c>
      <c r="X130" s="2777" t="s">
        <v>66</v>
      </c>
      <c r="Y130" s="2777" t="s">
        <v>69</v>
      </c>
      <c r="Z130" s="1148" t="s">
        <v>7007</v>
      </c>
      <c r="AA130" s="2776" t="s">
        <v>7008</v>
      </c>
      <c r="AB130" s="14" t="s">
        <v>3955</v>
      </c>
    </row>
    <row r="131" spans="1:28" x14ac:dyDescent="0.3">
      <c r="A131" s="1150">
        <v>28</v>
      </c>
      <c r="B131" s="26" t="s">
        <v>685</v>
      </c>
      <c r="C131" s="26" t="s">
        <v>685</v>
      </c>
      <c r="D131" s="26" t="s">
        <v>685</v>
      </c>
      <c r="E131" s="26" t="s">
        <v>685</v>
      </c>
      <c r="F131" s="26" t="s">
        <v>685</v>
      </c>
      <c r="G131" s="26" t="s">
        <v>685</v>
      </c>
      <c r="H131" s="26" t="s">
        <v>685</v>
      </c>
      <c r="I131" s="26" t="s">
        <v>685</v>
      </c>
      <c r="J131" s="26" t="s">
        <v>685</v>
      </c>
      <c r="K131" s="26" t="s">
        <v>685</v>
      </c>
      <c r="L131" s="26" t="s">
        <v>685</v>
      </c>
      <c r="M131" s="1148" t="s">
        <v>685</v>
      </c>
      <c r="N131" s="1148" t="s">
        <v>685</v>
      </c>
      <c r="O131" s="1148" t="s">
        <v>685</v>
      </c>
      <c r="P131" s="26" t="s">
        <v>685</v>
      </c>
      <c r="Q131" s="26" t="s">
        <v>685</v>
      </c>
      <c r="R131" s="26" t="s">
        <v>685</v>
      </c>
      <c r="S131" s="26" t="s">
        <v>685</v>
      </c>
      <c r="T131" s="26" t="s">
        <v>685</v>
      </c>
      <c r="U131" s="26" t="s">
        <v>685</v>
      </c>
      <c r="V131" s="26" t="s">
        <v>685</v>
      </c>
      <c r="W131" s="26" t="s">
        <v>685</v>
      </c>
      <c r="X131" s="26" t="s">
        <v>685</v>
      </c>
      <c r="Y131" s="26" t="s">
        <v>685</v>
      </c>
      <c r="Z131" s="26" t="s">
        <v>685</v>
      </c>
      <c r="AA131" s="26" t="s">
        <v>685</v>
      </c>
      <c r="AB131" s="51" t="b">
        <v>0</v>
      </c>
    </row>
    <row r="132" spans="1:28" x14ac:dyDescent="0.3">
      <c r="A132" s="55"/>
      <c r="B132" s="27" t="str">
        <f>'C6'!B3</f>
        <v/>
      </c>
      <c r="C132" s="27" t="str">
        <f>'C6'!B16</f>
        <v/>
      </c>
      <c r="D132" s="27" t="str">
        <f>'C6'!B17</f>
        <v/>
      </c>
      <c r="E132" s="27" t="str">
        <f>'C6'!B48</f>
        <v/>
      </c>
      <c r="F132" s="27" t="str">
        <f>'C6'!B49</f>
        <v/>
      </c>
      <c r="G132" s="27" t="str">
        <f>'C6'!B56</f>
        <v/>
      </c>
      <c r="H132" s="27" t="str">
        <f>'C6'!B57</f>
        <v/>
      </c>
      <c r="I132" s="27" t="str">
        <f>'C6'!B64</f>
        <v/>
      </c>
      <c r="J132" s="27" t="str">
        <f>'C6'!B65</f>
        <v/>
      </c>
      <c r="K132" s="27" t="str">
        <f>'C6'!B72</f>
        <v/>
      </c>
      <c r="L132" s="27" t="str">
        <f>'C6'!B73</f>
        <v/>
      </c>
      <c r="M132" s="3140" t="str">
        <f>'C6'!B74</f>
        <v/>
      </c>
      <c r="N132" s="1148" t="str">
        <f>'C6'!B87</f>
        <v/>
      </c>
      <c r="O132" s="1148" t="str">
        <f>'C6'!B88</f>
        <v/>
      </c>
      <c r="P132" s="27" t="str">
        <f>'C6'!B96</f>
        <v/>
      </c>
      <c r="Q132" s="27" t="str">
        <f>'C6'!B99</f>
        <v/>
      </c>
      <c r="R132" s="27" t="str">
        <f>'C6'!B100</f>
        <v/>
      </c>
      <c r="S132" s="27" t="str">
        <f>'C6'!B101</f>
        <v/>
      </c>
      <c r="T132" s="27" t="str">
        <f>'C6'!B102</f>
        <v/>
      </c>
      <c r="U132" s="27" t="str">
        <f>'C6'!B125</f>
        <v/>
      </c>
      <c r="V132" s="27" t="str">
        <f>'C6'!B126</f>
        <v/>
      </c>
      <c r="W132" s="27" t="str">
        <f>'C6'!B127</f>
        <v/>
      </c>
      <c r="X132" s="27" t="str">
        <f>'C6'!B128</f>
        <v/>
      </c>
      <c r="Y132" s="27" t="str">
        <f>'C6'!B129</f>
        <v/>
      </c>
      <c r="Z132" s="27" t="str">
        <f>'C6'!B130</f>
        <v/>
      </c>
      <c r="AA132" s="27" t="str">
        <f>'C6'!B131</f>
        <v/>
      </c>
      <c r="AB132" s="54"/>
    </row>
    <row r="133" spans="1:28" x14ac:dyDescent="0.3">
      <c r="A133" s="62">
        <v>1</v>
      </c>
      <c r="B133" s="509" t="str">
        <f>TRU&amp;TRU!C6</f>
        <v>TRU1</v>
      </c>
      <c r="C133" s="509" t="str">
        <f>TRU&amp;TRU!G6</f>
        <v>TRU2</v>
      </c>
      <c r="D133" s="509" t="str">
        <f>TRU&amp;TRU!C11</f>
        <v>TRU3</v>
      </c>
      <c r="E133" s="509" t="str">
        <f>TRU&amp;TRU!C15</f>
        <v>TRU4</v>
      </c>
      <c r="F133" s="509" t="str">
        <f>TRU&amp;TRU!G11</f>
        <v>TRU5</v>
      </c>
      <c r="G133" s="509" t="str">
        <f>TRU&amp;TRU!C20</f>
        <v>TRU7</v>
      </c>
      <c r="H133" s="509" t="str">
        <f>TRU&amp;TRU!C24</f>
        <v>TRU8</v>
      </c>
      <c r="I133" s="509" t="str">
        <f>TRU&amp;TRU!C28</f>
        <v>TRU9</v>
      </c>
      <c r="J133" s="509" t="str">
        <f>TRU&amp;TRU!C32</f>
        <v>TRU10</v>
      </c>
      <c r="K133" s="509" t="str">
        <f>TRU&amp;TRU!G20</f>
        <v>TRU11</v>
      </c>
      <c r="L133" s="509" t="str">
        <f>TRU&amp;TRU!G24</f>
        <v>TRU12</v>
      </c>
      <c r="M133" s="509" t="str">
        <f>TRU&amp;TRU!G28</f>
        <v>TRU13</v>
      </c>
      <c r="N133" s="509" t="str">
        <f>TRU&amp;TRU!G32</f>
        <v>TRU14</v>
      </c>
      <c r="O133" s="509" t="str">
        <f>TRU&amp;TRU!G36</f>
        <v>TRU15</v>
      </c>
      <c r="P133" s="509" t="str">
        <f>TRU&amp;TRU!K6</f>
        <v>TRU16</v>
      </c>
      <c r="Q133" s="509" t="str">
        <f>TRU&amp;TRU!K11</f>
        <v>TRU17</v>
      </c>
      <c r="R133" s="509" t="str">
        <f>TRU&amp;TRU!K15</f>
        <v>TRU18</v>
      </c>
      <c r="S133" s="509" t="str">
        <f>TRU&amp;TRU!O6</f>
        <v>TRU19</v>
      </c>
      <c r="T133" s="509" t="str">
        <f>TRU&amp;TRU!O11</f>
        <v>TRU20</v>
      </c>
      <c r="U133" s="509" t="str">
        <f>TRU&amp;TRU!K20</f>
        <v>TRU22</v>
      </c>
      <c r="V133" s="509" t="str">
        <f>TRU&amp;TRU!O20</f>
        <v>TRU23</v>
      </c>
      <c r="W133" s="509" t="str">
        <f>TRU&amp;TRU!K28</f>
        <v>TRU24</v>
      </c>
      <c r="X133" s="1149" t="s">
        <v>1074</v>
      </c>
      <c r="Y133" s="1149" t="s">
        <v>7026</v>
      </c>
    </row>
    <row r="134" spans="1:28" x14ac:dyDescent="0.3">
      <c r="A134" s="50" t="s">
        <v>3568</v>
      </c>
      <c r="B134" s="510" t="s">
        <v>550</v>
      </c>
      <c r="C134" s="510" t="s">
        <v>551</v>
      </c>
      <c r="D134" s="510" t="s">
        <v>1666</v>
      </c>
      <c r="E134" s="510" t="s">
        <v>552</v>
      </c>
      <c r="F134" s="510" t="s">
        <v>681</v>
      </c>
      <c r="G134" s="510" t="s">
        <v>2313</v>
      </c>
      <c r="H134" s="510" t="s">
        <v>3656</v>
      </c>
      <c r="I134" s="510" t="s">
        <v>2316</v>
      </c>
      <c r="J134" s="510" t="s">
        <v>2778</v>
      </c>
      <c r="K134" s="510" t="s">
        <v>1668</v>
      </c>
      <c r="L134" s="510" t="s">
        <v>3588</v>
      </c>
      <c r="M134" s="510" t="s">
        <v>2317</v>
      </c>
      <c r="N134" s="510" t="s">
        <v>2781</v>
      </c>
      <c r="O134" s="510" t="s">
        <v>2780</v>
      </c>
      <c r="P134" s="510" t="s">
        <v>632</v>
      </c>
      <c r="Q134" s="510" t="s">
        <v>637</v>
      </c>
      <c r="R134" s="510" t="s">
        <v>918</v>
      </c>
      <c r="S134" s="510" t="s">
        <v>842</v>
      </c>
      <c r="T134" s="510" t="s">
        <v>2779</v>
      </c>
      <c r="U134" s="510" t="s">
        <v>2691</v>
      </c>
      <c r="V134" s="510" t="s">
        <v>2782</v>
      </c>
      <c r="W134" s="510" t="s">
        <v>1821</v>
      </c>
      <c r="X134" s="1705" t="s">
        <v>68</v>
      </c>
      <c r="Y134" s="1705" t="s">
        <v>7027</v>
      </c>
    </row>
    <row r="135" spans="1:28" x14ac:dyDescent="0.3">
      <c r="A135" s="1150">
        <v>25</v>
      </c>
      <c r="B135" s="26" t="s">
        <v>685</v>
      </c>
      <c r="C135" s="26" t="s">
        <v>685</v>
      </c>
      <c r="D135" s="26" t="s">
        <v>685</v>
      </c>
      <c r="E135" s="26" t="s">
        <v>685</v>
      </c>
      <c r="F135" s="26" t="s">
        <v>685</v>
      </c>
      <c r="G135" s="26" t="s">
        <v>685</v>
      </c>
      <c r="H135" s="26" t="s">
        <v>685</v>
      </c>
      <c r="I135" s="26" t="s">
        <v>685</v>
      </c>
      <c r="J135" s="26" t="s">
        <v>685</v>
      </c>
      <c r="K135" s="26" t="s">
        <v>685</v>
      </c>
      <c r="L135" s="26" t="s">
        <v>685</v>
      </c>
      <c r="M135" s="26" t="s">
        <v>685</v>
      </c>
      <c r="N135" s="26" t="s">
        <v>685</v>
      </c>
      <c r="O135" s="26" t="s">
        <v>685</v>
      </c>
      <c r="P135" s="26" t="s">
        <v>685</v>
      </c>
      <c r="Q135" s="26" t="s">
        <v>685</v>
      </c>
      <c r="R135" s="26" t="s">
        <v>685</v>
      </c>
      <c r="S135" s="26" t="s">
        <v>685</v>
      </c>
      <c r="T135" s="26" t="s">
        <v>685</v>
      </c>
      <c r="U135" s="26" t="s">
        <v>685</v>
      </c>
      <c r="V135" s="26" t="s">
        <v>685</v>
      </c>
      <c r="W135" s="26" t="s">
        <v>685</v>
      </c>
      <c r="X135" s="1148" t="s">
        <v>685</v>
      </c>
      <c r="Y135" s="1148" t="s">
        <v>685</v>
      </c>
    </row>
    <row r="136" spans="1:28" x14ac:dyDescent="0.3">
      <c r="A136" s="55"/>
      <c r="B136" s="726" t="str">
        <f>'C7'!B2</f>
        <v/>
      </c>
      <c r="C136" s="726" t="str">
        <f>'C7'!B3</f>
        <v/>
      </c>
      <c r="D136" s="726" t="str">
        <f>'C7'!B4</f>
        <v/>
      </c>
      <c r="E136" s="726" t="str">
        <f>'C7'!B5</f>
        <v/>
      </c>
      <c r="F136" s="726" t="str">
        <f>'C7'!B6</f>
        <v/>
      </c>
      <c r="G136" s="726" t="str">
        <f>'C7'!B8</f>
        <v/>
      </c>
      <c r="H136" s="726" t="str">
        <f>'C7'!B9</f>
        <v/>
      </c>
      <c r="I136" s="726" t="str">
        <f>'C7'!B10</f>
        <v/>
      </c>
      <c r="J136" s="726" t="str">
        <f>'C7'!B11</f>
        <v/>
      </c>
      <c r="K136" s="726" t="str">
        <f>'C7'!B12</f>
        <v/>
      </c>
      <c r="L136" s="726" t="str">
        <f>'C7'!B13</f>
        <v/>
      </c>
      <c r="M136" s="726" t="str">
        <f>'C7'!B14</f>
        <v/>
      </c>
      <c r="N136" s="726" t="str">
        <f>'C7'!B15</f>
        <v/>
      </c>
      <c r="O136" s="726" t="str">
        <f>'C7'!B16</f>
        <v/>
      </c>
      <c r="P136" s="726" t="str">
        <f>'C7'!B17</f>
        <v/>
      </c>
      <c r="Q136" s="726" t="str">
        <f>'C7'!B18</f>
        <v/>
      </c>
      <c r="R136" s="726" t="str">
        <f>'C7'!B19</f>
        <v/>
      </c>
      <c r="S136" s="726" t="str">
        <f>'C7'!B20</f>
        <v/>
      </c>
      <c r="T136" s="726" t="str">
        <f>'C7'!B21</f>
        <v/>
      </c>
      <c r="U136" s="726" t="str">
        <f>'C7'!B23</f>
        <v/>
      </c>
      <c r="V136" s="726" t="str">
        <f>'C7'!B24</f>
        <v/>
      </c>
      <c r="W136" s="726" t="str">
        <f>'C7'!B25</f>
        <v/>
      </c>
      <c r="X136" s="1148" t="str">
        <f>'C7'!B26</f>
        <v/>
      </c>
      <c r="Y136" s="1148"/>
    </row>
    <row r="137" spans="1:28" x14ac:dyDescent="0.3">
      <c r="A137" s="62">
        <v>1</v>
      </c>
      <c r="B137" s="509" t="str">
        <f>CGT&amp;CGT!C4</f>
        <v>CGT6</v>
      </c>
      <c r="C137" s="509" t="str">
        <f>CGT&amp;CGT!C7</f>
        <v>CGT7</v>
      </c>
      <c r="D137" s="509" t="str">
        <f>CGT&amp;CGT!G4</f>
        <v>CGT9</v>
      </c>
      <c r="E137" s="509" t="str">
        <f>CGT&amp;CGT!G7</f>
        <v>CGT10</v>
      </c>
      <c r="F137" s="509" t="str">
        <f>CGT&amp;CGT!G10</f>
        <v>CGT12</v>
      </c>
      <c r="G137" s="509" t="str">
        <f>CGT&amp;CGT!C14</f>
        <v>CGT17</v>
      </c>
      <c r="H137" s="509" t="str">
        <f>CGT&amp;CGT!C17</f>
        <v>CGT18</v>
      </c>
      <c r="I137" s="509" t="str">
        <f>CGT&amp;CGT!G14</f>
        <v>CGT19</v>
      </c>
      <c r="J137" s="509" t="str">
        <f>CGT&amp;CGT!G20</f>
        <v>CGT22</v>
      </c>
      <c r="K137" s="509" t="str">
        <f>CGT&amp;CGT!C24</f>
        <v>CGT26</v>
      </c>
      <c r="L137" s="509" t="str">
        <f>CGT&amp;CGT!G24</f>
        <v>CGT27</v>
      </c>
      <c r="M137" s="509" t="str">
        <f>CGT&amp;CGT!G27</f>
        <v>CGT30</v>
      </c>
      <c r="N137" s="509" t="str">
        <f>CGT&amp;CGT!C31</f>
        <v>CGT34</v>
      </c>
      <c r="O137" s="509" t="str">
        <f>CGT&amp;CGT!C34</f>
        <v>CGT35</v>
      </c>
      <c r="P137" s="509" t="str">
        <f>CGT&amp;CGT!G34</f>
        <v>CGT38</v>
      </c>
      <c r="Q137" s="509" t="str">
        <f>CGT&amp;CGT!C37</f>
        <v>CGT41</v>
      </c>
      <c r="R137" s="509" t="str">
        <f>CGT&amp;CGT!C40</f>
        <v>CGT42</v>
      </c>
      <c r="S137" s="509" t="str">
        <f>CGT&amp;CGT!G40</f>
        <v>CGT43</v>
      </c>
      <c r="T137" s="509" t="str">
        <f>CGT&amp;CGT!L4</f>
        <v>CGT45</v>
      </c>
      <c r="U137" s="509" t="str">
        <f>CGT&amp;CGT!P4</f>
        <v>CGT46</v>
      </c>
      <c r="V137" s="509" t="str">
        <f>CGT&amp;CGT!P8</f>
        <v>CGT48</v>
      </c>
      <c r="W137" s="509" t="str">
        <f>CGT&amp;CGT!P12</f>
        <v>CGT50</v>
      </c>
      <c r="X137" s="509" t="str">
        <f>CGT&amp;CGT!L15</f>
        <v>CGT51</v>
      </c>
      <c r="Y137" s="509" t="str">
        <f>CGT&amp;CGT!P15</f>
        <v>CGT52</v>
      </c>
    </row>
    <row r="138" spans="1:28" x14ac:dyDescent="0.3">
      <c r="A138" s="50" t="s">
        <v>2951</v>
      </c>
      <c r="B138" s="510" t="s">
        <v>2303</v>
      </c>
      <c r="C138" s="510" t="s">
        <v>2304</v>
      </c>
      <c r="D138" s="510" t="s">
        <v>683</v>
      </c>
      <c r="E138" s="510" t="s">
        <v>2966</v>
      </c>
      <c r="F138" s="510" t="s">
        <v>680</v>
      </c>
      <c r="G138" s="510" t="s">
        <v>1570</v>
      </c>
      <c r="H138" s="510" t="s">
        <v>1667</v>
      </c>
      <c r="I138" s="510" t="s">
        <v>682</v>
      </c>
      <c r="J138" s="510" t="s">
        <v>1668</v>
      </c>
      <c r="K138" s="510" t="s">
        <v>3656</v>
      </c>
      <c r="L138" s="510" t="s">
        <v>3588</v>
      </c>
      <c r="M138" s="510" t="s">
        <v>3589</v>
      </c>
      <c r="N138" s="510" t="s">
        <v>831</v>
      </c>
      <c r="O138" s="510" t="s">
        <v>794</v>
      </c>
      <c r="P138" s="510" t="s">
        <v>4592</v>
      </c>
      <c r="Q138" s="510" t="s">
        <v>4591</v>
      </c>
      <c r="R138" s="510" t="s">
        <v>4658</v>
      </c>
      <c r="S138" s="510" t="s">
        <v>4675</v>
      </c>
      <c r="T138" s="510" t="s">
        <v>5807</v>
      </c>
      <c r="U138" s="510" t="s">
        <v>5808</v>
      </c>
      <c r="V138" s="510" t="s">
        <v>692</v>
      </c>
      <c r="W138" s="510" t="s">
        <v>695</v>
      </c>
      <c r="X138" s="510" t="s">
        <v>6228</v>
      </c>
      <c r="Y138" s="510" t="s">
        <v>6229</v>
      </c>
    </row>
    <row r="139" spans="1:28" x14ac:dyDescent="0.3">
      <c r="A139" s="1154">
        <v>25</v>
      </c>
      <c r="B139" s="26" t="s">
        <v>685</v>
      </c>
      <c r="C139" s="26" t="s">
        <v>685</v>
      </c>
      <c r="D139" s="26" t="s">
        <v>685</v>
      </c>
      <c r="E139" s="26" t="s">
        <v>685</v>
      </c>
      <c r="F139" s="26" t="s">
        <v>685</v>
      </c>
      <c r="G139" s="26" t="s">
        <v>685</v>
      </c>
      <c r="H139" s="26" t="s">
        <v>685</v>
      </c>
      <c r="I139" s="26" t="s">
        <v>685</v>
      </c>
      <c r="J139" s="26" t="s">
        <v>685</v>
      </c>
      <c r="K139" s="26" t="s">
        <v>685</v>
      </c>
      <c r="L139" s="26" t="s">
        <v>685</v>
      </c>
      <c r="M139" s="26" t="s">
        <v>685</v>
      </c>
      <c r="N139" s="26" t="s">
        <v>685</v>
      </c>
      <c r="O139" s="26" t="s">
        <v>685</v>
      </c>
      <c r="P139" s="26" t="s">
        <v>685</v>
      </c>
      <c r="Q139" s="26" t="s">
        <v>685</v>
      </c>
      <c r="R139" s="26" t="s">
        <v>685</v>
      </c>
      <c r="S139" s="26" t="s">
        <v>685</v>
      </c>
      <c r="T139" s="26" t="s">
        <v>685</v>
      </c>
      <c r="U139" s="26" t="s">
        <v>685</v>
      </c>
      <c r="V139" s="26" t="s">
        <v>685</v>
      </c>
      <c r="W139" s="26" t="s">
        <v>685</v>
      </c>
      <c r="X139" s="26" t="s">
        <v>685</v>
      </c>
      <c r="Y139" s="26" t="s">
        <v>685</v>
      </c>
    </row>
    <row r="140" spans="1:28" x14ac:dyDescent="0.3">
      <c r="A140" s="55"/>
      <c r="B140" s="726" t="str">
        <f>'C8C9C10'!B8</f>
        <v/>
      </c>
      <c r="C140" s="726" t="str">
        <f>'C8C9C10'!B9</f>
        <v/>
      </c>
      <c r="D140" s="726" t="str">
        <f>'C8C9C10'!B11</f>
        <v/>
      </c>
      <c r="E140" s="726" t="str">
        <f>'C8C9C10'!B12</f>
        <v/>
      </c>
      <c r="F140" s="726" t="str">
        <f>'C8C9C10'!B14</f>
        <v/>
      </c>
      <c r="G140" s="726" t="str">
        <f>'C8C9C10'!B19</f>
        <v/>
      </c>
      <c r="H140" s="726" t="str">
        <f>'C8C9C10'!B20</f>
        <v/>
      </c>
      <c r="I140" s="726" t="str">
        <f>'C8C9C10'!B21</f>
        <v/>
      </c>
      <c r="J140" s="726" t="str">
        <f>'C8C9C10'!B24</f>
        <v/>
      </c>
      <c r="K140" s="726" t="str">
        <f>'C8C9C10'!B28</f>
        <v/>
      </c>
      <c r="L140" s="726" t="str">
        <f>'C8C9C10'!B29</f>
        <v/>
      </c>
      <c r="M140" s="726" t="str">
        <f>'C8C9C10'!B32</f>
        <v/>
      </c>
      <c r="N140" s="726" t="str">
        <f>'C8C9C10'!B36</f>
        <v/>
      </c>
      <c r="O140" s="726" t="str">
        <f>'C8C9C10'!B37</f>
        <v/>
      </c>
      <c r="P140" s="726" t="str">
        <f>'C8C9C10'!B40</f>
        <v/>
      </c>
      <c r="Q140" s="27" t="str">
        <f>'C8C9C10'!B43</f>
        <v/>
      </c>
      <c r="R140" s="27" t="str">
        <f>'C8C9C10'!B44</f>
        <v/>
      </c>
      <c r="S140" s="27" t="str">
        <f>'C8C9C10'!B45</f>
        <v/>
      </c>
      <c r="T140" s="27" t="str">
        <f>'C8C9C10'!B47</f>
        <v/>
      </c>
      <c r="U140" s="27" t="str">
        <f>'C8C9C10'!B48</f>
        <v/>
      </c>
      <c r="V140" s="27" t="str">
        <f>'C8C9C10'!B50</f>
        <v/>
      </c>
      <c r="W140" s="27" t="str">
        <f>'C8C9C10'!B52</f>
        <v/>
      </c>
      <c r="X140" s="27" t="str">
        <f>'C8C9C10'!B53</f>
        <v/>
      </c>
      <c r="Y140" s="27" t="str">
        <f>'C8C9C10'!B54</f>
        <v/>
      </c>
    </row>
    <row r="141" spans="1:28" x14ac:dyDescent="0.3">
      <c r="A141" s="62">
        <v>7</v>
      </c>
      <c r="B141" s="509" t="str">
        <f>NRD&amp;NRD!C5</f>
        <v>NRD1</v>
      </c>
      <c r="C141" s="509" t="str">
        <f>NRD&amp;NRD!C9</f>
        <v>NRD15</v>
      </c>
      <c r="D141" s="509" t="str">
        <f>NRD&amp;NRD!C12</f>
        <v>NRD16</v>
      </c>
      <c r="E141" s="509" t="str">
        <f>NRD&amp;NRD!D16</f>
        <v>NRD20</v>
      </c>
      <c r="F141" s="509" t="str">
        <f>NRD&amp;NRD!D19</f>
        <v>NRD21</v>
      </c>
      <c r="G141" s="509" t="str">
        <f>NRD&amp;NRD!D22</f>
        <v>NRD22</v>
      </c>
      <c r="H141" s="509" t="s">
        <v>3332</v>
      </c>
      <c r="I141" s="509" t="str">
        <f>NRD&amp;NRD!H5</f>
        <v>NRD28</v>
      </c>
      <c r="J141" s="509" t="str">
        <f>NRD&amp;NRD!H8</f>
        <v>NRD29</v>
      </c>
      <c r="K141" s="509" t="str">
        <f>NRD&amp;NRD!H11</f>
        <v>NRD30</v>
      </c>
      <c r="L141" s="509" t="str">
        <f>NRD&amp;NRD!H14</f>
        <v>NRD31</v>
      </c>
      <c r="M141" s="509" t="str">
        <f>NRD&amp;NRD!H17</f>
        <v>NRD32</v>
      </c>
      <c r="N141" s="1652" t="str">
        <f>NRD&amp;NRD!H20</f>
        <v>NRD33</v>
      </c>
      <c r="O141" s="1652" t="str">
        <f>NRD&amp;NRD!K20</f>
        <v>NRD34</v>
      </c>
      <c r="P141" s="1652" t="str">
        <f>NRD&amp;NRD!H23</f>
        <v>NRD35</v>
      </c>
      <c r="Q141" s="1652" t="str">
        <f>NRD&amp;NRD!K23</f>
        <v>NRD36</v>
      </c>
      <c r="R141" s="4"/>
      <c r="S141" s="4"/>
      <c r="T141" s="4"/>
      <c r="U141" s="4"/>
      <c r="V141" s="4"/>
      <c r="W141" s="4"/>
      <c r="X141" s="4"/>
      <c r="Y141" s="4"/>
    </row>
    <row r="142" spans="1:28" x14ac:dyDescent="0.3">
      <c r="A142" s="50" t="s">
        <v>3569</v>
      </c>
      <c r="B142" s="26" t="s">
        <v>691</v>
      </c>
      <c r="C142" s="26" t="s">
        <v>696</v>
      </c>
      <c r="D142" s="26" t="s">
        <v>692</v>
      </c>
      <c r="E142" s="511" t="s">
        <v>2130</v>
      </c>
      <c r="F142" s="511" t="s">
        <v>2131</v>
      </c>
      <c r="G142" s="511" t="s">
        <v>1017</v>
      </c>
      <c r="H142" s="26" t="s">
        <v>3492</v>
      </c>
      <c r="I142" s="26" t="s">
        <v>693</v>
      </c>
      <c r="J142" s="26" t="s">
        <v>2129</v>
      </c>
      <c r="K142" s="26" t="s">
        <v>694</v>
      </c>
      <c r="L142" s="26" t="s">
        <v>695</v>
      </c>
      <c r="M142" s="26" t="s">
        <v>2590</v>
      </c>
      <c r="N142" s="26" t="s">
        <v>4330</v>
      </c>
      <c r="O142" s="26" t="s">
        <v>2691</v>
      </c>
      <c r="P142" s="26" t="s">
        <v>85</v>
      </c>
      <c r="Q142" s="26" t="s">
        <v>2694</v>
      </c>
      <c r="R142" s="4"/>
      <c r="S142" s="4"/>
      <c r="T142" s="4"/>
      <c r="U142" s="4"/>
      <c r="V142" s="4"/>
      <c r="W142" s="4"/>
      <c r="X142" s="4"/>
      <c r="Y142" s="4"/>
    </row>
    <row r="143" spans="1:28" x14ac:dyDescent="0.3">
      <c r="A143" s="1154">
        <v>17</v>
      </c>
      <c r="B143" s="26" t="b">
        <v>0</v>
      </c>
      <c r="C143" s="26" t="b">
        <v>0</v>
      </c>
      <c r="D143" s="26" t="b">
        <v>0</v>
      </c>
      <c r="E143" s="26" t="s">
        <v>685</v>
      </c>
      <c r="F143" s="26" t="s">
        <v>685</v>
      </c>
      <c r="G143" s="26" t="s">
        <v>685</v>
      </c>
      <c r="H143" s="26" t="b">
        <v>0</v>
      </c>
      <c r="I143" s="26" t="b">
        <v>0</v>
      </c>
      <c r="J143" s="26" t="b">
        <v>0</v>
      </c>
      <c r="K143" s="26" t="b">
        <v>0</v>
      </c>
      <c r="L143" s="26" t="b">
        <v>0</v>
      </c>
      <c r="M143" s="26" t="b">
        <v>0</v>
      </c>
      <c r="N143" s="26" t="b">
        <v>0</v>
      </c>
      <c r="O143" s="26" t="s">
        <v>685</v>
      </c>
      <c r="P143" s="26" t="s">
        <v>685</v>
      </c>
      <c r="Q143" s="26" t="s">
        <v>685</v>
      </c>
      <c r="R143" s="4"/>
      <c r="S143" s="4"/>
      <c r="T143" s="4"/>
      <c r="U143" s="4"/>
      <c r="V143" s="4"/>
      <c r="W143" s="4"/>
      <c r="X143" s="4"/>
      <c r="Y143" s="4"/>
    </row>
    <row r="144" spans="1:28" x14ac:dyDescent="0.3">
      <c r="A144" s="55"/>
      <c r="B144" s="27" t="b">
        <f>'C8C9C10'!B59="Y"</f>
        <v>1</v>
      </c>
      <c r="C144" s="27" t="b">
        <f>'C8C9C10'!B74="Y"</f>
        <v>0</v>
      </c>
      <c r="D144" s="27" t="b">
        <f>'C8C9C10'!B75="Y"</f>
        <v>0</v>
      </c>
      <c r="E144" s="4" t="str">
        <f>'C8C9C10'!B79</f>
        <v/>
      </c>
      <c r="F144" s="27" t="str">
        <f>'C8C9C10'!B80</f>
        <v/>
      </c>
      <c r="G144" s="27" t="str">
        <f>'C8C9C10'!B81</f>
        <v/>
      </c>
      <c r="H144" s="27" t="b">
        <v>0</v>
      </c>
      <c r="I144" s="27" t="b">
        <f>'C8C9C10'!B90="Y"</f>
        <v>0</v>
      </c>
      <c r="J144" s="27" t="b">
        <f>'C8C9C10'!B91="Y"</f>
        <v>0</v>
      </c>
      <c r="K144" s="27" t="b">
        <f>'C8C9C10'!B92="Y"</f>
        <v>0</v>
      </c>
      <c r="L144" s="27" t="b">
        <f>'C8C9C10'!B93="Y"</f>
        <v>0</v>
      </c>
      <c r="M144" s="27" t="b">
        <f>'C8C9C10'!B94="Y"</f>
        <v>0</v>
      </c>
      <c r="N144" s="27" t="b">
        <f>'C8C9C10'!B95="Y"</f>
        <v>0</v>
      </c>
      <c r="O144" s="27" t="str">
        <f>'C8C9C10'!B96</f>
        <v/>
      </c>
      <c r="P144" s="27" t="str">
        <f>'C8C9C10'!B97</f>
        <v/>
      </c>
      <c r="Q144" s="27" t="str">
        <f>'C8C9C10'!B98</f>
        <v/>
      </c>
      <c r="R144" s="4"/>
      <c r="S144" s="4"/>
      <c r="T144" s="4"/>
      <c r="U144" s="4"/>
      <c r="V144" s="4"/>
      <c r="W144" s="4"/>
      <c r="X144" s="4"/>
      <c r="Y144" s="4"/>
    </row>
    <row r="145" spans="1:71" x14ac:dyDescent="0.3">
      <c r="A145" s="62">
        <v>1</v>
      </c>
      <c r="B145" s="1646" t="str">
        <f>CAL&amp;CAL!C6</f>
        <v>CAL7</v>
      </c>
      <c r="C145" s="1646" t="str">
        <f>CAL&amp;CAL!C9</f>
        <v>CAL8</v>
      </c>
      <c r="D145" s="1646" t="str">
        <f>CAL&amp;CAL!G9</f>
        <v>CAL9</v>
      </c>
      <c r="E145" s="1646" t="str">
        <f>CAL&amp;CAL!C14</f>
        <v>CAL10</v>
      </c>
      <c r="F145" s="1646" t="str">
        <f>CAL&amp;CAL!G14</f>
        <v>CAL11</v>
      </c>
      <c r="G145" s="1646" t="str">
        <f>CAL&amp;CAL!C19</f>
        <v>CAL12</v>
      </c>
      <c r="H145" s="1646" t="str">
        <f>CAL&amp;CAL!G19</f>
        <v>CAL13</v>
      </c>
      <c r="I145" s="1646" t="str">
        <f>CAL&amp;CAL!C22</f>
        <v>CAL14</v>
      </c>
      <c r="J145" s="1646" t="str">
        <f>CAL&amp;CAL!G22</f>
        <v>CAL15</v>
      </c>
      <c r="K145" s="1646" t="str">
        <f>CAL&amp;CAL!G25</f>
        <v>CAL16</v>
      </c>
      <c r="L145" s="4"/>
      <c r="M145" s="4"/>
      <c r="N145" s="1651"/>
      <c r="O145" s="4"/>
      <c r="P145" s="4"/>
      <c r="Q145" s="4"/>
      <c r="R145" s="4"/>
      <c r="S145" s="4"/>
      <c r="T145" s="4"/>
      <c r="U145" s="4"/>
      <c r="V145" s="4"/>
      <c r="W145" s="4"/>
      <c r="X145" s="4"/>
      <c r="Y145" s="4"/>
    </row>
    <row r="146" spans="1:71" x14ac:dyDescent="0.3">
      <c r="A146" s="50" t="s">
        <v>579</v>
      </c>
      <c r="B146" s="511" t="s">
        <v>550</v>
      </c>
      <c r="C146" s="511" t="s">
        <v>1945</v>
      </c>
      <c r="D146" s="511" t="s">
        <v>33</v>
      </c>
      <c r="E146" s="26" t="s">
        <v>2392</v>
      </c>
      <c r="F146" s="511" t="s">
        <v>682</v>
      </c>
      <c r="G146" s="510" t="s">
        <v>2307</v>
      </c>
      <c r="H146" s="510" t="s">
        <v>2310</v>
      </c>
      <c r="I146" s="511" t="s">
        <v>2308</v>
      </c>
      <c r="J146" s="511" t="s">
        <v>2315</v>
      </c>
      <c r="K146" s="511" t="s">
        <v>817</v>
      </c>
      <c r="L146" s="4"/>
      <c r="M146" s="4"/>
      <c r="N146" s="4"/>
      <c r="O146" s="4"/>
      <c r="P146" s="4"/>
      <c r="Q146" s="4"/>
      <c r="R146" s="4"/>
      <c r="S146" s="4"/>
      <c r="T146" s="4"/>
      <c r="U146" s="4"/>
      <c r="V146" s="4"/>
      <c r="W146" s="4"/>
      <c r="X146" s="4"/>
      <c r="Y146" s="4"/>
    </row>
    <row r="147" spans="1:71" x14ac:dyDescent="0.3">
      <c r="A147" s="52">
        <v>11</v>
      </c>
      <c r="B147" s="26" t="s">
        <v>685</v>
      </c>
      <c r="C147" s="26" t="s">
        <v>685</v>
      </c>
      <c r="D147" s="26" t="s">
        <v>685</v>
      </c>
      <c r="E147" s="26" t="b">
        <v>0</v>
      </c>
      <c r="F147" s="26" t="s">
        <v>685</v>
      </c>
      <c r="G147" s="26" t="s">
        <v>685</v>
      </c>
      <c r="H147" s="26" t="s">
        <v>685</v>
      </c>
      <c r="I147" s="26" t="s">
        <v>685</v>
      </c>
      <c r="J147" s="26" t="s">
        <v>685</v>
      </c>
      <c r="K147" s="26" t="s">
        <v>685</v>
      </c>
      <c r="L147" s="4"/>
      <c r="M147" s="4"/>
      <c r="N147" s="4"/>
      <c r="O147" s="4"/>
      <c r="P147" s="4"/>
      <c r="Q147" s="4"/>
      <c r="R147" s="4"/>
      <c r="S147" s="4"/>
      <c r="T147" s="4"/>
      <c r="U147" s="4"/>
      <c r="V147" s="4"/>
      <c r="W147" s="4"/>
      <c r="X147" s="4"/>
      <c r="Y147" s="4"/>
    </row>
    <row r="148" spans="1:71" ht="10.5" thickBot="1" x14ac:dyDescent="0.35">
      <c r="A148" s="1665"/>
      <c r="B148" s="1666" t="str">
        <f>'C8C9C10'!B112</f>
        <v/>
      </c>
      <c r="C148" s="1666" t="str">
        <f>'C8C9C10'!B113</f>
        <v/>
      </c>
      <c r="D148" s="1666" t="str">
        <f>'C8C9C10'!B114</f>
        <v/>
      </c>
      <c r="E148" s="1666" t="str">
        <f>'C8C9C10'!B115</f>
        <v/>
      </c>
      <c r="F148" s="1666" t="str">
        <f>'C8C9C10'!B116</f>
        <v/>
      </c>
      <c r="G148" s="1666" t="str">
        <f>'C8C9C10'!B117</f>
        <v/>
      </c>
      <c r="H148" s="1666" t="str">
        <f>'C8C9C10'!B118</f>
        <v/>
      </c>
      <c r="I148" s="1666" t="str">
        <f>'C8C9C10'!B119</f>
        <v/>
      </c>
      <c r="J148" s="1666" t="str">
        <f>'C8C9C10'!B120</f>
        <v/>
      </c>
      <c r="K148" s="1666" t="str">
        <f>'C8C9C10'!B121</f>
        <v/>
      </c>
      <c r="L148" s="1667"/>
      <c r="M148" s="1667"/>
      <c r="N148" s="1667"/>
      <c r="O148" s="1667"/>
      <c r="P148" s="1667"/>
      <c r="Q148" s="1667"/>
      <c r="R148" s="1667"/>
      <c r="S148" s="1667"/>
      <c r="T148" s="1667"/>
      <c r="U148" s="1667"/>
      <c r="V148" s="1667"/>
      <c r="W148" s="1667"/>
      <c r="X148" s="1667"/>
      <c r="Y148" s="1667"/>
    </row>
    <row r="149" spans="1:71" x14ac:dyDescent="0.3">
      <c r="A149" s="1664"/>
      <c r="B149" s="1668"/>
      <c r="C149" s="1668"/>
      <c r="D149" s="1668"/>
      <c r="E149" s="1668"/>
      <c r="F149" s="1668"/>
      <c r="G149" s="1668"/>
      <c r="H149" s="1668"/>
      <c r="I149" s="1669" t="s">
        <v>4045</v>
      </c>
      <c r="J149" s="1669" t="s">
        <v>6534</v>
      </c>
      <c r="K149" s="1669" t="s">
        <v>4043</v>
      </c>
      <c r="L149" s="1669" t="s">
        <v>2184</v>
      </c>
      <c r="M149" s="1669" t="s">
        <v>829</v>
      </c>
      <c r="N149" s="1669" t="s">
        <v>3927</v>
      </c>
      <c r="O149" s="1669" t="s">
        <v>830</v>
      </c>
      <c r="P149" s="1669" t="s">
        <v>4944</v>
      </c>
      <c r="Q149" s="1669" t="s">
        <v>3566</v>
      </c>
      <c r="R149" s="1669" t="s">
        <v>3567</v>
      </c>
      <c r="S149" s="1669" t="s">
        <v>3568</v>
      </c>
      <c r="T149" s="1669" t="s">
        <v>2951</v>
      </c>
      <c r="U149" s="1669" t="s">
        <v>3569</v>
      </c>
      <c r="V149" s="1669" t="s">
        <v>579</v>
      </c>
      <c r="W149" s="1669" t="s">
        <v>3570</v>
      </c>
      <c r="X149" s="1669" t="s">
        <v>6</v>
      </c>
      <c r="Y149" s="1669" t="s">
        <v>4112</v>
      </c>
      <c r="Z149" s="1669" t="s">
        <v>627</v>
      </c>
      <c r="AA149" s="1669" t="s">
        <v>4114</v>
      </c>
    </row>
    <row r="150" spans="1:71" x14ac:dyDescent="0.3">
      <c r="A150" s="50" t="s">
        <v>3080</v>
      </c>
      <c r="B150" s="26" t="s">
        <v>1962</v>
      </c>
      <c r="C150" s="26" t="s">
        <v>2194</v>
      </c>
      <c r="D150" s="26" t="s">
        <v>3102</v>
      </c>
      <c r="E150" s="26" t="s">
        <v>3103</v>
      </c>
      <c r="F150" s="26" t="s">
        <v>1963</v>
      </c>
      <c r="G150" s="26" t="s">
        <v>683</v>
      </c>
      <c r="H150" s="1148" t="s">
        <v>7092</v>
      </c>
      <c r="I150" s="26" t="s">
        <v>2694</v>
      </c>
      <c r="J150" s="26" t="s">
        <v>66</v>
      </c>
      <c r="K150" s="26" t="s">
        <v>2190</v>
      </c>
      <c r="L150" s="26" t="s">
        <v>2191</v>
      </c>
      <c r="M150" s="26" t="s">
        <v>2192</v>
      </c>
      <c r="N150" s="26" t="s">
        <v>2193</v>
      </c>
      <c r="O150" s="26" t="s">
        <v>1429</v>
      </c>
      <c r="P150" s="26" t="s">
        <v>3022</v>
      </c>
      <c r="Q150" s="26" t="s">
        <v>4946</v>
      </c>
      <c r="R150" s="26" t="s">
        <v>4947</v>
      </c>
      <c r="S150" s="26" t="s">
        <v>4949</v>
      </c>
      <c r="T150" s="26" t="s">
        <v>4950</v>
      </c>
      <c r="U150" s="26" t="s">
        <v>4951</v>
      </c>
      <c r="V150" s="26" t="s">
        <v>4952</v>
      </c>
      <c r="W150" s="26" t="s">
        <v>4948</v>
      </c>
      <c r="X150" s="26" t="s">
        <v>696</v>
      </c>
      <c r="Y150" s="26" t="s">
        <v>692</v>
      </c>
      <c r="Z150" s="26" t="s">
        <v>693</v>
      </c>
      <c r="AA150" s="26" t="s">
        <v>2129</v>
      </c>
    </row>
    <row r="151" spans="1:71" x14ac:dyDescent="0.3">
      <c r="A151" s="1154">
        <v>27</v>
      </c>
      <c r="B151" s="26" t="s">
        <v>685</v>
      </c>
      <c r="C151" s="26" t="s">
        <v>685</v>
      </c>
      <c r="D151" s="26" t="s">
        <v>685</v>
      </c>
      <c r="E151" s="26" t="s">
        <v>685</v>
      </c>
      <c r="F151" s="26" t="s">
        <v>685</v>
      </c>
      <c r="G151" s="26" t="s">
        <v>685</v>
      </c>
      <c r="H151" s="26" t="s">
        <v>685</v>
      </c>
      <c r="I151" s="26" t="b">
        <v>0</v>
      </c>
      <c r="J151" s="26" t="b">
        <v>0</v>
      </c>
      <c r="K151" s="26" t="b">
        <v>0</v>
      </c>
      <c r="L151" s="26" t="b">
        <v>0</v>
      </c>
      <c r="M151" s="26" t="b">
        <v>0</v>
      </c>
      <c r="N151" s="26" t="b">
        <v>0</v>
      </c>
      <c r="O151" s="26" t="b">
        <v>0</v>
      </c>
      <c r="P151" s="26" t="b">
        <v>0</v>
      </c>
      <c r="Q151" s="26" t="b">
        <v>0</v>
      </c>
      <c r="R151" s="26" t="b">
        <v>0</v>
      </c>
      <c r="S151" s="26" t="b">
        <v>0</v>
      </c>
      <c r="T151" s="26" t="b">
        <v>0</v>
      </c>
      <c r="U151" s="26" t="b">
        <v>0</v>
      </c>
      <c r="V151" s="26" t="b">
        <v>0</v>
      </c>
      <c r="W151" s="26" t="b">
        <v>0</v>
      </c>
      <c r="X151" s="26" t="b">
        <v>0</v>
      </c>
      <c r="Y151" s="26" t="b">
        <v>0</v>
      </c>
      <c r="Z151" s="26" t="b">
        <v>0</v>
      </c>
      <c r="AA151" s="26" t="b">
        <v>0</v>
      </c>
    </row>
    <row r="152" spans="1:71" ht="10.5" thickBot="1" x14ac:dyDescent="0.35">
      <c r="A152" s="57"/>
      <c r="B152" s="1653"/>
      <c r="C152" s="1653"/>
      <c r="D152" s="1653"/>
      <c r="E152" s="1653"/>
      <c r="F152" s="1653"/>
      <c r="G152" s="1653"/>
      <c r="H152" s="1653"/>
      <c r="I152" s="1653"/>
      <c r="J152" s="1653"/>
      <c r="K152" s="1654" t="b">
        <f>OR(EMP_A_IND&gt;1, EMP_B_IND&gt;1)</f>
        <v>0</v>
      </c>
      <c r="L152" s="1654" t="b">
        <f>MOR_IND&gt;1</f>
        <v>0</v>
      </c>
      <c r="M152" s="1654" t="b">
        <f>OR(SE_A_IND&gt;1,SE_B_IND&gt;1)</f>
        <v>0</v>
      </c>
      <c r="N152" s="1654" t="b">
        <f>LUN_IND&gt;1</f>
        <v>0</v>
      </c>
      <c r="O152" s="1654" t="b">
        <f>OR(PS_A_IND&gt;1,PS_B_IND&gt;1)</f>
        <v>0</v>
      </c>
      <c r="P152" s="1654" t="b">
        <f>OR(NI2_IND&gt;1,NI1_IND&gt;1)</f>
        <v>0</v>
      </c>
      <c r="Q152" s="1654" t="b">
        <f>PRO_IND&gt;1</f>
        <v>1</v>
      </c>
      <c r="R152" s="1654" t="b">
        <f>FOR_IND&gt;1</f>
        <v>0</v>
      </c>
      <c r="S152" s="1654" t="b">
        <f>TRU_IND&gt;1</f>
        <v>0</v>
      </c>
      <c r="T152" s="1654" t="b">
        <f>CGT_IND&gt;1</f>
        <v>0</v>
      </c>
      <c r="U152" s="1654" t="b">
        <f>NRD_IND&gt;1</f>
        <v>1</v>
      </c>
      <c r="V152" s="1655" t="b">
        <f>CAL_IND&gt;1</f>
        <v>0</v>
      </c>
      <c r="W152" s="1655" t="b">
        <f>OR(AOI_A_IND&gt;1,AOI_B_IND&gt; 1,AOI_C_IND&gt; 1)</f>
        <v>0</v>
      </c>
      <c r="X152" s="1655" t="b">
        <f>OR(ASE_A_IND&gt;1,ASE_B_IND&gt; 1,ASE_C_IND&gt; 1)</f>
        <v>0</v>
      </c>
      <c r="Y152" s="1655" t="b">
        <f>AOR_IND&gt;1</f>
        <v>0</v>
      </c>
      <c r="Z152" s="1655" t="b">
        <f>MCA_IND&gt;1</f>
        <v>0</v>
      </c>
      <c r="AA152" s="1655" t="b">
        <f>AIL_IND&gt;1</f>
        <v>0</v>
      </c>
    </row>
    <row r="153" spans="1:71" x14ac:dyDescent="0.3">
      <c r="A153" s="659"/>
      <c r="B153" s="664" t="s">
        <v>4998</v>
      </c>
      <c r="C153" s="665" t="s">
        <v>1361</v>
      </c>
      <c r="D153" s="665" t="s">
        <v>2122</v>
      </c>
      <c r="E153" s="665" t="s">
        <v>1352</v>
      </c>
      <c r="F153" s="665" t="s">
        <v>1353</v>
      </c>
      <c r="G153" s="666"/>
      <c r="H153" s="667" t="s">
        <v>1354</v>
      </c>
      <c r="I153" s="664" t="s">
        <v>5000</v>
      </c>
      <c r="J153" s="665" t="s">
        <v>1362</v>
      </c>
      <c r="K153" s="665" t="s">
        <v>0</v>
      </c>
      <c r="L153" s="670" t="s">
        <v>1355</v>
      </c>
      <c r="M153" s="665" t="s">
        <v>1356</v>
      </c>
      <c r="N153" s="666"/>
      <c r="O153" s="667" t="s">
        <v>1357</v>
      </c>
      <c r="P153" s="664" t="s">
        <v>5002</v>
      </c>
      <c r="Q153" s="665" t="s">
        <v>1363</v>
      </c>
      <c r="R153" s="665" t="s">
        <v>1</v>
      </c>
      <c r="S153" s="670" t="s">
        <v>1358</v>
      </c>
      <c r="T153" s="665" t="s">
        <v>1359</v>
      </c>
      <c r="U153" s="666"/>
      <c r="V153" s="667" t="s">
        <v>1360</v>
      </c>
      <c r="W153" s="664" t="s">
        <v>5004</v>
      </c>
      <c r="X153" s="665" t="s">
        <v>2285</v>
      </c>
      <c r="Y153" s="665" t="s">
        <v>2588</v>
      </c>
      <c r="Z153" s="670" t="s">
        <v>2286</v>
      </c>
      <c r="AA153" s="665" t="s">
        <v>2287</v>
      </c>
      <c r="AB153" s="666"/>
      <c r="AC153" s="667" t="s">
        <v>2288</v>
      </c>
      <c r="AD153" s="664" t="s">
        <v>5006</v>
      </c>
      <c r="AE153" s="665" t="s">
        <v>2334</v>
      </c>
      <c r="AF153" s="665" t="s">
        <v>2335</v>
      </c>
      <c r="AG153" s="665" t="s">
        <v>2336</v>
      </c>
      <c r="AH153" s="665" t="s">
        <v>2337</v>
      </c>
      <c r="AI153" s="666"/>
      <c r="AJ153" s="667" t="s">
        <v>2338</v>
      </c>
      <c r="AK153" s="664" t="s">
        <v>5008</v>
      </c>
      <c r="AL153" s="665" t="s">
        <v>2340</v>
      </c>
      <c r="AM153" s="665" t="s">
        <v>2341</v>
      </c>
      <c r="AN153" s="670" t="s">
        <v>2342</v>
      </c>
      <c r="AO153" s="665" t="s">
        <v>2343</v>
      </c>
      <c r="AP153" s="666"/>
      <c r="AQ153" s="667" t="s">
        <v>2344</v>
      </c>
      <c r="AR153" s="664" t="s">
        <v>5010</v>
      </c>
      <c r="AS153" s="665" t="s">
        <v>2666</v>
      </c>
      <c r="AT153" s="665" t="s">
        <v>2667</v>
      </c>
      <c r="AU153" s="670" t="s">
        <v>2668</v>
      </c>
      <c r="AV153" s="665" t="s">
        <v>2669</v>
      </c>
      <c r="AW153" s="666"/>
      <c r="AX153" s="667" t="s">
        <v>2670</v>
      </c>
      <c r="AY153" s="664" t="s">
        <v>5012</v>
      </c>
      <c r="AZ153" s="665" t="s">
        <v>2671</v>
      </c>
      <c r="BA153" s="665" t="s">
        <v>2672</v>
      </c>
      <c r="BB153" s="670" t="s">
        <v>2673</v>
      </c>
      <c r="BC153" s="665" t="s">
        <v>2674</v>
      </c>
      <c r="BD153" s="666"/>
      <c r="BE153" s="667" t="s">
        <v>2675</v>
      </c>
      <c r="BF153" s="664" t="s">
        <v>5014</v>
      </c>
      <c r="BG153" s="665" t="s">
        <v>2676</v>
      </c>
      <c r="BH153" s="665" t="s">
        <v>2677</v>
      </c>
      <c r="BI153" s="670" t="s">
        <v>2678</v>
      </c>
      <c r="BJ153" s="665" t="s">
        <v>2679</v>
      </c>
      <c r="BK153" s="666"/>
      <c r="BL153" s="667" t="s">
        <v>2680</v>
      </c>
      <c r="BM153" s="664" t="s">
        <v>5016</v>
      </c>
      <c r="BN153" s="665" t="s">
        <v>2681</v>
      </c>
      <c r="BO153" s="665" t="s">
        <v>2682</v>
      </c>
      <c r="BP153" s="670" t="s">
        <v>2683</v>
      </c>
      <c r="BQ153" s="665" t="s">
        <v>2684</v>
      </c>
      <c r="BR153" s="666"/>
      <c r="BS153" s="667" t="s">
        <v>2685</v>
      </c>
    </row>
    <row r="154" spans="1:71" x14ac:dyDescent="0.3">
      <c r="A154" s="660" t="s">
        <v>3593</v>
      </c>
      <c r="B154" s="668" t="s">
        <v>4999</v>
      </c>
      <c r="C154" s="14" t="s">
        <v>3628</v>
      </c>
      <c r="D154" s="14" t="s">
        <v>822</v>
      </c>
      <c r="E154" s="14" t="s">
        <v>22</v>
      </c>
      <c r="F154" s="14" t="s">
        <v>4124</v>
      </c>
      <c r="G154" s="14" t="s">
        <v>2193</v>
      </c>
      <c r="H154" s="669" t="s">
        <v>76</v>
      </c>
      <c r="I154" s="668" t="s">
        <v>5001</v>
      </c>
      <c r="J154" s="14" t="s">
        <v>3629</v>
      </c>
      <c r="K154" s="14" t="s">
        <v>3630</v>
      </c>
      <c r="L154" s="663" t="s">
        <v>2284</v>
      </c>
      <c r="M154" s="14" t="s">
        <v>78</v>
      </c>
      <c r="N154" s="14" t="s">
        <v>79</v>
      </c>
      <c r="O154" s="669" t="s">
        <v>80</v>
      </c>
      <c r="P154" s="668" t="s">
        <v>5003</v>
      </c>
      <c r="Q154" s="14" t="s">
        <v>3631</v>
      </c>
      <c r="R154" s="14" t="s">
        <v>3632</v>
      </c>
      <c r="S154" s="663" t="s">
        <v>2</v>
      </c>
      <c r="T154" s="14" t="s">
        <v>81</v>
      </c>
      <c r="U154" s="14" t="s">
        <v>82</v>
      </c>
      <c r="V154" s="669" t="s">
        <v>4126</v>
      </c>
      <c r="W154" s="668" t="s">
        <v>5005</v>
      </c>
      <c r="X154" s="14" t="s">
        <v>3633</v>
      </c>
      <c r="Y154" s="14" t="s">
        <v>3634</v>
      </c>
      <c r="Z154" s="663" t="s">
        <v>2589</v>
      </c>
      <c r="AA154" s="14" t="s">
        <v>83</v>
      </c>
      <c r="AB154" s="14" t="s">
        <v>84</v>
      </c>
      <c r="AC154" s="669" t="s">
        <v>85</v>
      </c>
      <c r="AD154" s="668" t="s">
        <v>5007</v>
      </c>
      <c r="AE154" s="14" t="s">
        <v>3635</v>
      </c>
      <c r="AF154" s="14" t="s">
        <v>3636</v>
      </c>
      <c r="AG154" s="14" t="s">
        <v>2339</v>
      </c>
      <c r="AH154" s="14" t="s">
        <v>86</v>
      </c>
      <c r="AI154" s="14" t="s">
        <v>87</v>
      </c>
      <c r="AJ154" s="669" t="s">
        <v>88</v>
      </c>
      <c r="AK154" s="668" t="s">
        <v>5009</v>
      </c>
      <c r="AL154" s="14" t="s">
        <v>3637</v>
      </c>
      <c r="AM154" s="14" t="s">
        <v>3638</v>
      </c>
      <c r="AN154" s="663" t="s">
        <v>2345</v>
      </c>
      <c r="AO154" s="14" t="s">
        <v>89</v>
      </c>
      <c r="AP154" s="14" t="s">
        <v>90</v>
      </c>
      <c r="AQ154" s="669" t="s">
        <v>91</v>
      </c>
      <c r="AR154" s="668" t="s">
        <v>5011</v>
      </c>
      <c r="AS154" s="14" t="s">
        <v>3639</v>
      </c>
      <c r="AT154" s="14" t="s">
        <v>3640</v>
      </c>
      <c r="AU154" s="663" t="s">
        <v>2346</v>
      </c>
      <c r="AV154" s="14" t="s">
        <v>92</v>
      </c>
      <c r="AW154" s="14" t="s">
        <v>93</v>
      </c>
      <c r="AX154" s="669" t="s">
        <v>94</v>
      </c>
      <c r="AY154" s="668" t="s">
        <v>5013</v>
      </c>
      <c r="AZ154" s="14" t="s">
        <v>3641</v>
      </c>
      <c r="BA154" s="14" t="s">
        <v>3642</v>
      </c>
      <c r="BB154" s="663" t="s">
        <v>2347</v>
      </c>
      <c r="BC154" s="14" t="s">
        <v>95</v>
      </c>
      <c r="BD154" s="14" t="s">
        <v>96</v>
      </c>
      <c r="BE154" s="669" t="s">
        <v>97</v>
      </c>
      <c r="BF154" s="668" t="s">
        <v>5015</v>
      </c>
      <c r="BG154" s="14" t="s">
        <v>3643</v>
      </c>
      <c r="BH154" s="14" t="s">
        <v>3644</v>
      </c>
      <c r="BI154" s="663" t="s">
        <v>2686</v>
      </c>
      <c r="BJ154" s="14" t="s">
        <v>98</v>
      </c>
      <c r="BK154" s="14" t="s">
        <v>99</v>
      </c>
      <c r="BL154" s="669" t="s">
        <v>100</v>
      </c>
      <c r="BM154" s="668" t="s">
        <v>5017</v>
      </c>
      <c r="BN154" s="14" t="s">
        <v>3645</v>
      </c>
      <c r="BO154" s="14" t="s">
        <v>3646</v>
      </c>
      <c r="BP154" s="663" t="s">
        <v>3235</v>
      </c>
      <c r="BQ154" s="14" t="s">
        <v>101</v>
      </c>
      <c r="BR154" s="14" t="s">
        <v>102</v>
      </c>
      <c r="BS154" s="669" t="s">
        <v>103</v>
      </c>
    </row>
    <row r="155" spans="1:71" x14ac:dyDescent="0.3">
      <c r="A155" s="661">
        <v>71</v>
      </c>
      <c r="B155" s="668" t="s">
        <v>4997</v>
      </c>
      <c r="C155" s="14">
        <v>1</v>
      </c>
      <c r="D155" s="14">
        <v>1</v>
      </c>
      <c r="E155" s="14" t="s">
        <v>685</v>
      </c>
      <c r="F155" s="14" t="s">
        <v>685</v>
      </c>
      <c r="G155" s="14" t="s">
        <v>685</v>
      </c>
      <c r="H155" s="669" t="s">
        <v>685</v>
      </c>
      <c r="I155" s="668" t="s">
        <v>4997</v>
      </c>
      <c r="J155" s="14">
        <v>1</v>
      </c>
      <c r="K155" s="14">
        <v>1</v>
      </c>
      <c r="L155" s="663" t="s">
        <v>685</v>
      </c>
      <c r="M155" s="14" t="s">
        <v>685</v>
      </c>
      <c r="N155" s="14" t="s">
        <v>685</v>
      </c>
      <c r="O155" s="669" t="s">
        <v>685</v>
      </c>
      <c r="P155" s="668" t="s">
        <v>4997</v>
      </c>
      <c r="Q155" s="14">
        <v>1</v>
      </c>
      <c r="R155" s="14">
        <v>1</v>
      </c>
      <c r="S155" s="663" t="s">
        <v>685</v>
      </c>
      <c r="T155" s="14" t="s">
        <v>685</v>
      </c>
      <c r="U155" s="14" t="s">
        <v>685</v>
      </c>
      <c r="V155" s="669" t="s">
        <v>685</v>
      </c>
      <c r="W155" s="668" t="s">
        <v>4997</v>
      </c>
      <c r="X155" s="14">
        <v>1</v>
      </c>
      <c r="Y155" s="14">
        <v>1</v>
      </c>
      <c r="Z155" s="663" t="s">
        <v>685</v>
      </c>
      <c r="AA155" s="14" t="s">
        <v>685</v>
      </c>
      <c r="AB155" s="14" t="s">
        <v>685</v>
      </c>
      <c r="AC155" s="669" t="s">
        <v>685</v>
      </c>
      <c r="AD155" s="668" t="s">
        <v>4997</v>
      </c>
      <c r="AE155" s="14">
        <v>1</v>
      </c>
      <c r="AF155" s="14">
        <v>1</v>
      </c>
      <c r="AG155" s="14" t="s">
        <v>685</v>
      </c>
      <c r="AH155" s="14" t="s">
        <v>685</v>
      </c>
      <c r="AI155" s="14" t="s">
        <v>685</v>
      </c>
      <c r="AJ155" s="669" t="s">
        <v>685</v>
      </c>
      <c r="AK155" s="668" t="s">
        <v>4997</v>
      </c>
      <c r="AL155" s="14">
        <v>1</v>
      </c>
      <c r="AM155" s="14">
        <v>1</v>
      </c>
      <c r="AN155" s="663" t="s">
        <v>685</v>
      </c>
      <c r="AO155" s="14" t="s">
        <v>685</v>
      </c>
      <c r="AP155" s="14" t="s">
        <v>685</v>
      </c>
      <c r="AQ155" s="669" t="s">
        <v>685</v>
      </c>
      <c r="AR155" s="668" t="s">
        <v>4997</v>
      </c>
      <c r="AS155" s="14">
        <v>1</v>
      </c>
      <c r="AT155" s="14">
        <v>1</v>
      </c>
      <c r="AU155" s="663" t="s">
        <v>685</v>
      </c>
      <c r="AV155" s="14" t="s">
        <v>685</v>
      </c>
      <c r="AW155" s="14" t="s">
        <v>685</v>
      </c>
      <c r="AX155" s="669" t="s">
        <v>685</v>
      </c>
      <c r="AY155" s="668" t="s">
        <v>4997</v>
      </c>
      <c r="AZ155" s="14">
        <v>1</v>
      </c>
      <c r="BA155" s="14">
        <v>1</v>
      </c>
      <c r="BB155" s="663" t="s">
        <v>685</v>
      </c>
      <c r="BC155" s="14" t="s">
        <v>685</v>
      </c>
      <c r="BD155" s="14" t="s">
        <v>685</v>
      </c>
      <c r="BE155" s="669" t="s">
        <v>685</v>
      </c>
      <c r="BF155" s="668" t="s">
        <v>4997</v>
      </c>
      <c r="BG155" s="14">
        <v>1</v>
      </c>
      <c r="BH155" s="14">
        <v>1</v>
      </c>
      <c r="BI155" s="663" t="s">
        <v>685</v>
      </c>
      <c r="BJ155" s="14" t="s">
        <v>685</v>
      </c>
      <c r="BK155" s="14" t="s">
        <v>685</v>
      </c>
      <c r="BL155" s="669" t="s">
        <v>685</v>
      </c>
      <c r="BM155" s="668" t="s">
        <v>4997</v>
      </c>
      <c r="BN155" s="14">
        <v>1</v>
      </c>
      <c r="BO155" s="14">
        <v>1</v>
      </c>
      <c r="BP155" s="663" t="s">
        <v>685</v>
      </c>
      <c r="BQ155" s="14" t="s">
        <v>685</v>
      </c>
      <c r="BR155" s="14" t="s">
        <v>685</v>
      </c>
      <c r="BS155" s="669" t="s">
        <v>685</v>
      </c>
    </row>
    <row r="156" spans="1:71" ht="10.5" thickBot="1" x14ac:dyDescent="0.35">
      <c r="A156" s="662"/>
      <c r="B156" s="671"/>
      <c r="C156" s="672" t="str">
        <f>'C6'!W10</f>
        <v/>
      </c>
      <c r="D156" s="672" t="str">
        <f>IF(FTCR_CLAIM,'C6'!W11,"")</f>
        <v/>
      </c>
      <c r="E156" s="672" t="str">
        <f>IF(FTCR_CLAIM,'C6'!W12,"")</f>
        <v/>
      </c>
      <c r="F156" s="672" t="str">
        <f>IF(FTCR_CLAIM,'C6'!W13,"")</f>
        <v/>
      </c>
      <c r="G156" s="673"/>
      <c r="H156" s="674"/>
      <c r="I156" s="671"/>
      <c r="J156" s="672" t="str">
        <f>'C6'!W14</f>
        <v/>
      </c>
      <c r="K156" s="672" t="str">
        <f>IF(FTCR_CLAIM,'C6'!W15,"")</f>
        <v/>
      </c>
      <c r="L156" s="672" t="str">
        <f>IF(FTCR_CLAIM,'C6'!W16,"")</f>
        <v/>
      </c>
      <c r="M156" s="672" t="str">
        <f>IF(FTCR_CLAIM,'C6'!W17,"")</f>
        <v/>
      </c>
      <c r="N156" s="673"/>
      <c r="O156" s="674"/>
      <c r="P156" s="671"/>
      <c r="Q156" s="672" t="str">
        <f>'C6'!W18</f>
        <v/>
      </c>
      <c r="R156" s="672" t="str">
        <f>IF(FTCR_CLAIM,'C6'!W19,"")</f>
        <v/>
      </c>
      <c r="S156" s="672" t="str">
        <f>IF(FTCR_CLAIM,'C6'!W20,"")</f>
        <v/>
      </c>
      <c r="T156" s="672" t="str">
        <f>IF(FTCR_CLAIM,'C6'!W21,"")</f>
        <v/>
      </c>
      <c r="U156" s="673"/>
      <c r="V156" s="674"/>
      <c r="W156" s="671"/>
      <c r="X156" s="672" t="str">
        <f>'C6'!W22</f>
        <v/>
      </c>
      <c r="Y156" s="672" t="str">
        <f>IF(FTCR_CLAIM,'C6'!W23,"")</f>
        <v/>
      </c>
      <c r="Z156" s="672" t="str">
        <f>IF(FTCR_CLAIM,'C6'!W24,"")</f>
        <v/>
      </c>
      <c r="AA156" s="672" t="str">
        <f>IF(FTCR_CLAIM,'C6'!W25,"")</f>
        <v/>
      </c>
      <c r="AB156" s="673"/>
      <c r="AC156" s="674"/>
      <c r="AD156" s="671"/>
      <c r="AE156" s="672" t="str">
        <f>'C6'!W26</f>
        <v/>
      </c>
      <c r="AF156" s="672" t="str">
        <f>IF(FTCR_CLAIM,'C6'!W27,"")</f>
        <v/>
      </c>
      <c r="AG156" s="672" t="str">
        <f>IF(FTCR_CLAIM,'C6'!W28,"")</f>
        <v/>
      </c>
      <c r="AH156" s="672" t="str">
        <f>IF(FTCR_CLAIM,'C6'!W29,"")</f>
        <v/>
      </c>
      <c r="AI156" s="673"/>
      <c r="AJ156" s="674"/>
      <c r="AK156" s="671"/>
      <c r="AL156" s="672" t="str">
        <f>'C6'!W30</f>
        <v/>
      </c>
      <c r="AM156" s="672" t="str">
        <f>IF(FTCR_CLAIM,'C6'!W31,"")</f>
        <v/>
      </c>
      <c r="AN156" s="672" t="str">
        <f>IF(FTCR_CLAIM,'C6'!W32,"")</f>
        <v/>
      </c>
      <c r="AO156" s="672" t="str">
        <f>IF(FTCR_CLAIM,'C6'!W33,"")</f>
        <v/>
      </c>
      <c r="AP156" s="673"/>
      <c r="AQ156" s="674"/>
      <c r="AR156" s="671"/>
      <c r="AS156" s="672" t="str">
        <f>'C6'!W34</f>
        <v/>
      </c>
      <c r="AT156" s="672" t="str">
        <f>IF(FTCR_CLAIM,'C6'!W35,"")</f>
        <v/>
      </c>
      <c r="AU156" s="672" t="str">
        <f>IF(FTCR_CLAIM,'C6'!W36,"")</f>
        <v/>
      </c>
      <c r="AV156" s="672" t="str">
        <f>IF(FTCR_CLAIM,'C6'!W37,"")</f>
        <v/>
      </c>
      <c r="AW156" s="673"/>
      <c r="AX156" s="674"/>
      <c r="AY156" s="671"/>
      <c r="AZ156" s="672" t="str">
        <f>'C6'!W38</f>
        <v/>
      </c>
      <c r="BA156" s="672" t="str">
        <f>IF(FTCR_CLAIM,'C6'!W39,"")</f>
        <v/>
      </c>
      <c r="BB156" s="672" t="str">
        <f>IF(FTCR_CLAIM,'C6'!W40,"")</f>
        <v/>
      </c>
      <c r="BC156" s="672" t="str">
        <f>IF(FTCR_CLAIM,'C6'!W41,"")</f>
        <v/>
      </c>
      <c r="BD156" s="673"/>
      <c r="BE156" s="674"/>
      <c r="BF156" s="671"/>
      <c r="BG156" s="672">
        <f>'C6'!AF34</f>
        <v>0</v>
      </c>
      <c r="BH156" s="672" t="str">
        <f>IF(FTCR_CLAIM,'C6'!AF35,"")</f>
        <v/>
      </c>
      <c r="BI156" s="672" t="str">
        <f>IF(FTCR_CLAIM,'C6'!AF36,"")</f>
        <v/>
      </c>
      <c r="BJ156" s="672" t="str">
        <f>IF(FTCR_CLAIM,'C6'!AF37,"")</f>
        <v/>
      </c>
      <c r="BK156" s="673"/>
      <c r="BL156" s="674"/>
      <c r="BM156" s="671"/>
      <c r="BN156" s="672">
        <f>'C6'!AF38</f>
        <v>0</v>
      </c>
      <c r="BO156" s="672" t="str">
        <f>IF(FTCR_CLAIM,'C6'!AF39,"")</f>
        <v/>
      </c>
      <c r="BP156" s="672" t="str">
        <f>IF(FTCR_CLAIM,'C6'!AF40,"")</f>
        <v/>
      </c>
      <c r="BQ156" s="672" t="str">
        <f>IF(FTCR_CLAIM,'C6'!AF41,"")</f>
        <v/>
      </c>
      <c r="BR156" s="673"/>
      <c r="BS156" s="674"/>
    </row>
    <row r="157" spans="1:71" x14ac:dyDescent="0.3">
      <c r="A157" s="49"/>
      <c r="B157" s="507" t="s">
        <v>2894</v>
      </c>
      <c r="C157" s="507" t="s">
        <v>3</v>
      </c>
      <c r="D157" s="507" t="s">
        <v>2423</v>
      </c>
      <c r="E157" s="507" t="s">
        <v>670</v>
      </c>
      <c r="K157" s="2"/>
      <c r="L157" s="2"/>
      <c r="M157" s="2"/>
      <c r="N157" s="2"/>
      <c r="O157" s="2"/>
      <c r="P157" s="2"/>
      <c r="T157" s="2"/>
    </row>
    <row r="158" spans="1:71" x14ac:dyDescent="0.3">
      <c r="A158" s="50" t="s">
        <v>2893</v>
      </c>
      <c r="B158" s="14" t="s">
        <v>2974</v>
      </c>
      <c r="C158" s="14" t="s">
        <v>2975</v>
      </c>
      <c r="D158" s="14" t="s">
        <v>658</v>
      </c>
      <c r="E158" s="14" t="s">
        <v>659</v>
      </c>
      <c r="K158" s="2"/>
      <c r="L158" s="2"/>
      <c r="M158" s="2"/>
      <c r="N158" s="2"/>
      <c r="O158" s="2"/>
      <c r="P158" s="2"/>
      <c r="Q158" s="2"/>
      <c r="T158" s="2"/>
    </row>
    <row r="159" spans="1:71" x14ac:dyDescent="0.3">
      <c r="A159" s="52">
        <v>5</v>
      </c>
      <c r="B159" s="14">
        <v>7</v>
      </c>
      <c r="C159" s="14" t="b">
        <v>0</v>
      </c>
      <c r="D159" s="14" t="s">
        <v>685</v>
      </c>
      <c r="E159" s="14" t="s">
        <v>685</v>
      </c>
      <c r="K159" s="2"/>
      <c r="L159" s="2"/>
      <c r="M159" s="2"/>
      <c r="N159" s="2"/>
      <c r="O159" s="2"/>
      <c r="P159" s="2"/>
      <c r="Q159" s="2"/>
      <c r="T159" s="2"/>
    </row>
    <row r="160" spans="1:71" x14ac:dyDescent="0.3">
      <c r="A160" s="54"/>
      <c r="B160" s="54"/>
      <c r="C160" s="54"/>
      <c r="D160" s="54"/>
      <c r="E160" s="54"/>
      <c r="L160" s="2"/>
      <c r="M160" s="2"/>
      <c r="N160" s="2"/>
      <c r="O160" s="2"/>
      <c r="P160" s="2"/>
      <c r="Q160" s="2"/>
    </row>
    <row r="161" spans="1:20" x14ac:dyDescent="0.3">
      <c r="A161" s="49"/>
      <c r="B161" s="505" t="s">
        <v>3237</v>
      </c>
      <c r="C161" s="505" t="s">
        <v>4916</v>
      </c>
      <c r="L161" s="2"/>
      <c r="M161" s="2"/>
      <c r="N161" s="2"/>
      <c r="O161" s="2"/>
      <c r="P161" s="2"/>
      <c r="Q161" s="2"/>
    </row>
    <row r="162" spans="1:20" x14ac:dyDescent="0.3">
      <c r="A162" s="50" t="s">
        <v>3236</v>
      </c>
      <c r="B162" s="14" t="s">
        <v>3238</v>
      </c>
      <c r="C162" s="14" t="s">
        <v>3239</v>
      </c>
      <c r="L162" s="2"/>
      <c r="M162" s="2"/>
      <c r="N162" s="2"/>
      <c r="O162" s="2"/>
      <c r="P162" s="2"/>
      <c r="Q162" s="2"/>
    </row>
    <row r="163" spans="1:20" x14ac:dyDescent="0.3">
      <c r="A163" s="52">
        <v>3</v>
      </c>
      <c r="B163" s="14" t="b">
        <v>0</v>
      </c>
      <c r="C163" s="14" t="b">
        <v>0</v>
      </c>
      <c r="L163" s="2"/>
      <c r="M163" s="2"/>
    </row>
    <row r="164" spans="1:20" x14ac:dyDescent="0.3">
      <c r="A164" s="54"/>
      <c r="B164" s="54"/>
      <c r="C164" s="54"/>
      <c r="L164" s="2"/>
      <c r="Q164" s="2"/>
    </row>
    <row r="165" spans="1:20" x14ac:dyDescent="0.3">
      <c r="P165" s="2"/>
      <c r="Q165" s="2"/>
      <c r="R165" s="2"/>
      <c r="S165" s="2"/>
      <c r="T165" s="2"/>
    </row>
    <row r="166" spans="1:20" x14ac:dyDescent="0.3">
      <c r="M166" s="2"/>
      <c r="N166" s="2"/>
      <c r="O166" s="2"/>
      <c r="P166" s="2"/>
      <c r="Q166" s="2"/>
      <c r="R166" s="2"/>
      <c r="S166" s="2"/>
      <c r="T166" s="2"/>
    </row>
    <row r="167" spans="1:20" x14ac:dyDescent="0.3">
      <c r="R167" s="2"/>
      <c r="S167" s="2"/>
      <c r="T167" s="2"/>
    </row>
    <row r="168" spans="1:20" x14ac:dyDescent="0.3">
      <c r="R168" s="2"/>
      <c r="S168" s="2"/>
      <c r="T168" s="2"/>
    </row>
  </sheetData>
  <phoneticPr fontId="68" type="noConversion"/>
  <pageMargins left="0.19685039370078741" right="0.19685039370078741" top="0.19685039370078741" bottom="0.19685039370078741" header="0" footer="0"/>
  <pageSetup paperSize="9" scale="90" orientation="landscape" horizontalDpi="4294967292"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FF99"/>
  </sheetPr>
  <dimension ref="A1:AE78"/>
  <sheetViews>
    <sheetView showGridLines="0" workbookViewId="0">
      <pane ySplit="1" topLeftCell="A41" activePane="bottomLeft" state="frozen"/>
      <selection pane="bottomLeft" activeCell="Y18" sqref="Y18"/>
    </sheetView>
  </sheetViews>
  <sheetFormatPr defaultColWidth="9.1328125" defaultRowHeight="11.65" x14ac:dyDescent="0.35"/>
  <cols>
    <col min="1" max="1" width="3.86328125" style="1341" bestFit="1" customWidth="1"/>
    <col min="2" max="2" width="9.1328125" style="206"/>
    <col min="3" max="3" width="8.3984375" style="206" customWidth="1"/>
    <col min="4" max="4" width="38.73046875" style="206" customWidth="1"/>
    <col min="5" max="5" width="10.265625" style="206" bestFit="1" customWidth="1"/>
    <col min="6" max="6" width="10.1328125" style="206" bestFit="1" customWidth="1"/>
    <col min="7" max="7" width="9.73046875" style="206" customWidth="1"/>
    <col min="8" max="8" width="9.59765625" style="206" bestFit="1" customWidth="1"/>
    <col min="9" max="9" width="10" style="206" bestFit="1" customWidth="1"/>
    <col min="10" max="10" width="9.59765625" style="206" bestFit="1" customWidth="1"/>
    <col min="11" max="11" width="10.1328125" style="206" bestFit="1" customWidth="1"/>
    <col min="12" max="12" width="11" style="206" bestFit="1" customWidth="1"/>
    <col min="13" max="14" width="9.3984375" style="206" bestFit="1" customWidth="1"/>
    <col min="15" max="18" width="10" style="206" bestFit="1" customWidth="1"/>
    <col min="19" max="27" width="10" style="206" customWidth="1"/>
    <col min="28" max="28" width="10" style="206" bestFit="1" customWidth="1"/>
    <col min="29" max="29" width="2.1328125" style="206" customWidth="1"/>
    <col min="30" max="30" width="28.86328125" style="146" bestFit="1" customWidth="1"/>
    <col min="31" max="31" width="77.1328125" style="206" customWidth="1"/>
    <col min="32" max="16384" width="9.1328125" style="206"/>
  </cols>
  <sheetData>
    <row r="1" spans="1:31" ht="13.15" x14ac:dyDescent="0.4">
      <c r="E1" s="586">
        <v>1</v>
      </c>
      <c r="F1" s="586">
        <v>2</v>
      </c>
      <c r="G1" s="586">
        <v>3</v>
      </c>
      <c r="H1" s="586">
        <v>4</v>
      </c>
      <c r="I1" s="586">
        <v>5</v>
      </c>
      <c r="J1" s="586">
        <v>6</v>
      </c>
      <c r="K1" s="586">
        <v>7</v>
      </c>
      <c r="L1" s="586">
        <v>8</v>
      </c>
      <c r="M1" s="586">
        <v>9</v>
      </c>
      <c r="N1" s="586">
        <v>10</v>
      </c>
      <c r="O1" s="586">
        <v>11</v>
      </c>
      <c r="P1" s="586">
        <v>12</v>
      </c>
      <c r="Q1" s="586">
        <v>13</v>
      </c>
      <c r="R1" s="586">
        <v>14</v>
      </c>
      <c r="S1" s="2946">
        <v>15</v>
      </c>
      <c r="T1" s="3599">
        <v>16</v>
      </c>
      <c r="U1" s="2946">
        <v>17</v>
      </c>
      <c r="V1" s="3599">
        <v>18</v>
      </c>
      <c r="W1" s="2946">
        <v>19</v>
      </c>
      <c r="X1" s="3599">
        <v>20</v>
      </c>
      <c r="Y1" s="2946">
        <v>21</v>
      </c>
      <c r="Z1" s="3599">
        <v>22</v>
      </c>
      <c r="AA1" s="3599">
        <v>23</v>
      </c>
      <c r="AB1" s="3599">
        <v>24</v>
      </c>
      <c r="AC1" s="1503"/>
      <c r="AD1" s="2374" t="s">
        <v>6613</v>
      </c>
      <c r="AE1" s="1502" t="s">
        <v>5460</v>
      </c>
    </row>
    <row r="2" spans="1:31" ht="13.5" thickBot="1" x14ac:dyDescent="0.45">
      <c r="A2" s="1445"/>
      <c r="B2" s="413"/>
      <c r="C2" s="1345" t="s">
        <v>3815</v>
      </c>
      <c r="D2" s="722"/>
      <c r="E2" s="1533"/>
      <c r="F2" s="1533"/>
      <c r="G2" s="1533"/>
      <c r="H2" s="1533"/>
      <c r="I2" s="1533"/>
      <c r="J2" s="768"/>
      <c r="K2" s="768"/>
      <c r="L2" s="768"/>
      <c r="M2" s="768"/>
      <c r="N2" s="768"/>
      <c r="O2" s="768"/>
      <c r="P2" s="768"/>
      <c r="Q2" s="768"/>
      <c r="R2" s="768"/>
      <c r="S2" s="768"/>
      <c r="T2" s="768"/>
      <c r="U2" s="768"/>
      <c r="V2" s="768"/>
      <c r="W2" s="768"/>
      <c r="X2" s="768"/>
      <c r="Y2" s="768"/>
      <c r="Z2" s="768"/>
      <c r="AA2" s="768"/>
      <c r="AB2" s="768"/>
      <c r="AC2" s="1503"/>
      <c r="AD2" s="2374"/>
      <c r="AE2" s="1502" t="s">
        <v>5460</v>
      </c>
    </row>
    <row r="3" spans="1:31" ht="13.15" x14ac:dyDescent="0.4">
      <c r="A3" s="1447" t="s">
        <v>4845</v>
      </c>
      <c r="B3" s="413" t="s">
        <v>4210</v>
      </c>
      <c r="C3" s="1534" t="s">
        <v>668</v>
      </c>
      <c r="D3" s="1535"/>
      <c r="E3" s="1348">
        <v>1</v>
      </c>
      <c r="F3" s="1348">
        <v>2</v>
      </c>
      <c r="G3" s="1348">
        <v>3</v>
      </c>
      <c r="H3" s="1348">
        <v>4</v>
      </c>
      <c r="I3" s="1348">
        <v>5</v>
      </c>
      <c r="J3" s="1348">
        <v>6</v>
      </c>
      <c r="K3" s="1348">
        <v>7</v>
      </c>
      <c r="L3" s="1348">
        <v>8</v>
      </c>
      <c r="M3" s="1348">
        <v>9</v>
      </c>
      <c r="N3" s="1349">
        <v>10</v>
      </c>
      <c r="O3" s="768"/>
      <c r="P3" s="768"/>
      <c r="Q3" s="768"/>
      <c r="R3" s="768"/>
      <c r="S3" s="768"/>
      <c r="T3" s="768"/>
      <c r="U3" s="768"/>
      <c r="V3" s="768"/>
      <c r="W3" s="768"/>
      <c r="X3" s="768"/>
      <c r="Y3" s="768"/>
      <c r="Z3" s="768"/>
      <c r="AA3" s="768"/>
      <c r="AB3" s="768"/>
      <c r="AC3" s="768"/>
      <c r="AD3" s="2394" t="s">
        <v>6613</v>
      </c>
      <c r="AE3" s="1470"/>
    </row>
    <row r="4" spans="1:31" ht="12.75" x14ac:dyDescent="0.35">
      <c r="A4" s="1447">
        <v>2</v>
      </c>
      <c r="B4" s="1532" t="str">
        <f>IF(YPD_IND&gt;1,IF(HLOOKUP(YPD_IND-1,YPD_RANGE,A4)="","",HLOOKUP(YPD_IND-1,YPD_RANGE,A4)),"")</f>
        <v/>
      </c>
      <c r="C4" s="2011" t="s">
        <v>4987</v>
      </c>
      <c r="D4" s="723" t="s">
        <v>4991</v>
      </c>
      <c r="E4" s="1446"/>
      <c r="F4" s="1446"/>
      <c r="G4" s="1446"/>
      <c r="H4" s="1446"/>
      <c r="I4" s="1707"/>
      <c r="J4" s="1707"/>
      <c r="K4" s="1707"/>
      <c r="L4" s="1707"/>
      <c r="M4" s="1707"/>
      <c r="N4" s="1536"/>
      <c r="O4" s="768"/>
      <c r="P4" s="768"/>
      <c r="Q4" s="768"/>
      <c r="R4" s="768"/>
      <c r="S4" s="768"/>
      <c r="T4" s="768"/>
      <c r="U4" s="768"/>
      <c r="V4" s="768"/>
      <c r="W4" s="768"/>
      <c r="X4" s="768"/>
      <c r="Y4" s="768"/>
      <c r="Z4" s="768"/>
      <c r="AA4" s="768"/>
      <c r="AB4" s="768"/>
      <c r="AC4" s="1503"/>
      <c r="AD4" s="2376" t="s">
        <v>6656</v>
      </c>
      <c r="AE4" s="1469" t="s">
        <v>5461</v>
      </c>
    </row>
    <row r="5" spans="1:31" ht="12.75" x14ac:dyDescent="0.35">
      <c r="A5" s="1447">
        <v>3</v>
      </c>
      <c r="B5" s="1532" t="str">
        <f>IF(YPD_IND&gt;1,IF(HLOOKUP(YPD_IND-1,YPD_RANGE,A5)="","",HLOOKUP(YPD_IND-1,YPD_RANGE,A5)),"")</f>
        <v/>
      </c>
      <c r="C5" s="1350" t="s">
        <v>4988</v>
      </c>
      <c r="D5" s="723" t="s">
        <v>4992</v>
      </c>
      <c r="E5" s="1446"/>
      <c r="F5" s="1446"/>
      <c r="G5" s="1446"/>
      <c r="H5" s="1446"/>
      <c r="I5" s="1707"/>
      <c r="J5" s="1707"/>
      <c r="K5" s="1707"/>
      <c r="L5" s="1707"/>
      <c r="M5" s="1707"/>
      <c r="N5" s="1536"/>
      <c r="O5" s="768"/>
      <c r="P5" s="768"/>
      <c r="Q5" s="768"/>
      <c r="R5" s="768"/>
      <c r="S5" s="768"/>
      <c r="T5" s="768"/>
      <c r="U5" s="768"/>
      <c r="V5" s="768"/>
      <c r="W5" s="768"/>
      <c r="X5" s="768"/>
      <c r="Y5" s="768"/>
      <c r="Z5" s="768"/>
      <c r="AA5" s="768"/>
      <c r="AB5" s="768"/>
      <c r="AC5" s="1503"/>
      <c r="AD5" s="2376" t="s">
        <v>6656</v>
      </c>
      <c r="AE5" s="1469" t="s">
        <v>5462</v>
      </c>
    </row>
    <row r="6" spans="1:31" ht="12.75" x14ac:dyDescent="0.35">
      <c r="A6" s="1447">
        <v>4</v>
      </c>
      <c r="B6" s="1532" t="str">
        <f>IF(YPD_IND&gt;1,IF(HLOOKUP(YPD_IND-1,YPD_RANGE,A6)="","",HLOOKUP(YPD_IND-1,YPD_RANGE,A6)),"")</f>
        <v/>
      </c>
      <c r="C6" s="1350" t="s">
        <v>4989</v>
      </c>
      <c r="D6" s="723" t="s">
        <v>4993</v>
      </c>
      <c r="E6" s="1446"/>
      <c r="F6" s="1446"/>
      <c r="G6" s="1446"/>
      <c r="H6" s="1446"/>
      <c r="I6" s="1707"/>
      <c r="J6" s="1707"/>
      <c r="K6" s="1707"/>
      <c r="L6" s="1707"/>
      <c r="M6" s="1707"/>
      <c r="N6" s="1536"/>
      <c r="O6" s="768"/>
      <c r="P6" s="768"/>
      <c r="Q6" s="768"/>
      <c r="R6" s="768"/>
      <c r="S6" s="768"/>
      <c r="T6" s="768"/>
      <c r="U6" s="768"/>
      <c r="V6" s="768"/>
      <c r="W6" s="768"/>
      <c r="X6" s="768"/>
      <c r="Y6" s="768"/>
      <c r="Z6" s="768"/>
      <c r="AA6" s="768"/>
      <c r="AB6" s="768"/>
      <c r="AC6" s="1503"/>
      <c r="AD6" s="2376" t="s">
        <v>6614</v>
      </c>
      <c r="AE6" s="1469" t="s">
        <v>5464</v>
      </c>
    </row>
    <row r="7" spans="1:31" ht="12.75" x14ac:dyDescent="0.35">
      <c r="A7" s="1447">
        <v>5</v>
      </c>
      <c r="B7" s="1532" t="str">
        <f>IF(YPD_IND&gt;1,IF(HLOOKUP(YPD_IND-1,YPD_RANGE,A7)="","",HLOOKUP(YPD_IND-1,YPD_RANGE,A7)),"")</f>
        <v/>
      </c>
      <c r="C7" s="1350" t="s">
        <v>4990</v>
      </c>
      <c r="D7" s="723" t="s">
        <v>4994</v>
      </c>
      <c r="E7" s="1446"/>
      <c r="F7" s="1446"/>
      <c r="G7" s="1446"/>
      <c r="H7" s="1446"/>
      <c r="I7" s="1707"/>
      <c r="J7" s="1707"/>
      <c r="K7" s="1707"/>
      <c r="L7" s="1707"/>
      <c r="M7" s="1707"/>
      <c r="N7" s="1536"/>
      <c r="O7" s="768"/>
      <c r="P7" s="768"/>
      <c r="Q7" s="768"/>
      <c r="R7" s="768"/>
      <c r="S7" s="768"/>
      <c r="T7" s="768"/>
      <c r="U7" s="768"/>
      <c r="V7" s="768"/>
      <c r="W7" s="768"/>
      <c r="X7" s="768"/>
      <c r="Y7" s="768"/>
      <c r="Z7" s="768"/>
      <c r="AA7" s="768"/>
      <c r="AB7" s="768"/>
      <c r="AC7" s="1503"/>
      <c r="AD7" s="2376" t="s">
        <v>6614</v>
      </c>
      <c r="AE7" s="1469" t="s">
        <v>5463</v>
      </c>
    </row>
    <row r="8" spans="1:31" ht="13.15" thickBot="1" x14ac:dyDescent="0.4">
      <c r="A8" s="1447">
        <v>6</v>
      </c>
      <c r="B8" s="1532">
        <f>IF(YPD_IND&gt;1,IF(HLOOKUP(YPD_IND-1,YPD_RANGE,A8)="","",HLOOKUP(YPD_IND-1,YPD_RANGE,A8)),"")</f>
        <v>1</v>
      </c>
      <c r="C8" s="2691" t="s">
        <v>6644</v>
      </c>
      <c r="D8" s="2692" t="s">
        <v>5671</v>
      </c>
      <c r="E8" s="2245">
        <v>1</v>
      </c>
      <c r="F8" s="2245">
        <v>2</v>
      </c>
      <c r="G8" s="2245"/>
      <c r="H8" s="2245"/>
      <c r="I8" s="2245"/>
      <c r="J8" s="2245"/>
      <c r="K8" s="2245"/>
      <c r="L8" s="2245"/>
      <c r="M8" s="2245"/>
      <c r="N8" s="2246"/>
      <c r="O8" s="768"/>
      <c r="P8" s="768"/>
      <c r="Q8" s="768"/>
      <c r="R8" s="768"/>
      <c r="S8" s="768"/>
      <c r="T8" s="768"/>
      <c r="U8" s="768"/>
      <c r="V8" s="768"/>
      <c r="W8" s="768"/>
      <c r="X8" s="768"/>
      <c r="Y8" s="768"/>
      <c r="Z8" s="768"/>
      <c r="AA8" s="768"/>
      <c r="AB8" s="768"/>
      <c r="AC8" s="768"/>
      <c r="AD8" s="2377" t="s">
        <v>6614</v>
      </c>
      <c r="AE8" s="1470"/>
    </row>
    <row r="9" spans="1:31" ht="12" thickBot="1" x14ac:dyDescent="0.4">
      <c r="A9" s="1445"/>
      <c r="B9" s="413"/>
      <c r="C9" s="1345" t="s">
        <v>945</v>
      </c>
      <c r="D9" s="722"/>
      <c r="E9" s="413"/>
      <c r="F9" s="413"/>
      <c r="G9" s="413"/>
      <c r="H9" s="413"/>
      <c r="I9" s="413"/>
    </row>
    <row r="10" spans="1:31" ht="13.15" x14ac:dyDescent="0.4">
      <c r="A10" s="1342" t="s">
        <v>4845</v>
      </c>
      <c r="B10" s="676" t="s">
        <v>4210</v>
      </c>
      <c r="C10" s="1534" t="s">
        <v>4006</v>
      </c>
      <c r="D10" s="1535"/>
      <c r="E10" s="1348">
        <v>1</v>
      </c>
      <c r="F10" s="1348">
        <v>2</v>
      </c>
      <c r="G10" s="1348">
        <v>3</v>
      </c>
      <c r="H10" s="1348">
        <v>4</v>
      </c>
      <c r="I10" s="1348">
        <v>5</v>
      </c>
      <c r="J10" s="1348">
        <v>6</v>
      </c>
      <c r="K10" s="1348">
        <v>7</v>
      </c>
      <c r="L10" s="1348">
        <v>8</v>
      </c>
      <c r="M10" s="1348">
        <v>9</v>
      </c>
      <c r="N10" s="1348">
        <v>10</v>
      </c>
      <c r="O10" s="1348">
        <v>11</v>
      </c>
      <c r="P10" s="1348">
        <v>12</v>
      </c>
      <c r="Q10" s="1348">
        <v>13</v>
      </c>
      <c r="R10" s="1348">
        <v>14</v>
      </c>
      <c r="S10" s="1544">
        <v>15</v>
      </c>
      <c r="T10" s="1544">
        <v>16</v>
      </c>
      <c r="U10" s="3620">
        <v>17</v>
      </c>
      <c r="V10" s="3620">
        <v>18</v>
      </c>
      <c r="W10" s="3620">
        <v>19</v>
      </c>
      <c r="X10" s="3620">
        <v>20</v>
      </c>
      <c r="Y10" s="3620">
        <v>21</v>
      </c>
      <c r="Z10" s="3620">
        <v>22</v>
      </c>
      <c r="AA10" s="3620">
        <v>23</v>
      </c>
      <c r="AB10" s="3621">
        <v>24</v>
      </c>
      <c r="AC10" s="1503"/>
      <c r="AD10" s="2394" t="s">
        <v>6613</v>
      </c>
    </row>
    <row r="11" spans="1:31" ht="12.75" x14ac:dyDescent="0.35">
      <c r="A11" s="1342">
        <v>2</v>
      </c>
      <c r="B11" s="1538">
        <f t="shared" ref="B11:B17" si="0">IF(INC_A_IND&gt;1,IF(HLOOKUP(INC_A_IND-1,INC_A_RANGE,A11)="","",HLOOKUP(INC_A_IND-1,INC_A_RANGE,A11)),"")</f>
        <v>321</v>
      </c>
      <c r="C11" s="2011" t="s">
        <v>584</v>
      </c>
      <c r="D11" s="723" t="s">
        <v>4846</v>
      </c>
      <c r="E11" s="2014"/>
      <c r="F11" s="2014">
        <v>321</v>
      </c>
      <c r="G11" s="2014">
        <v>22</v>
      </c>
      <c r="H11" s="2014">
        <v>365</v>
      </c>
      <c r="I11" s="2014"/>
      <c r="J11" s="2014"/>
      <c r="K11" s="2014"/>
      <c r="L11" s="2014"/>
      <c r="M11" s="2014"/>
      <c r="N11" s="2014"/>
      <c r="O11" s="2014"/>
      <c r="P11" s="2014"/>
      <c r="Q11" s="2014"/>
      <c r="R11" s="2014"/>
      <c r="S11" s="2947"/>
      <c r="T11" s="3600"/>
      <c r="U11" s="3622"/>
      <c r="V11" s="3622"/>
      <c r="W11" s="3622"/>
      <c r="X11" s="3622">
        <v>747</v>
      </c>
      <c r="Y11" s="3622"/>
      <c r="Z11" s="3622">
        <v>21</v>
      </c>
      <c r="AA11" s="3622"/>
      <c r="AB11" s="3623"/>
      <c r="AC11" s="1503"/>
      <c r="AD11" s="2376" t="s">
        <v>6654</v>
      </c>
      <c r="AE11" s="1469"/>
    </row>
    <row r="12" spans="1:31" ht="12.75" x14ac:dyDescent="0.35">
      <c r="A12" s="1342">
        <v>3</v>
      </c>
      <c r="B12" s="1538">
        <f t="shared" si="0"/>
        <v>1625</v>
      </c>
      <c r="C12" s="2011" t="s">
        <v>585</v>
      </c>
      <c r="D12" s="723" t="s">
        <v>4464</v>
      </c>
      <c r="E12" s="2014">
        <v>3678</v>
      </c>
      <c r="F12" s="2014">
        <v>1625</v>
      </c>
      <c r="G12" s="2014">
        <v>2099.88</v>
      </c>
      <c r="H12" s="2014">
        <v>7283</v>
      </c>
      <c r="I12" s="2014">
        <v>6710.4</v>
      </c>
      <c r="J12" s="2014">
        <v>2225</v>
      </c>
      <c r="K12" s="2014">
        <v>4598</v>
      </c>
      <c r="L12" s="2014">
        <v>10120</v>
      </c>
      <c r="M12" s="2014">
        <v>176.8</v>
      </c>
      <c r="N12" s="2014">
        <v>3678</v>
      </c>
      <c r="O12" s="2014"/>
      <c r="P12" s="2014">
        <v>87000</v>
      </c>
      <c r="Q12" s="2014"/>
      <c r="R12" s="2014">
        <v>87000</v>
      </c>
      <c r="S12" s="2947">
        <v>18</v>
      </c>
      <c r="T12" s="3600">
        <v>33529</v>
      </c>
      <c r="U12" s="3622">
        <v>14324</v>
      </c>
      <c r="V12" s="3622">
        <v>21005</v>
      </c>
      <c r="W12" s="3641">
        <f>BR_band-2007</f>
        <v>31493</v>
      </c>
      <c r="X12" s="3641">
        <f>BR_band-7000</f>
        <v>26500</v>
      </c>
      <c r="Y12" s="3622">
        <f>BR_band+2655</f>
        <v>36155</v>
      </c>
      <c r="Z12" s="3622">
        <v>811</v>
      </c>
      <c r="AA12" s="3622">
        <f>BR_band-5655</f>
        <v>27845</v>
      </c>
      <c r="AB12" s="3623"/>
      <c r="AC12" s="1503"/>
      <c r="AD12" s="2376" t="s">
        <v>6654</v>
      </c>
      <c r="AE12" s="1469"/>
    </row>
    <row r="13" spans="1:31" ht="12.75" x14ac:dyDescent="0.35">
      <c r="A13" s="1342">
        <v>4</v>
      </c>
      <c r="B13" s="1538" t="str">
        <f t="shared" si="0"/>
        <v/>
      </c>
      <c r="C13" s="2011" t="s">
        <v>600</v>
      </c>
      <c r="D13" s="723" t="s">
        <v>4647</v>
      </c>
      <c r="E13" s="2014"/>
      <c r="F13" s="2014"/>
      <c r="G13" s="2014"/>
      <c r="H13" s="2014"/>
      <c r="I13" s="2014"/>
      <c r="J13" s="2014"/>
      <c r="K13" s="2014"/>
      <c r="L13" s="2014"/>
      <c r="M13" s="2014">
        <v>200</v>
      </c>
      <c r="N13" s="2014"/>
      <c r="O13" s="2014"/>
      <c r="P13" s="2014"/>
      <c r="Q13" s="2014"/>
      <c r="R13" s="2014"/>
      <c r="S13" s="2947"/>
      <c r="T13" s="3600"/>
      <c r="U13" s="3622"/>
      <c r="V13" s="3622"/>
      <c r="W13" s="3641"/>
      <c r="X13" s="3641"/>
      <c r="Y13" s="3622"/>
      <c r="Z13" s="3622"/>
      <c r="AA13" s="3622"/>
      <c r="AB13" s="3623"/>
      <c r="AC13" s="1503"/>
      <c r="AD13" s="2376" t="s">
        <v>6654</v>
      </c>
      <c r="AE13" s="1469" t="s">
        <v>5525</v>
      </c>
    </row>
    <row r="14" spans="1:31" ht="12.75" x14ac:dyDescent="0.35">
      <c r="A14" s="1342">
        <v>5</v>
      </c>
      <c r="B14" s="1538">
        <f t="shared" si="0"/>
        <v>128</v>
      </c>
      <c r="C14" s="2011" t="s">
        <v>601</v>
      </c>
      <c r="D14" s="723" t="s">
        <v>2577</v>
      </c>
      <c r="E14" s="2014"/>
      <c r="F14" s="2014">
        <v>128</v>
      </c>
      <c r="G14" s="2014"/>
      <c r="H14" s="2014">
        <v>1510</v>
      </c>
      <c r="I14" s="2014">
        <v>5009.93</v>
      </c>
      <c r="J14" s="2014"/>
      <c r="K14" s="2014">
        <v>2450</v>
      </c>
      <c r="L14" s="2014">
        <v>828319.1</v>
      </c>
      <c r="M14" s="2014"/>
      <c r="N14" s="2014"/>
      <c r="O14" s="2014"/>
      <c r="P14" s="2014"/>
      <c r="Q14" s="2014">
        <v>32000</v>
      </c>
      <c r="R14" s="2014">
        <v>92000</v>
      </c>
      <c r="S14" s="2947"/>
      <c r="T14" s="3600">
        <v>57011</v>
      </c>
      <c r="U14" s="3622">
        <v>5999</v>
      </c>
      <c r="V14" s="3622">
        <v>16000</v>
      </c>
      <c r="W14" s="3641">
        <f>DTA+2555</f>
        <v>7555</v>
      </c>
      <c r="X14" s="3641">
        <f>BR_band-12000</f>
        <v>21500</v>
      </c>
      <c r="Y14" s="3622">
        <f>DTA+9238</f>
        <v>14238</v>
      </c>
      <c r="Z14" s="3622">
        <v>11166</v>
      </c>
      <c r="AA14" s="3622">
        <f>DTA+4000</f>
        <v>9000</v>
      </c>
      <c r="AB14" s="3623"/>
      <c r="AC14" s="1503"/>
      <c r="AD14" s="2376" t="s">
        <v>6654</v>
      </c>
      <c r="AE14" s="1469"/>
    </row>
    <row r="15" spans="1:31" ht="12.75" x14ac:dyDescent="0.35">
      <c r="A15" s="1342">
        <v>6</v>
      </c>
      <c r="B15" s="1538" t="str">
        <f t="shared" si="0"/>
        <v/>
      </c>
      <c r="C15" s="2011" t="s">
        <v>602</v>
      </c>
      <c r="D15" s="723" t="s">
        <v>4847</v>
      </c>
      <c r="E15" s="2014">
        <v>12750</v>
      </c>
      <c r="F15" s="2014"/>
      <c r="G15" s="2014"/>
      <c r="H15" s="2014"/>
      <c r="I15" s="2012">
        <v>224.47</v>
      </c>
      <c r="J15" s="2012"/>
      <c r="K15" s="2012"/>
      <c r="L15" s="2012"/>
      <c r="M15" s="2012"/>
      <c r="N15" s="2012"/>
      <c r="O15" s="2012">
        <v>12750</v>
      </c>
      <c r="P15" s="2012"/>
      <c r="Q15" s="2012"/>
      <c r="R15" s="2012"/>
      <c r="S15" s="2948"/>
      <c r="T15" s="3601"/>
      <c r="U15" s="3622"/>
      <c r="V15" s="3622"/>
      <c r="W15" s="3622"/>
      <c r="X15" s="3622"/>
      <c r="Y15" s="3622"/>
      <c r="Z15" s="3622"/>
      <c r="AA15" s="3622"/>
      <c r="AB15" s="3623"/>
      <c r="AC15" s="1503"/>
      <c r="AD15" s="2376" t="s">
        <v>6654</v>
      </c>
      <c r="AE15" s="1469"/>
    </row>
    <row r="16" spans="1:31" ht="12.75" x14ac:dyDescent="0.35">
      <c r="A16" s="1342">
        <v>7</v>
      </c>
      <c r="B16" s="1538" t="str">
        <f t="shared" si="0"/>
        <v/>
      </c>
      <c r="C16" s="2011" t="s">
        <v>603</v>
      </c>
      <c r="D16" s="723" t="s">
        <v>4182</v>
      </c>
      <c r="E16" s="2014"/>
      <c r="F16" s="2014"/>
      <c r="G16" s="2014"/>
      <c r="H16" s="2014"/>
      <c r="I16" s="2012"/>
      <c r="J16" s="2012">
        <v>267</v>
      </c>
      <c r="K16" s="2012">
        <v>165</v>
      </c>
      <c r="L16" s="2012"/>
      <c r="M16" s="2012"/>
      <c r="N16" s="2012"/>
      <c r="O16" s="2012"/>
      <c r="P16" s="2012"/>
      <c r="Q16" s="2012"/>
      <c r="R16" s="2012"/>
      <c r="S16" s="2948"/>
      <c r="T16" s="3601"/>
      <c r="U16" s="3622"/>
      <c r="V16" s="3622"/>
      <c r="W16" s="3622"/>
      <c r="X16" s="3622"/>
      <c r="Y16" s="3622"/>
      <c r="Z16" s="3622"/>
      <c r="AA16" s="3622"/>
      <c r="AB16" s="3623"/>
      <c r="AC16" s="1503"/>
      <c r="AD16" s="2376" t="s">
        <v>6654</v>
      </c>
      <c r="AE16" s="1469"/>
    </row>
    <row r="17" spans="1:31" ht="13.15" thickBot="1" x14ac:dyDescent="0.4">
      <c r="A17" s="1342">
        <v>8</v>
      </c>
      <c r="B17" s="1538" t="str">
        <f t="shared" si="0"/>
        <v/>
      </c>
      <c r="C17" s="1351" t="s">
        <v>604</v>
      </c>
      <c r="D17" s="1537" t="s">
        <v>4848</v>
      </c>
      <c r="E17" s="1539"/>
      <c r="F17" s="1539"/>
      <c r="G17" s="1539"/>
      <c r="H17" s="1539"/>
      <c r="I17" s="1540"/>
      <c r="J17" s="1540">
        <v>80.099999999999994</v>
      </c>
      <c r="K17" s="1540">
        <v>14.9</v>
      </c>
      <c r="L17" s="1540"/>
      <c r="M17" s="1540"/>
      <c r="N17" s="1540"/>
      <c r="O17" s="1540"/>
      <c r="P17" s="1540"/>
      <c r="Q17" s="1540"/>
      <c r="R17" s="1540"/>
      <c r="S17" s="2949"/>
      <c r="T17" s="2949"/>
      <c r="U17" s="3624"/>
      <c r="V17" s="3624"/>
      <c r="W17" s="3624"/>
      <c r="X17" s="3624"/>
      <c r="Y17" s="3624"/>
      <c r="Z17" s="3624"/>
      <c r="AA17" s="3624"/>
      <c r="AB17" s="3625"/>
      <c r="AC17" s="1503"/>
      <c r="AD17" s="2376" t="s">
        <v>6654</v>
      </c>
      <c r="AE17" s="1469" t="s">
        <v>5526</v>
      </c>
    </row>
    <row r="18" spans="1:31" ht="12" thickBot="1" x14ac:dyDescent="0.4">
      <c r="C18" s="1345" t="s">
        <v>946</v>
      </c>
      <c r="D18" s="722"/>
      <c r="E18" s="413"/>
      <c r="F18" s="413"/>
      <c r="G18" s="413"/>
      <c r="H18" s="413"/>
    </row>
    <row r="19" spans="1:31" ht="13.15" x14ac:dyDescent="0.4">
      <c r="A19" s="1342" t="s">
        <v>4845</v>
      </c>
      <c r="B19" s="676" t="s">
        <v>4210</v>
      </c>
      <c r="C19" s="1542" t="s">
        <v>4005</v>
      </c>
      <c r="D19" s="1543"/>
      <c r="E19" s="1348">
        <v>1</v>
      </c>
      <c r="F19" s="1348">
        <v>2</v>
      </c>
      <c r="G19" s="1348">
        <v>3</v>
      </c>
      <c r="H19" s="1348">
        <v>4</v>
      </c>
      <c r="I19" s="1348">
        <v>5</v>
      </c>
      <c r="J19" s="1348">
        <v>6</v>
      </c>
      <c r="K19" s="1348">
        <v>7</v>
      </c>
      <c r="L19" s="1348">
        <v>8</v>
      </c>
      <c r="M19" s="1544">
        <v>9</v>
      </c>
      <c r="N19" s="1348">
        <v>10</v>
      </c>
      <c r="O19" s="1348">
        <v>11</v>
      </c>
      <c r="P19" s="3626">
        <v>12</v>
      </c>
      <c r="Q19" s="3627">
        <v>13</v>
      </c>
      <c r="R19" s="3627">
        <v>14</v>
      </c>
      <c r="S19" s="3626">
        <v>15</v>
      </c>
      <c r="T19" s="3626">
        <v>16</v>
      </c>
      <c r="U19" s="3626">
        <v>17</v>
      </c>
      <c r="V19" s="3664">
        <v>18</v>
      </c>
      <c r="AC19" s="1503"/>
      <c r="AD19" s="2394" t="s">
        <v>6613</v>
      </c>
    </row>
    <row r="20" spans="1:31" ht="12.75" x14ac:dyDescent="0.35">
      <c r="A20" s="1342">
        <v>2</v>
      </c>
      <c r="B20" s="1541">
        <f t="shared" ref="B20:B28" si="1">IF(INC_B_IND&gt;1,IF(HLOOKUP(INC_B_IND-1,INC_B_RANGE,A20)="","",HLOOKUP(INC_B_IND-1,INC_B_RANGE,A20)),"")</f>
        <v>14206</v>
      </c>
      <c r="C20" s="2011" t="s">
        <v>605</v>
      </c>
      <c r="D20" s="723" t="s">
        <v>4849</v>
      </c>
      <c r="E20" s="2016">
        <v>6200</v>
      </c>
      <c r="F20" s="2016">
        <v>3770</v>
      </c>
      <c r="G20" s="2016">
        <v>4867</v>
      </c>
      <c r="H20" s="2016"/>
      <c r="I20" s="2016">
        <v>1600</v>
      </c>
      <c r="J20" s="2016"/>
      <c r="K20" s="2016">
        <v>8206</v>
      </c>
      <c r="L20" s="2016">
        <v>9620</v>
      </c>
      <c r="M20" s="3667">
        <v>8052</v>
      </c>
      <c r="N20" s="2016"/>
      <c r="O20" s="2016">
        <v>14206</v>
      </c>
      <c r="P20" s="3628">
        <v>1976</v>
      </c>
      <c r="Q20" s="3629">
        <v>8239</v>
      </c>
      <c r="R20" s="3629"/>
      <c r="S20" s="3628"/>
      <c r="T20" s="3628"/>
      <c r="U20" s="3628"/>
      <c r="V20" s="3630"/>
      <c r="AC20" s="1503"/>
      <c r="AD20" s="2376" t="s">
        <v>6617</v>
      </c>
      <c r="AE20" s="1469" t="s">
        <v>5527</v>
      </c>
    </row>
    <row r="21" spans="1:31" ht="12.75" x14ac:dyDescent="0.35">
      <c r="A21" s="1342">
        <v>3</v>
      </c>
      <c r="B21" s="1541" t="str">
        <f t="shared" si="1"/>
        <v/>
      </c>
      <c r="C21" s="2011" t="s">
        <v>606</v>
      </c>
      <c r="D21" s="723" t="s">
        <v>4850</v>
      </c>
      <c r="E21" s="2016"/>
      <c r="F21" s="2016"/>
      <c r="G21" s="2016"/>
      <c r="H21" s="2016"/>
      <c r="I21" s="2016">
        <v>16534</v>
      </c>
      <c r="J21" s="2016"/>
      <c r="K21" s="2016"/>
      <c r="L21" s="2016">
        <v>30275</v>
      </c>
      <c r="M21" s="2017"/>
      <c r="N21" s="2016"/>
      <c r="O21" s="2016"/>
      <c r="P21" s="3628"/>
      <c r="Q21" s="3629"/>
      <c r="R21" s="3629"/>
      <c r="S21" s="3628"/>
      <c r="T21" s="3628"/>
      <c r="U21" s="3628"/>
      <c r="V21" s="3630"/>
      <c r="AC21" s="1503"/>
      <c r="AD21" s="2376" t="s">
        <v>6617</v>
      </c>
      <c r="AE21" s="1469"/>
    </row>
    <row r="22" spans="1:31" ht="12.75" x14ac:dyDescent="0.35">
      <c r="A22" s="1342">
        <v>4</v>
      </c>
      <c r="B22" s="1541" t="str">
        <f t="shared" si="1"/>
        <v/>
      </c>
      <c r="C22" s="2011" t="s">
        <v>607</v>
      </c>
      <c r="D22" s="723" t="s">
        <v>4851</v>
      </c>
      <c r="E22" s="2008"/>
      <c r="F22" s="2008"/>
      <c r="G22" s="2008"/>
      <c r="H22" s="2008"/>
      <c r="I22" s="2008">
        <v>3520</v>
      </c>
      <c r="J22" s="2008"/>
      <c r="K22" s="1988"/>
      <c r="L22" s="1988">
        <v>12110</v>
      </c>
      <c r="M22" s="2018"/>
      <c r="N22" s="1988"/>
      <c r="O22" s="1988"/>
      <c r="P22" s="3631"/>
      <c r="Q22" s="3632"/>
      <c r="R22" s="3632"/>
      <c r="S22" s="3631"/>
      <c r="T22" s="3631"/>
      <c r="U22" s="3631"/>
      <c r="V22" s="3630"/>
      <c r="AC22" s="1503"/>
      <c r="AD22" s="2376" t="s">
        <v>6654</v>
      </c>
      <c r="AE22" s="1469" t="s">
        <v>5528</v>
      </c>
    </row>
    <row r="23" spans="1:31" ht="12.75" x14ac:dyDescent="0.35">
      <c r="A23" s="1342">
        <v>5</v>
      </c>
      <c r="B23" s="1541">
        <f t="shared" si="1"/>
        <v>5300</v>
      </c>
      <c r="C23" s="2011" t="s">
        <v>608</v>
      </c>
      <c r="D23" s="723" t="s">
        <v>4852</v>
      </c>
      <c r="E23" s="2016"/>
      <c r="F23" s="2016">
        <v>3121</v>
      </c>
      <c r="G23" s="2016"/>
      <c r="H23" s="2016">
        <v>14473.97</v>
      </c>
      <c r="I23" s="2016"/>
      <c r="J23" s="2016"/>
      <c r="K23" s="2016">
        <v>32650</v>
      </c>
      <c r="L23" s="2016">
        <v>43651</v>
      </c>
      <c r="M23" s="2017"/>
      <c r="N23" s="2016"/>
      <c r="O23" s="2016">
        <v>5300</v>
      </c>
      <c r="P23" s="3628"/>
      <c r="Q23" s="3629">
        <v>4800</v>
      </c>
      <c r="R23" s="3629">
        <f>BR_band+3041</f>
        <v>36541</v>
      </c>
      <c r="S23" s="3628"/>
      <c r="T23" s="3628"/>
      <c r="U23" s="3628"/>
      <c r="V23" s="3630"/>
      <c r="AC23" s="1503"/>
      <c r="AD23" s="2376" t="s">
        <v>6617</v>
      </c>
      <c r="AE23" s="1469"/>
    </row>
    <row r="24" spans="1:31" ht="12.75" x14ac:dyDescent="0.35">
      <c r="A24" s="1342">
        <v>6</v>
      </c>
      <c r="B24" s="1541">
        <f t="shared" si="1"/>
        <v>1060</v>
      </c>
      <c r="C24" s="2011" t="s">
        <v>609</v>
      </c>
      <c r="D24" s="723" t="s">
        <v>4853</v>
      </c>
      <c r="E24" s="2009" t="str">
        <f t="shared" ref="E24:O24" si="2">IF(E23="","",TRUNC(E23*BR_rate,2))</f>
        <v/>
      </c>
      <c r="F24" s="2009">
        <f t="shared" si="2"/>
        <v>624.20000000000005</v>
      </c>
      <c r="G24" s="2009" t="str">
        <f t="shared" si="2"/>
        <v/>
      </c>
      <c r="H24" s="2009">
        <f t="shared" si="2"/>
        <v>2894.79</v>
      </c>
      <c r="I24" s="2009" t="str">
        <f t="shared" si="2"/>
        <v/>
      </c>
      <c r="J24" s="2009" t="str">
        <f t="shared" si="2"/>
        <v/>
      </c>
      <c r="K24" s="2009">
        <f t="shared" si="2"/>
        <v>6530</v>
      </c>
      <c r="L24" s="2009">
        <f t="shared" si="2"/>
        <v>8730.2000000000007</v>
      </c>
      <c r="M24" s="2009" t="str">
        <f t="shared" si="2"/>
        <v/>
      </c>
      <c r="N24" s="2009" t="str">
        <f t="shared" si="2"/>
        <v/>
      </c>
      <c r="O24" s="2009">
        <f t="shared" si="2"/>
        <v>1060</v>
      </c>
      <c r="P24" s="3633" t="str">
        <f t="shared" ref="P24:R24" si="3">IF(P23="","",TRUNC(P23*BR_rate,2))</f>
        <v/>
      </c>
      <c r="Q24" s="3634">
        <f t="shared" si="3"/>
        <v>960</v>
      </c>
      <c r="R24" s="3634">
        <f t="shared" si="3"/>
        <v>7308.2</v>
      </c>
      <c r="S24" s="3633" t="str">
        <f t="shared" ref="S24:U24" si="4">IF(S23="","",TRUNC(S23*BR_rate,2))</f>
        <v/>
      </c>
      <c r="T24" s="3633" t="str">
        <f t="shared" si="4"/>
        <v/>
      </c>
      <c r="U24" s="3633" t="str">
        <f t="shared" si="4"/>
        <v/>
      </c>
      <c r="V24" s="3635" t="str">
        <f>IF(V23="","",TRUNC(V23*BR_rate,2))</f>
        <v/>
      </c>
      <c r="AC24" s="1503"/>
      <c r="AD24" s="2376" t="s">
        <v>6619</v>
      </c>
      <c r="AE24" s="1469" t="s">
        <v>5529</v>
      </c>
    </row>
    <row r="25" spans="1:31" ht="12.75" x14ac:dyDescent="0.35">
      <c r="A25" s="1342">
        <v>7</v>
      </c>
      <c r="B25" s="1541" t="str">
        <f t="shared" si="1"/>
        <v/>
      </c>
      <c r="C25" s="2011" t="s">
        <v>610</v>
      </c>
      <c r="D25" s="723" t="s">
        <v>4854</v>
      </c>
      <c r="E25" s="2008"/>
      <c r="F25" s="2008"/>
      <c r="G25" s="2008"/>
      <c r="H25" s="2008"/>
      <c r="I25" s="2008"/>
      <c r="J25" s="2008">
        <v>2092</v>
      </c>
      <c r="K25" s="1988"/>
      <c r="L25" s="1988"/>
      <c r="M25" s="2018"/>
      <c r="N25" s="1988">
        <v>400</v>
      </c>
      <c r="O25" s="1988"/>
      <c r="P25" s="3631"/>
      <c r="Q25" s="3632"/>
      <c r="R25" s="3632"/>
      <c r="S25" s="3631"/>
      <c r="T25" s="3631"/>
      <c r="U25" s="3631"/>
      <c r="V25" s="3630"/>
      <c r="AC25" s="1503"/>
      <c r="AD25" s="2376" t="s">
        <v>6617</v>
      </c>
      <c r="AE25" s="1469"/>
    </row>
    <row r="26" spans="1:31" ht="12.75" x14ac:dyDescent="0.35">
      <c r="A26" s="1342">
        <v>8</v>
      </c>
      <c r="B26" s="1541" t="str">
        <f t="shared" si="1"/>
        <v/>
      </c>
      <c r="C26" s="2011" t="s">
        <v>611</v>
      </c>
      <c r="D26" s="723" t="s">
        <v>4855</v>
      </c>
      <c r="E26" s="2009" t="str">
        <f t="shared" ref="E26:O26" si="5">IF(E25="","",TRUNC(E25*BR_rate,2))</f>
        <v/>
      </c>
      <c r="F26" s="2009" t="str">
        <f t="shared" si="5"/>
        <v/>
      </c>
      <c r="G26" s="2009" t="str">
        <f t="shared" si="5"/>
        <v/>
      </c>
      <c r="H26" s="2009" t="str">
        <f t="shared" si="5"/>
        <v/>
      </c>
      <c r="I26" s="2009" t="str">
        <f t="shared" si="5"/>
        <v/>
      </c>
      <c r="J26" s="2009">
        <f t="shared" si="5"/>
        <v>418.4</v>
      </c>
      <c r="K26" s="2009" t="str">
        <f t="shared" si="5"/>
        <v/>
      </c>
      <c r="L26" s="2009" t="str">
        <f t="shared" si="5"/>
        <v/>
      </c>
      <c r="M26" s="2009" t="str">
        <f t="shared" si="5"/>
        <v/>
      </c>
      <c r="N26" s="2009">
        <f t="shared" si="5"/>
        <v>80</v>
      </c>
      <c r="O26" s="2009" t="str">
        <f t="shared" si="5"/>
        <v/>
      </c>
      <c r="P26" s="3633" t="str">
        <f t="shared" ref="P26:R26" si="6">IF(P25="","",TRUNC(P25*BR_rate,2))</f>
        <v/>
      </c>
      <c r="Q26" s="3634" t="str">
        <f t="shared" si="6"/>
        <v/>
      </c>
      <c r="R26" s="3634" t="str">
        <f t="shared" si="6"/>
        <v/>
      </c>
      <c r="S26" s="3633" t="str">
        <f t="shared" ref="S26:U26" si="7">IF(S25="","",TRUNC(S25*BR_rate,2))</f>
        <v/>
      </c>
      <c r="T26" s="3633" t="str">
        <f t="shared" si="7"/>
        <v/>
      </c>
      <c r="U26" s="3633" t="str">
        <f t="shared" si="7"/>
        <v/>
      </c>
      <c r="V26" s="3635" t="str">
        <f>IF(V25="","",TRUNC(V25*BR_rate,2))</f>
        <v/>
      </c>
      <c r="AC26" s="1503"/>
      <c r="AD26" s="2376" t="s">
        <v>6654</v>
      </c>
      <c r="AE26" s="1469" t="s">
        <v>5530</v>
      </c>
    </row>
    <row r="27" spans="1:31" ht="12.75" x14ac:dyDescent="0.35">
      <c r="A27" s="1342">
        <v>9</v>
      </c>
      <c r="B27" s="1541" t="str">
        <f t="shared" si="1"/>
        <v/>
      </c>
      <c r="C27" s="2011" t="s">
        <v>3548</v>
      </c>
      <c r="D27" s="723" t="s">
        <v>4856</v>
      </c>
      <c r="E27" s="2016"/>
      <c r="F27" s="2016"/>
      <c r="G27" s="2016"/>
      <c r="H27" s="2016"/>
      <c r="I27" s="2016"/>
      <c r="J27" s="2016"/>
      <c r="K27" s="2016"/>
      <c r="L27" s="2016"/>
      <c r="M27" s="2017"/>
      <c r="N27" s="2016">
        <v>1400</v>
      </c>
      <c r="O27" s="2016"/>
      <c r="P27" s="3628"/>
      <c r="Q27" s="3629"/>
      <c r="R27" s="3629"/>
      <c r="S27" s="3628"/>
      <c r="T27" s="3628"/>
      <c r="U27" s="3628"/>
      <c r="V27" s="3630"/>
      <c r="AC27" s="1503"/>
      <c r="AD27" s="2376" t="s">
        <v>6617</v>
      </c>
      <c r="AE27" s="1469" t="s">
        <v>5527</v>
      </c>
    </row>
    <row r="28" spans="1:31" ht="13.15" thickBot="1" x14ac:dyDescent="0.4">
      <c r="A28" s="1342">
        <v>10</v>
      </c>
      <c r="B28" s="1541" t="str">
        <f t="shared" si="1"/>
        <v/>
      </c>
      <c r="C28" s="2015" t="s">
        <v>3547</v>
      </c>
      <c r="D28" s="1537" t="s">
        <v>4857</v>
      </c>
      <c r="E28" s="2006"/>
      <c r="F28" s="2006"/>
      <c r="G28" s="2006">
        <v>1080</v>
      </c>
      <c r="H28" s="2006">
        <v>1757</v>
      </c>
      <c r="I28" s="2006"/>
      <c r="J28" s="2006"/>
      <c r="K28" s="2006"/>
      <c r="L28" s="2006"/>
      <c r="M28" s="2020"/>
      <c r="N28" s="2006"/>
      <c r="O28" s="2006"/>
      <c r="P28" s="3636"/>
      <c r="Q28" s="3637"/>
      <c r="R28" s="3637"/>
      <c r="S28" s="3636"/>
      <c r="T28" s="3636"/>
      <c r="U28" s="3636"/>
      <c r="V28" s="3638"/>
      <c r="AC28" s="1503"/>
      <c r="AD28" s="2376" t="s">
        <v>6617</v>
      </c>
      <c r="AE28" s="1469"/>
    </row>
    <row r="29" spans="1:31" x14ac:dyDescent="0.35">
      <c r="C29" s="1345" t="s">
        <v>947</v>
      </c>
      <c r="D29" s="722"/>
      <c r="E29" s="413"/>
      <c r="F29" s="413"/>
      <c r="G29" s="413"/>
      <c r="H29" s="413"/>
    </row>
    <row r="30" spans="1:31" ht="13.15" x14ac:dyDescent="0.4">
      <c r="A30" s="1342" t="s">
        <v>4845</v>
      </c>
      <c r="B30" s="676" t="s">
        <v>4210</v>
      </c>
      <c r="C30" s="1113" t="s">
        <v>4004</v>
      </c>
      <c r="D30" s="1249"/>
      <c r="E30" s="586">
        <v>1</v>
      </c>
      <c r="F30" s="586">
        <v>2</v>
      </c>
      <c r="G30" s="586">
        <v>3</v>
      </c>
      <c r="H30" s="586">
        <v>4</v>
      </c>
      <c r="I30" s="586">
        <v>5</v>
      </c>
      <c r="J30" s="586">
        <v>6</v>
      </c>
      <c r="K30" s="586">
        <v>7</v>
      </c>
      <c r="L30" s="586">
        <v>8</v>
      </c>
      <c r="M30" s="586">
        <v>9</v>
      </c>
      <c r="AC30" s="1503"/>
      <c r="AD30" s="2394" t="s">
        <v>6613</v>
      </c>
    </row>
    <row r="31" spans="1:31" ht="12.75" x14ac:dyDescent="0.35">
      <c r="A31" s="1342">
        <v>2</v>
      </c>
      <c r="B31" s="679" t="str">
        <f>IF(INC_C_IND&gt;1,IF(HLOOKUP(INC_C_IND-1,INC_C_RANGE,A31)="","",HLOOKUP(INC_C_IND-1,INC_C_RANGE,A31)),"")</f>
        <v/>
      </c>
      <c r="C31" s="1113" t="s">
        <v>3083</v>
      </c>
      <c r="D31" s="1250" t="s">
        <v>4858</v>
      </c>
      <c r="E31" s="2016">
        <v>1500</v>
      </c>
      <c r="F31" s="2016">
        <v>7000</v>
      </c>
      <c r="G31" s="2016">
        <v>833</v>
      </c>
      <c r="H31" s="2016">
        <v>6020</v>
      </c>
      <c r="I31" s="2016"/>
      <c r="J31" s="3642">
        <v>376.18</v>
      </c>
      <c r="K31" s="2016"/>
      <c r="L31" s="2016"/>
      <c r="M31" s="2016"/>
      <c r="AC31" s="1503"/>
      <c r="AD31" s="2376" t="s">
        <v>6617</v>
      </c>
      <c r="AE31" s="1469"/>
    </row>
    <row r="32" spans="1:31" ht="12.75" x14ac:dyDescent="0.35">
      <c r="A32" s="1342">
        <v>3</v>
      </c>
      <c r="B32" s="679" t="str">
        <f>IF(INC_C_IND&gt;1,IF(HLOOKUP(INC_C_IND-1,INC_C_RANGE,A32)="","",HLOOKUP(INC_C_IND-1,INC_C_RANGE,A32)),"")</f>
        <v/>
      </c>
      <c r="C32" s="1113" t="s">
        <v>3082</v>
      </c>
      <c r="D32" s="1250" t="s">
        <v>4859</v>
      </c>
      <c r="E32" s="2016"/>
      <c r="F32" s="2016"/>
      <c r="G32" s="2016">
        <v>113</v>
      </c>
      <c r="H32" s="2016">
        <v>1000</v>
      </c>
      <c r="I32" s="2016"/>
      <c r="J32" s="3628"/>
      <c r="K32" s="2016"/>
      <c r="L32" s="2016"/>
      <c r="M32" s="2016"/>
      <c r="AC32" s="1503"/>
      <c r="AD32" s="2376" t="s">
        <v>6617</v>
      </c>
      <c r="AE32" s="1469"/>
    </row>
    <row r="33" spans="1:31" ht="12.75" x14ac:dyDescent="0.35">
      <c r="A33" s="1342">
        <v>4</v>
      </c>
      <c r="B33" s="679" t="str">
        <f>IF(INC_C_IND&gt;1,IF(HLOOKUP(INC_C_IND-1,INC_C_RANGE,A33)="","",HLOOKUP(INC_C_IND-1,INC_C_RANGE,A33)),"")</f>
        <v/>
      </c>
      <c r="C33" s="1113" t="s">
        <v>3081</v>
      </c>
      <c r="D33" s="1250" t="s">
        <v>4860</v>
      </c>
      <c r="E33" s="2009">
        <f t="shared" ref="E33:M33" si="8">IF(E31="","",TRUNC((E31-E32)*BR_rate,2))</f>
        <v>300</v>
      </c>
      <c r="F33" s="2009">
        <f t="shared" si="8"/>
        <v>1400</v>
      </c>
      <c r="G33" s="2009">
        <f t="shared" si="8"/>
        <v>144</v>
      </c>
      <c r="H33" s="2009">
        <f t="shared" si="8"/>
        <v>1004</v>
      </c>
      <c r="I33" s="2009" t="str">
        <f t="shared" si="8"/>
        <v/>
      </c>
      <c r="J33" s="3643">
        <f t="shared" ref="J33" si="9">IF(J31="","",TRUNC((J31-J32)*BR_rate,2))</f>
        <v>75.23</v>
      </c>
      <c r="K33" s="2009" t="str">
        <f t="shared" si="8"/>
        <v/>
      </c>
      <c r="L33" s="2009" t="str">
        <f t="shared" si="8"/>
        <v/>
      </c>
      <c r="M33" s="2009" t="str">
        <f t="shared" si="8"/>
        <v/>
      </c>
      <c r="AC33" s="1503"/>
      <c r="AD33" s="2376" t="s">
        <v>6617</v>
      </c>
      <c r="AE33" s="1469" t="s">
        <v>5531</v>
      </c>
    </row>
    <row r="34" spans="1:31" ht="12.75" x14ac:dyDescent="0.35">
      <c r="A34" s="1342">
        <v>5</v>
      </c>
      <c r="B34" s="679" t="str">
        <f>IF(INC_C_IND&gt;1,IF(HLOOKUP(INC_C_IND-1,INC_C_RANGE,A34)="","",HLOOKUP(INC_C_IND-1,INC_C_RANGE,A34)),"")</f>
        <v/>
      </c>
      <c r="C34" s="1113" t="s">
        <v>957</v>
      </c>
      <c r="D34" s="1250" t="s">
        <v>3941</v>
      </c>
      <c r="E34" s="2016"/>
      <c r="F34" s="2016"/>
      <c r="G34" s="2016"/>
      <c r="H34" s="2016"/>
      <c r="I34" s="2016">
        <v>1265</v>
      </c>
      <c r="J34" s="2016"/>
      <c r="K34" s="2016"/>
      <c r="L34" s="2016"/>
      <c r="M34" s="2016"/>
      <c r="AC34" s="1503"/>
      <c r="AD34" s="2376" t="s">
        <v>6617</v>
      </c>
      <c r="AE34" s="1469"/>
    </row>
    <row r="35" spans="1:31" ht="23.25" x14ac:dyDescent="0.35">
      <c r="A35" s="1342">
        <v>6</v>
      </c>
      <c r="B35" s="679" t="str">
        <f>IF(INC_C_IND&gt;1,IF(HLOOKUP(INC_C_IND-1,INC_C_RANGE,A35)="","",HLOOKUP(INC_C_IND-1,INC_C_RANGE,A35)),"")</f>
        <v/>
      </c>
      <c r="C35" s="723" t="s">
        <v>4648</v>
      </c>
      <c r="D35" s="1252" t="s">
        <v>4861</v>
      </c>
      <c r="E35" s="735" t="s">
        <v>4115</v>
      </c>
      <c r="F35" s="735" t="s">
        <v>615</v>
      </c>
      <c r="G35" s="735" t="s">
        <v>614</v>
      </c>
      <c r="H35" s="735" t="s">
        <v>613</v>
      </c>
      <c r="I35" s="735" t="s">
        <v>612</v>
      </c>
      <c r="J35" s="735" t="s">
        <v>3291</v>
      </c>
      <c r="K35" s="735"/>
      <c r="L35" s="735"/>
      <c r="M35" s="735"/>
      <c r="AC35" s="1503"/>
      <c r="AD35" s="2376" t="s">
        <v>6621</v>
      </c>
      <c r="AE35" s="1469"/>
    </row>
    <row r="36" spans="1:31" x14ac:dyDescent="0.35">
      <c r="C36" s="1345" t="s">
        <v>1724</v>
      </c>
      <c r="D36" s="722"/>
      <c r="E36" s="413"/>
      <c r="F36" s="413"/>
      <c r="G36" s="413"/>
      <c r="H36" s="413"/>
      <c r="I36" s="413"/>
      <c r="J36" s="413"/>
    </row>
    <row r="37" spans="1:31" ht="13.15" x14ac:dyDescent="0.4">
      <c r="A37" s="1342" t="s">
        <v>4845</v>
      </c>
      <c r="B37" s="676" t="s">
        <v>4210</v>
      </c>
      <c r="C37" s="1114" t="s">
        <v>4003</v>
      </c>
      <c r="D37" s="1251"/>
      <c r="E37" s="586">
        <v>1</v>
      </c>
      <c r="F37" s="586">
        <v>2</v>
      </c>
      <c r="G37" s="586">
        <v>3</v>
      </c>
      <c r="H37" s="586">
        <v>4</v>
      </c>
      <c r="I37" s="586">
        <v>5</v>
      </c>
      <c r="J37" s="586">
        <v>6</v>
      </c>
      <c r="K37" s="586">
        <v>7</v>
      </c>
      <c r="L37" s="586">
        <v>8</v>
      </c>
      <c r="M37" s="586">
        <v>9</v>
      </c>
      <c r="AC37" s="1503"/>
      <c r="AD37" s="2394" t="s">
        <v>6613</v>
      </c>
    </row>
    <row r="38" spans="1:31" ht="23.25" x14ac:dyDescent="0.35">
      <c r="A38" s="1342">
        <v>2</v>
      </c>
      <c r="B38" s="678" t="str">
        <f>IF(REL_A_IND&gt;1,IF(HLOOKUP(REL_A_IND-1,REL_A_RANGE,A38)="","",HLOOKUP(REL_A_IND-1,REL_A_RANGE,A38)),"")</f>
        <v/>
      </c>
      <c r="C38" s="1113" t="s">
        <v>2236</v>
      </c>
      <c r="D38" s="1252" t="s">
        <v>4874</v>
      </c>
      <c r="E38" s="1988"/>
      <c r="F38" s="1988">
        <v>1800</v>
      </c>
      <c r="G38" s="1988">
        <v>1275</v>
      </c>
      <c r="H38" s="1988">
        <v>3205</v>
      </c>
      <c r="I38" s="1988"/>
      <c r="J38" s="1988">
        <v>14418</v>
      </c>
      <c r="K38" s="1988"/>
      <c r="L38" s="3574">
        <f>ABS(BR_band-SBR_band)</f>
        <v>2000</v>
      </c>
      <c r="M38" s="3640">
        <v>3600</v>
      </c>
      <c r="AC38" s="1503"/>
      <c r="AD38" s="2376" t="s">
        <v>6617</v>
      </c>
      <c r="AE38" s="1469"/>
    </row>
    <row r="39" spans="1:31" ht="23.25" x14ac:dyDescent="0.35">
      <c r="A39" s="1342">
        <v>3</v>
      </c>
      <c r="B39" s="678" t="str">
        <f>IF(REL_A_IND&gt;1,IF(HLOOKUP(REL_A_IND-1,REL_A_RANGE,A39)="","",HLOOKUP(REL_A_IND-1,REL_A_RANGE,A39)),"")</f>
        <v/>
      </c>
      <c r="C39" s="1113" t="s">
        <v>2237</v>
      </c>
      <c r="D39" s="1252" t="s">
        <v>4875</v>
      </c>
      <c r="E39" s="1988">
        <v>1200</v>
      </c>
      <c r="F39" s="1988"/>
      <c r="G39" s="1988"/>
      <c r="H39" s="1988">
        <v>681</v>
      </c>
      <c r="I39" s="1988">
        <v>1440</v>
      </c>
      <c r="J39" s="1988"/>
      <c r="K39" s="1988">
        <v>10010</v>
      </c>
      <c r="L39" s="2008"/>
      <c r="M39" s="2008"/>
      <c r="AC39" s="1503"/>
      <c r="AD39" s="2376" t="s">
        <v>6617</v>
      </c>
      <c r="AE39" s="1469"/>
    </row>
    <row r="40" spans="1:31" ht="23.25" x14ac:dyDescent="0.35">
      <c r="A40" s="1342">
        <v>4</v>
      </c>
      <c r="B40" s="678" t="str">
        <f>IF(REL_A_IND&gt;1,IF(HLOOKUP(REL_A_IND-1,REL_A_RANGE,A40)="","",HLOOKUP(REL_A_IND-1,REL_A_RANGE,A40)),"")</f>
        <v/>
      </c>
      <c r="C40" s="1113" t="s">
        <v>2238</v>
      </c>
      <c r="D40" s="1252" t="s">
        <v>4876</v>
      </c>
      <c r="E40" s="1988"/>
      <c r="F40" s="1988"/>
      <c r="G40" s="1988"/>
      <c r="H40" s="1988"/>
      <c r="I40" s="1988">
        <v>429</v>
      </c>
      <c r="J40" s="1988"/>
      <c r="K40" s="1988"/>
      <c r="L40" s="2008"/>
      <c r="M40" s="2008"/>
      <c r="AC40" s="1503"/>
      <c r="AD40" s="2376" t="s">
        <v>6617</v>
      </c>
      <c r="AE40" s="1469"/>
    </row>
    <row r="41" spans="1:31" ht="23.25" x14ac:dyDescent="0.35">
      <c r="A41" s="1342">
        <v>5</v>
      </c>
      <c r="B41" s="678" t="str">
        <f>IF(REL_A_IND&gt;1,IF(HLOOKUP(REL_A_IND-1,REL_A_RANGE,A41)="","",HLOOKUP(REL_A_IND-1,REL_A_RANGE,A41)),"")</f>
        <v/>
      </c>
      <c r="C41" s="1113" t="s">
        <v>2239</v>
      </c>
      <c r="D41" s="1252" t="s">
        <v>4877</v>
      </c>
      <c r="E41" s="1988"/>
      <c r="F41" s="1988"/>
      <c r="G41" s="1988">
        <v>161</v>
      </c>
      <c r="H41" s="1988"/>
      <c r="I41" s="1988"/>
      <c r="J41" s="1988"/>
      <c r="K41" s="1988"/>
      <c r="L41" s="2008"/>
      <c r="M41" s="2008"/>
      <c r="AC41" s="1503"/>
      <c r="AD41" s="2376" t="s">
        <v>6617</v>
      </c>
      <c r="AE41" s="1469"/>
    </row>
    <row r="42" spans="1:31" x14ac:dyDescent="0.35">
      <c r="C42" s="1448" t="s">
        <v>1116</v>
      </c>
      <c r="D42" s="724"/>
      <c r="E42" s="413"/>
    </row>
    <row r="43" spans="1:31" ht="13.15" x14ac:dyDescent="0.4">
      <c r="A43" s="1342" t="s">
        <v>4845</v>
      </c>
      <c r="B43" s="676" t="s">
        <v>4210</v>
      </c>
      <c r="C43" s="1114" t="s">
        <v>4002</v>
      </c>
      <c r="D43" s="1251"/>
      <c r="E43" s="587">
        <v>1</v>
      </c>
      <c r="F43" s="587">
        <v>2</v>
      </c>
      <c r="G43" s="587">
        <v>3</v>
      </c>
      <c r="H43" s="587">
        <v>4</v>
      </c>
      <c r="I43" s="586">
        <v>5</v>
      </c>
      <c r="J43" s="586">
        <v>6</v>
      </c>
      <c r="K43" s="586">
        <v>7</v>
      </c>
      <c r="L43" s="586">
        <v>8</v>
      </c>
      <c r="M43" s="586">
        <v>9</v>
      </c>
      <c r="AC43" s="1503"/>
      <c r="AD43" s="2394" t="s">
        <v>6613</v>
      </c>
    </row>
    <row r="44" spans="1:31" ht="12.75" x14ac:dyDescent="0.35">
      <c r="A44" s="1342">
        <v>2</v>
      </c>
      <c r="B44" s="679">
        <f t="shared" ref="B44:B51" si="10">IF(REL_B_IND&gt;1,IF(HLOOKUP(REL_B_IND-1,REL_B_RANGE,A44)="","",HLOOKUP(REL_B_IND-1,REL_B_RANGE,A44)),"")</f>
        <v>3450</v>
      </c>
      <c r="C44" s="1113" t="s">
        <v>2240</v>
      </c>
      <c r="D44" s="1250" t="s">
        <v>4862</v>
      </c>
      <c r="E44" s="2021">
        <v>2400</v>
      </c>
      <c r="F44" s="2021">
        <v>3450</v>
      </c>
      <c r="G44" s="2021">
        <v>950</v>
      </c>
      <c r="H44" s="2021">
        <v>240</v>
      </c>
      <c r="I44" s="2021"/>
      <c r="J44" s="2021">
        <v>1000</v>
      </c>
      <c r="K44" s="2021">
        <v>11000</v>
      </c>
      <c r="L44" s="2021">
        <v>250000</v>
      </c>
      <c r="M44" s="2021"/>
      <c r="AC44" s="1503"/>
      <c r="AD44" s="2376" t="s">
        <v>6617</v>
      </c>
      <c r="AE44" s="1469"/>
    </row>
    <row r="45" spans="1:31" ht="12.75" x14ac:dyDescent="0.35">
      <c r="A45" s="1342">
        <v>3</v>
      </c>
      <c r="B45" s="677">
        <f t="shared" si="10"/>
        <v>3000</v>
      </c>
      <c r="C45" s="723" t="s">
        <v>1707</v>
      </c>
      <c r="D45" s="1250" t="s">
        <v>4863</v>
      </c>
      <c r="E45" s="1262"/>
      <c r="F45" s="1262">
        <v>3000</v>
      </c>
      <c r="G45" s="1262"/>
      <c r="H45" s="1262"/>
      <c r="I45" s="1262"/>
      <c r="J45" s="1262"/>
      <c r="K45" s="1262"/>
      <c r="L45" s="1262"/>
      <c r="M45" s="1262"/>
      <c r="AC45" s="1503"/>
      <c r="AD45" s="2376" t="s">
        <v>6617</v>
      </c>
      <c r="AE45" s="1469" t="s">
        <v>5532</v>
      </c>
    </row>
    <row r="46" spans="1:31" ht="12.75" x14ac:dyDescent="0.35">
      <c r="A46" s="1342">
        <v>4</v>
      </c>
      <c r="B46" s="677" t="str">
        <f t="shared" si="10"/>
        <v/>
      </c>
      <c r="C46" s="1113" t="s">
        <v>1708</v>
      </c>
      <c r="D46" s="1250" t="s">
        <v>4864</v>
      </c>
      <c r="E46" s="2021"/>
      <c r="F46" s="2021"/>
      <c r="G46" s="2021">
        <v>300</v>
      </c>
      <c r="H46" s="2021"/>
      <c r="I46" s="2021"/>
      <c r="J46" s="2021">
        <v>100</v>
      </c>
      <c r="K46" s="2021"/>
      <c r="L46" s="2021"/>
      <c r="M46" s="2021"/>
      <c r="N46" s="206" t="s">
        <v>15</v>
      </c>
      <c r="AC46" s="1503"/>
      <c r="AD46" s="2376" t="s">
        <v>6617</v>
      </c>
      <c r="AE46" s="1469" t="s">
        <v>5532</v>
      </c>
    </row>
    <row r="47" spans="1:31" ht="12.75" x14ac:dyDescent="0.35">
      <c r="A47" s="1342">
        <v>5</v>
      </c>
      <c r="B47" s="677" t="str">
        <f t="shared" si="10"/>
        <v/>
      </c>
      <c r="C47" s="1113" t="s">
        <v>1709</v>
      </c>
      <c r="D47" s="1250" t="s">
        <v>4865</v>
      </c>
      <c r="E47" s="2021"/>
      <c r="F47" s="2021"/>
      <c r="G47" s="2021"/>
      <c r="H47" s="2022"/>
      <c r="I47" s="2021"/>
      <c r="J47" s="2023">
        <v>200</v>
      </c>
      <c r="K47" s="2021"/>
      <c r="L47" s="2021"/>
      <c r="M47" s="2021"/>
      <c r="AC47" s="1503"/>
      <c r="AD47" s="2376" t="s">
        <v>6617</v>
      </c>
      <c r="AE47" s="1469"/>
    </row>
    <row r="48" spans="1:31" ht="12.75" x14ac:dyDescent="0.35">
      <c r="A48" s="1342">
        <v>6</v>
      </c>
      <c r="B48" s="677" t="str">
        <f t="shared" si="10"/>
        <v/>
      </c>
      <c r="C48" s="1113" t="s">
        <v>1710</v>
      </c>
      <c r="D48" s="1250" t="s">
        <v>4866</v>
      </c>
      <c r="E48" s="2021"/>
      <c r="F48" s="2021"/>
      <c r="G48" s="2021"/>
      <c r="H48" s="2021">
        <v>2145</v>
      </c>
      <c r="I48" s="2021"/>
      <c r="J48" s="2021"/>
      <c r="K48" s="2024"/>
      <c r="L48" s="2024"/>
      <c r="M48" s="2024"/>
      <c r="AC48" s="1503"/>
      <c r="AD48" s="2376" t="s">
        <v>6617</v>
      </c>
      <c r="AE48" s="1469"/>
    </row>
    <row r="49" spans="1:31" ht="12.75" x14ac:dyDescent="0.35">
      <c r="A49" s="1342">
        <v>7</v>
      </c>
      <c r="B49" s="677" t="str">
        <f t="shared" si="10"/>
        <v/>
      </c>
      <c r="C49" s="1113" t="s">
        <v>1711</v>
      </c>
      <c r="D49" s="1250" t="s">
        <v>4867</v>
      </c>
      <c r="E49" s="2021"/>
      <c r="F49" s="2021"/>
      <c r="G49" s="2021"/>
      <c r="H49" s="2021"/>
      <c r="I49" s="2021">
        <v>29980</v>
      </c>
      <c r="J49" s="2021"/>
      <c r="K49" s="2024"/>
      <c r="L49" s="2024"/>
      <c r="M49" s="2024"/>
      <c r="AC49" s="1503"/>
      <c r="AD49" s="2376" t="s">
        <v>6617</v>
      </c>
      <c r="AE49" s="1469"/>
    </row>
    <row r="50" spans="1:31" ht="12.75" x14ac:dyDescent="0.35">
      <c r="A50" s="1342">
        <v>8</v>
      </c>
      <c r="B50" s="677" t="str">
        <f t="shared" si="10"/>
        <v/>
      </c>
      <c r="C50" s="723" t="s">
        <v>1712</v>
      </c>
      <c r="D50" s="1250" t="s">
        <v>4868</v>
      </c>
      <c r="E50" s="1262"/>
      <c r="F50" s="1262"/>
      <c r="G50" s="1262"/>
      <c r="H50" s="1262"/>
      <c r="I50" s="1262"/>
      <c r="J50" s="1262"/>
      <c r="K50" s="1263"/>
      <c r="L50" s="1263"/>
      <c r="M50" s="1263"/>
      <c r="AC50" s="1503"/>
      <c r="AD50" s="2376" t="s">
        <v>6659</v>
      </c>
      <c r="AE50" s="1469" t="s">
        <v>5533</v>
      </c>
    </row>
    <row r="51" spans="1:31" ht="12.75" x14ac:dyDescent="0.35">
      <c r="A51" s="1342">
        <v>9</v>
      </c>
      <c r="B51" s="677" t="str">
        <f t="shared" si="10"/>
        <v/>
      </c>
      <c r="C51" s="723" t="s">
        <v>1713</v>
      </c>
      <c r="D51" s="1250" t="s">
        <v>4869</v>
      </c>
      <c r="E51" s="1262"/>
      <c r="F51" s="1262"/>
      <c r="G51" s="1262"/>
      <c r="H51" s="1262"/>
      <c r="I51" s="1262"/>
      <c r="J51" s="1262"/>
      <c r="K51" s="1263"/>
      <c r="L51" s="1263"/>
      <c r="M51" s="1263"/>
      <c r="AC51" s="1503"/>
      <c r="AD51" s="2376" t="s">
        <v>6659</v>
      </c>
      <c r="AE51" s="1469" t="s">
        <v>5534</v>
      </c>
    </row>
    <row r="52" spans="1:31" x14ac:dyDescent="0.35">
      <c r="C52" s="1448" t="s">
        <v>1725</v>
      </c>
      <c r="D52" s="724"/>
      <c r="E52" s="413"/>
      <c r="F52" s="413"/>
    </row>
    <row r="53" spans="1:31" ht="13.15" x14ac:dyDescent="0.4">
      <c r="A53" s="1342" t="s">
        <v>4845</v>
      </c>
      <c r="B53" s="676" t="s">
        <v>4210</v>
      </c>
      <c r="C53" s="1114" t="s">
        <v>4183</v>
      </c>
      <c r="D53" s="1251"/>
      <c r="E53" s="587">
        <v>1</v>
      </c>
      <c r="F53" s="587">
        <v>2</v>
      </c>
      <c r="G53" s="587">
        <v>3</v>
      </c>
      <c r="H53" s="587">
        <v>4</v>
      </c>
      <c r="I53" s="586">
        <v>5</v>
      </c>
      <c r="J53" s="586">
        <v>6</v>
      </c>
      <c r="AC53" s="1503"/>
      <c r="AD53" s="2394" t="s">
        <v>6613</v>
      </c>
    </row>
    <row r="54" spans="1:31" ht="12.75" x14ac:dyDescent="0.35">
      <c r="A54" s="1342">
        <v>2</v>
      </c>
      <c r="B54" s="678" t="str">
        <f>IF(REL_C_IND&gt;1,IF(HLOOKUP(REL_C_IND-1,REL_C_RANGE,A54)="","",HLOOKUP(REL_C_IND-1,REL_C_RANGE,A54)),"")</f>
        <v/>
      </c>
      <c r="C54" s="1113" t="s">
        <v>1070</v>
      </c>
      <c r="D54" s="1250" t="s">
        <v>4870</v>
      </c>
      <c r="E54" s="1989" t="s">
        <v>583</v>
      </c>
      <c r="F54" s="1989" t="s">
        <v>583</v>
      </c>
      <c r="G54" s="1989"/>
      <c r="H54" s="1989"/>
      <c r="I54" s="1989"/>
      <c r="J54" s="1989"/>
      <c r="AC54" s="1503"/>
      <c r="AD54" s="2376" t="s">
        <v>6620</v>
      </c>
      <c r="AE54" s="1469"/>
    </row>
    <row r="55" spans="1:31" ht="12.75" x14ac:dyDescent="0.35">
      <c r="A55" s="1342">
        <v>3</v>
      </c>
      <c r="B55" s="678" t="str">
        <f>IF(REL_C_IND&gt;1,IF(HLOOKUP(REL_C_IND-1,REL_C_RANGE,A55)="","",HLOOKUP(REL_C_IND-1,REL_C_RANGE,A55)),"")</f>
        <v/>
      </c>
      <c r="C55" s="723" t="s">
        <v>1071</v>
      </c>
      <c r="D55" s="1250" t="s">
        <v>4871</v>
      </c>
      <c r="E55" s="731" t="s">
        <v>1069</v>
      </c>
      <c r="F55" s="732" t="s">
        <v>54</v>
      </c>
      <c r="G55" s="731"/>
      <c r="H55" s="731"/>
      <c r="I55" s="731"/>
      <c r="J55" s="731"/>
      <c r="AC55" s="1503"/>
      <c r="AD55" s="2376" t="s">
        <v>6621</v>
      </c>
      <c r="AE55" s="1469"/>
    </row>
    <row r="56" spans="1:31" ht="12.75" x14ac:dyDescent="0.35">
      <c r="A56" s="1342">
        <v>4</v>
      </c>
      <c r="B56" s="678" t="str">
        <f>IF(REL_C_IND&gt;1,IF(HLOOKUP(REL_C_IND-1,REL_C_RANGE,A56)="","",HLOOKUP(REL_C_IND-1,REL_C_RANGE,A56)),"")</f>
        <v/>
      </c>
      <c r="C56" s="723" t="s">
        <v>3258</v>
      </c>
      <c r="D56" s="1250" t="s">
        <v>4873</v>
      </c>
      <c r="E56" s="732" t="s">
        <v>1237</v>
      </c>
      <c r="F56" s="732" t="s">
        <v>583</v>
      </c>
      <c r="G56" s="731"/>
      <c r="H56" s="731"/>
      <c r="I56" s="731"/>
      <c r="J56" s="731"/>
      <c r="AC56" s="1503"/>
      <c r="AD56" s="2376" t="s">
        <v>6620</v>
      </c>
      <c r="AE56" s="1469"/>
    </row>
    <row r="57" spans="1:31" ht="12.75" x14ac:dyDescent="0.35">
      <c r="A57" s="1342">
        <v>5</v>
      </c>
      <c r="B57" s="678" t="str">
        <f>IF(REL_C_IND&gt;1,IF(HLOOKUP(REL_C_IND-1,REL_C_RANGE,A57)="","",HLOOKUP(REL_C_IND-1,REL_C_RANGE,A57)),"")</f>
        <v/>
      </c>
      <c r="C57" s="723" t="s">
        <v>3259</v>
      </c>
      <c r="D57" s="1250" t="s">
        <v>4872</v>
      </c>
      <c r="E57" s="732" t="s">
        <v>1237</v>
      </c>
      <c r="F57" s="732" t="s">
        <v>1237</v>
      </c>
      <c r="G57" s="731"/>
      <c r="H57" s="733"/>
      <c r="I57" s="731"/>
      <c r="J57" s="734"/>
      <c r="AC57" s="1503"/>
      <c r="AD57" s="2376" t="s">
        <v>6620</v>
      </c>
      <c r="AE57" s="1471"/>
    </row>
    <row r="58" spans="1:31" ht="12" thickBot="1" x14ac:dyDescent="0.4">
      <c r="C58" s="1345" t="s">
        <v>1835</v>
      </c>
      <c r="D58" s="722"/>
      <c r="E58" s="1592" t="s">
        <v>5564</v>
      </c>
      <c r="F58" s="413"/>
      <c r="G58" s="729"/>
    </row>
    <row r="59" spans="1:31" ht="13.15" x14ac:dyDescent="0.4">
      <c r="A59" s="1342" t="s">
        <v>4845</v>
      </c>
      <c r="B59" s="676" t="s">
        <v>4210</v>
      </c>
      <c r="C59" s="1534" t="s">
        <v>3031</v>
      </c>
      <c r="D59" s="1535"/>
      <c r="E59" s="1348">
        <v>1</v>
      </c>
      <c r="F59" s="1348">
        <v>2</v>
      </c>
      <c r="G59" s="1348">
        <v>3</v>
      </c>
      <c r="H59" s="1348">
        <v>4</v>
      </c>
      <c r="I59" s="1348">
        <v>5</v>
      </c>
      <c r="J59" s="1348">
        <v>6</v>
      </c>
      <c r="K59" s="1348">
        <v>7</v>
      </c>
      <c r="L59" s="1348">
        <v>8</v>
      </c>
      <c r="M59" s="1348">
        <v>9</v>
      </c>
      <c r="N59" s="1348">
        <v>10</v>
      </c>
      <c r="O59" s="1348">
        <v>11</v>
      </c>
      <c r="P59" s="1348">
        <v>12</v>
      </c>
      <c r="Q59" s="1349">
        <v>13</v>
      </c>
      <c r="AC59" s="1503"/>
      <c r="AD59" s="2394" t="s">
        <v>6613</v>
      </c>
    </row>
    <row r="60" spans="1:31" ht="12.75" x14ac:dyDescent="0.35">
      <c r="A60" s="1342">
        <v>2</v>
      </c>
      <c r="B60" s="1574" t="str">
        <f>IF(SLR_ind&gt;1,IF(HLOOKUP(SLR_ind-1,SLR_RANGE,A60)="","",HLOOKUP(SLR_ind-1,SLR_RANGE,A60)),"")</f>
        <v/>
      </c>
      <c r="C60" s="2011" t="s">
        <v>581</v>
      </c>
      <c r="D60" s="1553" t="s">
        <v>4923</v>
      </c>
      <c r="E60" s="1989" t="s">
        <v>583</v>
      </c>
      <c r="F60" s="1989" t="s">
        <v>583</v>
      </c>
      <c r="G60" s="1989" t="s">
        <v>583</v>
      </c>
      <c r="H60" s="1989" t="s">
        <v>583</v>
      </c>
      <c r="I60" s="1989" t="s">
        <v>583</v>
      </c>
      <c r="J60" s="1989" t="s">
        <v>583</v>
      </c>
      <c r="K60" s="1989" t="s">
        <v>583</v>
      </c>
      <c r="L60" s="1989" t="s">
        <v>583</v>
      </c>
      <c r="M60" s="1989" t="s">
        <v>583</v>
      </c>
      <c r="N60" s="1989" t="s">
        <v>583</v>
      </c>
      <c r="O60" s="1989" t="s">
        <v>583</v>
      </c>
      <c r="P60" s="1989" t="s">
        <v>583</v>
      </c>
      <c r="Q60" s="1631" t="s">
        <v>583</v>
      </c>
      <c r="AC60" s="1503"/>
      <c r="AD60" s="2376" t="s">
        <v>6620</v>
      </c>
      <c r="AE60" s="1469"/>
    </row>
    <row r="61" spans="1:31" ht="12.75" x14ac:dyDescent="0.35">
      <c r="A61" s="1342">
        <v>3</v>
      </c>
      <c r="B61" s="2277" t="str">
        <f>IF(SLR_ind&gt;1,IF(HLOOKUP(SLR_ind-1,SLR_RANGE,A61)="","",HLOOKUP(SLR_ind-1,SLR_RANGE,A61)),"")</f>
        <v/>
      </c>
      <c r="C61" s="2011" t="s">
        <v>6661</v>
      </c>
      <c r="D61" s="1553" t="s">
        <v>5605</v>
      </c>
      <c r="E61" s="2688" t="s">
        <v>5558</v>
      </c>
      <c r="F61" s="2688" t="s">
        <v>5558</v>
      </c>
      <c r="G61" s="2688" t="s">
        <v>5558</v>
      </c>
      <c r="H61" s="2688" t="s">
        <v>5558</v>
      </c>
      <c r="I61" s="2688" t="s">
        <v>5558</v>
      </c>
      <c r="J61" s="2688" t="s">
        <v>5558</v>
      </c>
      <c r="K61" s="2689" t="s">
        <v>5559</v>
      </c>
      <c r="L61" s="2689" t="s">
        <v>5559</v>
      </c>
      <c r="M61" s="2689" t="s">
        <v>5559</v>
      </c>
      <c r="N61" s="2689" t="s">
        <v>5559</v>
      </c>
      <c r="O61" s="2689" t="s">
        <v>5559</v>
      </c>
      <c r="P61" s="2688" t="s">
        <v>5558</v>
      </c>
      <c r="Q61" s="2689" t="s">
        <v>5559</v>
      </c>
      <c r="AC61" s="1503"/>
      <c r="AD61" s="2690" t="s">
        <v>6614</v>
      </c>
      <c r="AE61" s="1469"/>
    </row>
    <row r="62" spans="1:31" ht="12.75" x14ac:dyDescent="0.35">
      <c r="A62" s="1342">
        <v>4</v>
      </c>
      <c r="B62" s="1552" t="str">
        <f>IF(SLR_ind&gt;1,IF(HLOOKUP(SLR_ind-1,SLR_RANGE,A62)="","",HLOOKUP(SLR_ind-1,SLR_RANGE,A62)),"")</f>
        <v/>
      </c>
      <c r="C62" s="2011" t="s">
        <v>582</v>
      </c>
      <c r="D62" s="1553" t="s">
        <v>4878</v>
      </c>
      <c r="E62" s="2390">
        <f>('C2'!F3-SL_limit1)*Sloan_rate</f>
        <v>1393.11</v>
      </c>
      <c r="F62" s="2390">
        <f>('C2'!G3-SL_limit1)*Sloan_rate</f>
        <v>876.6</v>
      </c>
      <c r="G62" s="2391">
        <v>0</v>
      </c>
      <c r="H62" s="2390">
        <f>('C2'!I3-SL_limit1)*Sloan_rate</f>
        <v>3417.75</v>
      </c>
      <c r="I62" s="2390">
        <f>('C2'!J3-SL_limit1)*Sloan_rate</f>
        <v>65.25</v>
      </c>
      <c r="J62" s="2390">
        <f>('C2'!K3-SL_limit1)*Sloan_rate</f>
        <v>7490.25</v>
      </c>
      <c r="K62" s="2390">
        <f>('C2'!L3-SL_limit2)*Sloan_rate</f>
        <v>1102.8599999999999</v>
      </c>
      <c r="L62" s="2391">
        <v>0</v>
      </c>
      <c r="M62" s="2390">
        <f>('C2'!N3-SL_limit2)*Sloan_rate</f>
        <v>6120</v>
      </c>
      <c r="N62" s="2390">
        <f>('C2'!O3-SL_limit2)*Sloan_rate</f>
        <v>1525.5</v>
      </c>
      <c r="O62" s="2390">
        <f>('C2'!P3-SL_limit2)*Sloan_rate</f>
        <v>40536.629999999997</v>
      </c>
      <c r="P62" s="2392"/>
      <c r="Q62" s="2393"/>
      <c r="AC62" s="1503"/>
      <c r="AD62" s="2376" t="s">
        <v>6654</v>
      </c>
      <c r="AE62" s="1469"/>
    </row>
    <row r="63" spans="1:31" ht="13.15" thickBot="1" x14ac:dyDescent="0.4">
      <c r="A63" s="1342">
        <v>5</v>
      </c>
      <c r="B63" s="1552" t="str">
        <f>IF(SLR_ind&gt;1,IF(HLOOKUP(SLR_ind-1,SLR_RANGE,A63)="","",HLOOKUP(SLR_ind-1,SLR_RANGE,A63)),"")</f>
        <v/>
      </c>
      <c r="C63" s="1351" t="s">
        <v>5535</v>
      </c>
      <c r="D63" s="1537" t="s">
        <v>5536</v>
      </c>
      <c r="E63" s="1555"/>
      <c r="F63" s="1555"/>
      <c r="G63" s="1555"/>
      <c r="H63" s="1555"/>
      <c r="I63" s="1555"/>
      <c r="J63" s="1593" t="s">
        <v>583</v>
      </c>
      <c r="K63" s="1590"/>
      <c r="L63" s="1590"/>
      <c r="M63" s="1590"/>
      <c r="N63" s="1590"/>
      <c r="O63" s="1590"/>
      <c r="P63" s="1590"/>
      <c r="Q63" s="1591"/>
      <c r="AC63" s="1503"/>
      <c r="AD63" s="2376" t="s">
        <v>6620</v>
      </c>
      <c r="AE63" s="1469"/>
    </row>
    <row r="64" spans="1:31" x14ac:dyDescent="0.35">
      <c r="C64" s="1345" t="s">
        <v>3189</v>
      </c>
      <c r="D64" s="722"/>
      <c r="E64" s="413"/>
      <c r="F64" s="413"/>
      <c r="G64" s="729"/>
    </row>
    <row r="65" spans="1:31" ht="13.15" x14ac:dyDescent="0.4">
      <c r="A65" s="1342" t="s">
        <v>4845</v>
      </c>
      <c r="B65" s="676" t="s">
        <v>4210</v>
      </c>
      <c r="C65" s="1113" t="s">
        <v>3234</v>
      </c>
      <c r="D65" s="1249"/>
      <c r="E65" s="586">
        <v>1</v>
      </c>
      <c r="F65" s="586">
        <v>2</v>
      </c>
      <c r="G65" s="586">
        <v>3</v>
      </c>
      <c r="H65" s="586">
        <v>4</v>
      </c>
      <c r="I65" s="586">
        <v>5</v>
      </c>
      <c r="J65" s="586">
        <v>6</v>
      </c>
      <c r="AC65" s="1503"/>
      <c r="AD65" s="2394" t="s">
        <v>6613</v>
      </c>
    </row>
    <row r="66" spans="1:31" ht="12.75" x14ac:dyDescent="0.35">
      <c r="A66" s="1342">
        <v>2</v>
      </c>
      <c r="B66" s="677" t="str">
        <f>IF(CBC_Ind&gt;1,IF(HLOOKUP(CBC_Ind-1,CBC_RANGE,A66)="","",HLOOKUP(CBC_Ind-1,CBC_RANGE,A66)),"")</f>
        <v/>
      </c>
      <c r="C66" s="1113" t="s">
        <v>2399</v>
      </c>
      <c r="D66" s="1250" t="s">
        <v>4879</v>
      </c>
      <c r="E66" s="1988">
        <v>5000</v>
      </c>
      <c r="F66" s="1988">
        <v>1197</v>
      </c>
      <c r="G66" s="1988">
        <v>4539</v>
      </c>
      <c r="H66" s="1988">
        <v>7280</v>
      </c>
      <c r="I66" s="1988"/>
      <c r="J66" s="1988"/>
      <c r="AC66" s="1503"/>
      <c r="AD66" s="2376" t="s">
        <v>6659</v>
      </c>
      <c r="AE66" s="1469"/>
    </row>
    <row r="67" spans="1:31" ht="23.25" x14ac:dyDescent="0.35">
      <c r="A67" s="1342">
        <v>3</v>
      </c>
      <c r="B67" s="677" t="str">
        <f>IF(CBC_Ind&gt;1,IF(HLOOKUP(CBC_Ind-1,CBC_RANGE,A67)="","",HLOOKUP(CBC_Ind-1,CBC_RANGE,A67)),"")</f>
        <v/>
      </c>
      <c r="C67" s="723" t="s">
        <v>575</v>
      </c>
      <c r="D67" s="1250" t="s">
        <v>4880</v>
      </c>
      <c r="E67" s="731">
        <v>3</v>
      </c>
      <c r="F67" s="731">
        <v>1</v>
      </c>
      <c r="G67" s="731">
        <v>3</v>
      </c>
      <c r="H67" s="731">
        <v>6</v>
      </c>
      <c r="I67" s="731"/>
      <c r="J67" s="731"/>
      <c r="AC67" s="1503"/>
      <c r="AD67" s="2376" t="s">
        <v>6662</v>
      </c>
      <c r="AE67" s="1469" t="s">
        <v>5537</v>
      </c>
    </row>
    <row r="68" spans="1:31" ht="34.9" x14ac:dyDescent="0.35">
      <c r="A68" s="1342">
        <v>4</v>
      </c>
      <c r="B68" s="677" t="str">
        <f>IF(CBC_Ind&gt;1,IF(HLOOKUP(CBC_Ind-1,CBC_RANGE,A68)="","",HLOOKUP(CBC_Ind-1,CBC_RANGE,A68)),"")</f>
        <v/>
      </c>
      <c r="C68" s="723" t="s">
        <v>2551</v>
      </c>
      <c r="D68" s="1250" t="s">
        <v>4888</v>
      </c>
      <c r="E68" s="1104" t="str">
        <f>"15/03/"&amp;Tax_year_end</f>
        <v>15/03/2018</v>
      </c>
      <c r="F68" s="731"/>
      <c r="G68" s="731"/>
      <c r="H68" s="731"/>
      <c r="I68" s="731"/>
      <c r="J68" s="731"/>
      <c r="AC68" s="1503"/>
      <c r="AD68" s="2376" t="s">
        <v>6656</v>
      </c>
      <c r="AE68" s="1469" t="s">
        <v>5538</v>
      </c>
    </row>
    <row r="69" spans="1:31" x14ac:dyDescent="0.35">
      <c r="A69" s="1445"/>
      <c r="B69" s="413"/>
      <c r="C69" s="1345" t="s">
        <v>4565</v>
      </c>
      <c r="D69" s="722"/>
      <c r="E69" s="413"/>
      <c r="F69" s="413"/>
      <c r="G69" s="810"/>
      <c r="H69" s="413"/>
      <c r="I69" s="413"/>
      <c r="J69" s="413"/>
    </row>
    <row r="70" spans="1:31" ht="13.15" x14ac:dyDescent="0.4">
      <c r="A70" s="1447" t="s">
        <v>4845</v>
      </c>
      <c r="B70" s="413" t="s">
        <v>4210</v>
      </c>
      <c r="C70" s="1113" t="s">
        <v>4563</v>
      </c>
      <c r="D70" s="1249"/>
      <c r="E70" s="1446">
        <v>1</v>
      </c>
      <c r="F70" s="1446">
        <v>2</v>
      </c>
      <c r="G70" s="1446">
        <v>3</v>
      </c>
      <c r="H70" s="1446">
        <v>4</v>
      </c>
      <c r="I70" s="1446">
        <v>5</v>
      </c>
      <c r="J70" s="1446">
        <v>6</v>
      </c>
      <c r="AC70" s="1503"/>
      <c r="AD70" s="2394" t="s">
        <v>6613</v>
      </c>
    </row>
    <row r="71" spans="1:31" x14ac:dyDescent="0.35">
      <c r="A71" s="1447">
        <v>2</v>
      </c>
      <c r="B71" s="608" t="str">
        <f t="shared" ref="B71:B78" si="11">IF(MAT_Ind&gt;1,IF(HLOOKUP(MAT_Ind-1,MAT_RANGE,A71)="","",HLOOKUP(MAT_Ind-1,MAT_RANGE,A71)),"")</f>
        <v/>
      </c>
      <c r="C71" s="1113" t="s">
        <v>4826</v>
      </c>
      <c r="D71" s="1250" t="s">
        <v>5606</v>
      </c>
      <c r="E71" s="2007" t="s">
        <v>583</v>
      </c>
      <c r="F71" s="2007" t="s">
        <v>583</v>
      </c>
      <c r="G71" s="2007"/>
      <c r="H71" s="2007"/>
      <c r="I71" s="2007"/>
      <c r="J71" s="2007"/>
      <c r="AC71" s="1503"/>
      <c r="AD71" s="1291"/>
      <c r="AE71" s="1469"/>
    </row>
    <row r="72" spans="1:31" ht="12.75" x14ac:dyDescent="0.35">
      <c r="A72" s="1447">
        <v>3</v>
      </c>
      <c r="B72" s="608" t="str">
        <f t="shared" si="11"/>
        <v/>
      </c>
      <c r="C72" s="723" t="s">
        <v>4566</v>
      </c>
      <c r="D72" s="1250" t="s">
        <v>4881</v>
      </c>
      <c r="E72" s="1260" t="s">
        <v>4572</v>
      </c>
      <c r="F72" s="1260" t="s">
        <v>4572</v>
      </c>
      <c r="G72" s="749"/>
      <c r="H72" s="749"/>
      <c r="I72" s="749"/>
      <c r="J72" s="749"/>
      <c r="AC72" s="1503"/>
      <c r="AD72" s="2376" t="s">
        <v>6621</v>
      </c>
      <c r="AE72" s="1469"/>
    </row>
    <row r="73" spans="1:31" ht="12.75" x14ac:dyDescent="0.35">
      <c r="A73" s="1447">
        <v>4</v>
      </c>
      <c r="B73" s="608" t="str">
        <f t="shared" si="11"/>
        <v/>
      </c>
      <c r="C73" s="723" t="s">
        <v>4567</v>
      </c>
      <c r="D73" s="1250" t="s">
        <v>4882</v>
      </c>
      <c r="E73" s="1260" t="s">
        <v>4573</v>
      </c>
      <c r="F73" s="1260" t="s">
        <v>4573</v>
      </c>
      <c r="G73" s="749"/>
      <c r="H73" s="749"/>
      <c r="I73" s="749"/>
      <c r="J73" s="749"/>
      <c r="AC73" s="1503"/>
      <c r="AD73" s="2376" t="s">
        <v>6621</v>
      </c>
      <c r="AE73" s="1469"/>
    </row>
    <row r="74" spans="1:31" ht="12.75" x14ac:dyDescent="0.35">
      <c r="A74" s="1447">
        <v>5</v>
      </c>
      <c r="B74" s="608" t="str">
        <f t="shared" si="11"/>
        <v/>
      </c>
      <c r="C74" s="723" t="s">
        <v>4568</v>
      </c>
      <c r="D74" s="1250" t="s">
        <v>4883</v>
      </c>
      <c r="E74" s="1260" t="s">
        <v>4571</v>
      </c>
      <c r="F74" s="1260" t="s">
        <v>4571</v>
      </c>
      <c r="G74" s="749"/>
      <c r="H74" s="749"/>
      <c r="I74" s="749"/>
      <c r="J74" s="749"/>
      <c r="AC74" s="1503"/>
      <c r="AD74" s="2376" t="s">
        <v>6614</v>
      </c>
      <c r="AE74" s="1469" t="s">
        <v>5540</v>
      </c>
    </row>
    <row r="75" spans="1:31" ht="12.75" x14ac:dyDescent="0.35">
      <c r="A75" s="1447">
        <v>6</v>
      </c>
      <c r="B75" s="608" t="str">
        <f t="shared" si="11"/>
        <v/>
      </c>
      <c r="C75" s="723" t="s">
        <v>4569</v>
      </c>
      <c r="D75" s="1250" t="s">
        <v>4884</v>
      </c>
      <c r="E75" s="1449" t="str">
        <f>"29/03/"&amp;Tax_year_end-50</f>
        <v>29/03/1968</v>
      </c>
      <c r="F75" s="1449" t="str">
        <f>"29/03/"&amp;Tax_year_end-50</f>
        <v>29/03/1968</v>
      </c>
      <c r="G75" s="749"/>
      <c r="H75" s="749"/>
      <c r="I75" s="749"/>
      <c r="J75" s="749"/>
      <c r="AC75" s="1503"/>
      <c r="AD75" s="2376" t="s">
        <v>6656</v>
      </c>
      <c r="AE75" s="1469" t="s">
        <v>5541</v>
      </c>
    </row>
    <row r="76" spans="1:31" ht="34.9" x14ac:dyDescent="0.35">
      <c r="A76" s="1447">
        <v>7</v>
      </c>
      <c r="B76" s="608" t="str">
        <f t="shared" si="11"/>
        <v/>
      </c>
      <c r="C76" s="723" t="s">
        <v>4570</v>
      </c>
      <c r="D76" s="1250" t="s">
        <v>4885</v>
      </c>
      <c r="E76" s="1449" t="str">
        <f>"12/03/"&amp;Tax_year_end-27</f>
        <v>12/03/1991</v>
      </c>
      <c r="F76" s="1449" t="str">
        <f>"12/03/"&amp;Tax_year_end-27</f>
        <v>12/03/1991</v>
      </c>
      <c r="G76" s="749"/>
      <c r="H76" s="749"/>
      <c r="I76" s="749"/>
      <c r="J76" s="749"/>
      <c r="AC76" s="1503"/>
      <c r="AD76" s="2376" t="s">
        <v>6656</v>
      </c>
      <c r="AE76" s="1556" t="s">
        <v>5539</v>
      </c>
    </row>
    <row r="77" spans="1:31" ht="12.75" x14ac:dyDescent="0.35">
      <c r="A77" s="1447">
        <v>8</v>
      </c>
      <c r="B77" s="608" t="str">
        <f t="shared" si="11"/>
        <v/>
      </c>
      <c r="C77" s="1113" t="s">
        <v>4821</v>
      </c>
      <c r="D77" s="1250" t="s">
        <v>4886</v>
      </c>
      <c r="E77" s="2007" t="s">
        <v>583</v>
      </c>
      <c r="F77" s="2007" t="s">
        <v>1237</v>
      </c>
      <c r="G77" s="2007" t="s">
        <v>583</v>
      </c>
      <c r="H77" s="2007" t="s">
        <v>1237</v>
      </c>
      <c r="I77" s="2007"/>
      <c r="J77" s="2007"/>
      <c r="AC77" s="1503"/>
      <c r="AD77" s="2376" t="s">
        <v>6620</v>
      </c>
      <c r="AE77" s="1469"/>
    </row>
    <row r="78" spans="1:31" ht="12.75" x14ac:dyDescent="0.35">
      <c r="A78" s="1447">
        <v>9</v>
      </c>
      <c r="B78" s="608" t="str">
        <f t="shared" si="11"/>
        <v/>
      </c>
      <c r="C78" s="1113" t="s">
        <v>4822</v>
      </c>
      <c r="D78" s="1250" t="s">
        <v>4887</v>
      </c>
      <c r="E78" s="2007" t="s">
        <v>1237</v>
      </c>
      <c r="F78" s="2007" t="s">
        <v>1237</v>
      </c>
      <c r="G78" s="2007" t="s">
        <v>1237</v>
      </c>
      <c r="H78" s="2007" t="s">
        <v>583</v>
      </c>
      <c r="I78" s="2007"/>
      <c r="J78" s="2007"/>
      <c r="AC78" s="1503"/>
      <c r="AD78" s="2376" t="s">
        <v>6620</v>
      </c>
      <c r="AE78" s="1469"/>
    </row>
  </sheetData>
  <phoneticPr fontId="68" type="noConversion"/>
  <dataValidations count="1">
    <dataValidation type="list" allowBlank="1" showInputMessage="1" showErrorMessage="1" sqref="AD4:AD8 AD60:AD63 AD11:AD17 AD20:AD28 AD31:AD35 AD38:AD41 AD44:AD51 AD54:AD57 AD66:AD68 AD72:AD78">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FF99"/>
  </sheetPr>
  <dimension ref="A1:R110"/>
  <sheetViews>
    <sheetView showGridLines="0" workbookViewId="0">
      <pane ySplit="1" topLeftCell="A98" activePane="bottomLeft" state="frozen"/>
      <selection pane="bottomLeft" activeCell="F76" sqref="F76"/>
    </sheetView>
  </sheetViews>
  <sheetFormatPr defaultColWidth="9.1328125" defaultRowHeight="11.65" x14ac:dyDescent="0.35"/>
  <cols>
    <col min="1" max="1" width="3.86328125" style="1341" bestFit="1" customWidth="1"/>
    <col min="2" max="2" width="10.73046875" style="206" customWidth="1"/>
    <col min="3" max="3" width="11.86328125" style="206" customWidth="1"/>
    <col min="4" max="4" width="81.86328125" style="206" customWidth="1"/>
    <col min="5" max="5" width="10.1328125" style="206" bestFit="1" customWidth="1"/>
    <col min="6" max="6" width="10.3984375" style="206" customWidth="1"/>
    <col min="7" max="7" width="10.265625" style="206" customWidth="1"/>
    <col min="8" max="8" width="10.1328125" style="206" bestFit="1" customWidth="1"/>
    <col min="9" max="9" width="9.73046875" style="206" bestFit="1" customWidth="1"/>
    <col min="10" max="10" width="10.59765625" style="206" customWidth="1"/>
    <col min="11" max="11" width="10" style="206" customWidth="1"/>
    <col min="12" max="13" width="11.1328125" style="206" bestFit="1" customWidth="1"/>
    <col min="14" max="14" width="10" style="206" bestFit="1" customWidth="1"/>
    <col min="15" max="15" width="10" style="206" customWidth="1"/>
    <col min="16" max="16" width="10" style="206" bestFit="1" customWidth="1"/>
    <col min="17" max="17" width="2.1328125" style="206" customWidth="1"/>
    <col min="18" max="18" width="47.3984375" style="206" customWidth="1"/>
    <col min="19" max="16384" width="9.1328125" style="206"/>
  </cols>
  <sheetData>
    <row r="1" spans="1:18" ht="13.15" x14ac:dyDescent="0.35">
      <c r="E1" s="586">
        <v>1</v>
      </c>
      <c r="F1" s="586">
        <v>2</v>
      </c>
      <c r="G1" s="586">
        <v>3</v>
      </c>
      <c r="H1" s="586">
        <v>4</v>
      </c>
      <c r="I1" s="586">
        <v>5</v>
      </c>
      <c r="J1" s="586">
        <v>6</v>
      </c>
      <c r="K1" s="586">
        <v>7</v>
      </c>
      <c r="L1" s="586">
        <v>8</v>
      </c>
      <c r="M1" s="586">
        <v>9</v>
      </c>
      <c r="N1" s="586">
        <v>10</v>
      </c>
      <c r="O1" s="3077">
        <v>11</v>
      </c>
      <c r="P1" s="586">
        <v>12</v>
      </c>
      <c r="Q1" s="1503"/>
      <c r="R1" s="1502" t="s">
        <v>5460</v>
      </c>
    </row>
    <row r="2" spans="1:18" ht="12" thickBot="1" x14ac:dyDescent="0.4">
      <c r="C2" s="722" t="s">
        <v>4284</v>
      </c>
      <c r="D2" s="722"/>
    </row>
    <row r="3" spans="1:18" ht="13.15" x14ac:dyDescent="0.35">
      <c r="A3" s="1342" t="s">
        <v>4845</v>
      </c>
      <c r="B3" s="676" t="s">
        <v>4210</v>
      </c>
      <c r="C3" s="1534" t="s">
        <v>4285</v>
      </c>
      <c r="D3" s="1347"/>
      <c r="E3" s="1348">
        <v>1</v>
      </c>
      <c r="F3" s="1348">
        <v>2</v>
      </c>
      <c r="G3" s="1348">
        <v>3</v>
      </c>
      <c r="H3" s="1348">
        <v>4</v>
      </c>
      <c r="I3" s="1348">
        <v>5</v>
      </c>
      <c r="J3" s="1348">
        <v>6</v>
      </c>
      <c r="K3" s="1348">
        <v>7</v>
      </c>
      <c r="L3" s="1348">
        <v>8</v>
      </c>
      <c r="M3" s="1349">
        <v>9</v>
      </c>
      <c r="Q3" s="1503"/>
      <c r="R3" s="1502" t="s">
        <v>5460</v>
      </c>
    </row>
    <row r="4" spans="1:18" x14ac:dyDescent="0.35">
      <c r="A4" s="1342">
        <v>2</v>
      </c>
      <c r="B4" s="1557" t="str">
        <f>IF(AOI_A_IND&gt;1,IF(HLOOKUP(AOI_A_IND-1,AOI_A_RANGE,A4)="","",HLOOKUP(AOI_A_IND-1,AOI_A_RANGE,A4)),"")</f>
        <v/>
      </c>
      <c r="C4" s="1350" t="s">
        <v>1072</v>
      </c>
      <c r="D4" s="1553" t="s">
        <v>5268</v>
      </c>
      <c r="E4" s="1561">
        <f>E6-E5</f>
        <v>421.2</v>
      </c>
      <c r="F4" s="1561">
        <f t="shared" ref="F4:M4" si="0">F6-F5</f>
        <v>4139.3087999999998</v>
      </c>
      <c r="G4" s="1561">
        <f t="shared" si="0"/>
        <v>768</v>
      </c>
      <c r="H4" s="1560">
        <v>0</v>
      </c>
      <c r="I4" s="1558">
        <f t="shared" si="0"/>
        <v>0</v>
      </c>
      <c r="J4" s="1558">
        <f t="shared" si="0"/>
        <v>0</v>
      </c>
      <c r="K4" s="1558">
        <f t="shared" si="0"/>
        <v>0</v>
      </c>
      <c r="L4" s="1558">
        <f t="shared" si="0"/>
        <v>0</v>
      </c>
      <c r="M4" s="1559">
        <f t="shared" si="0"/>
        <v>0</v>
      </c>
      <c r="Q4" s="1503"/>
      <c r="R4" s="1793"/>
    </row>
    <row r="5" spans="1:18" x14ac:dyDescent="0.35">
      <c r="A5" s="1342">
        <v>3</v>
      </c>
      <c r="B5" s="1557" t="str">
        <f>IF(AOI_A_IND&gt;1,IF(HLOOKUP(AOI_A_IND-1,AOI_A_RANGE,A5)="","",HLOOKUP(AOI_A_IND-1,AOI_A_RANGE,A5)),"")</f>
        <v/>
      </c>
      <c r="C5" s="2011" t="s">
        <v>1073</v>
      </c>
      <c r="D5" s="1553" t="s">
        <v>1575</v>
      </c>
      <c r="E5" s="2027">
        <f t="shared" ref="E5:M6" si="1">E6*BR_rate</f>
        <v>105.30000000000001</v>
      </c>
      <c r="F5" s="2027">
        <f t="shared" si="1"/>
        <v>1034.8271999999999</v>
      </c>
      <c r="G5" s="2027">
        <f t="shared" si="1"/>
        <v>192</v>
      </c>
      <c r="H5" s="2028">
        <v>0</v>
      </c>
      <c r="I5" s="2029">
        <f t="shared" si="1"/>
        <v>0</v>
      </c>
      <c r="J5" s="2029">
        <f t="shared" si="1"/>
        <v>0</v>
      </c>
      <c r="K5" s="2029">
        <f t="shared" si="1"/>
        <v>0</v>
      </c>
      <c r="L5" s="2029">
        <f t="shared" si="1"/>
        <v>0</v>
      </c>
      <c r="M5" s="2030">
        <f t="shared" si="1"/>
        <v>0</v>
      </c>
      <c r="Q5" s="1503"/>
      <c r="R5" s="1793"/>
    </row>
    <row r="6" spans="1:18" ht="12" thickBot="1" x14ac:dyDescent="0.4">
      <c r="A6" s="1342">
        <v>4</v>
      </c>
      <c r="B6" s="1557" t="str">
        <f>IF(AOI_A_IND&gt;1,IF(HLOOKUP(AOI_A_IND-1,AOI_A_RANGE,A6)="","",HLOOKUP(AOI_A_IND-1,AOI_A_RANGE,A6)),"")</f>
        <v/>
      </c>
      <c r="C6" s="2015" t="s">
        <v>4211</v>
      </c>
      <c r="D6" s="1537" t="s">
        <v>5269</v>
      </c>
      <c r="E6" s="2031">
        <v>526.5</v>
      </c>
      <c r="F6" s="2031">
        <v>5174.1359999999995</v>
      </c>
      <c r="G6" s="2031">
        <v>960</v>
      </c>
      <c r="H6" s="2031">
        <v>85023</v>
      </c>
      <c r="I6" s="2032">
        <f t="shared" si="1"/>
        <v>0</v>
      </c>
      <c r="J6" s="2032">
        <f t="shared" si="1"/>
        <v>0</v>
      </c>
      <c r="K6" s="2032">
        <f t="shared" si="1"/>
        <v>0</v>
      </c>
      <c r="L6" s="2032">
        <f t="shared" si="1"/>
        <v>0</v>
      </c>
      <c r="M6" s="2033">
        <f t="shared" si="1"/>
        <v>0</v>
      </c>
      <c r="Q6" s="1503"/>
      <c r="R6" s="1793"/>
    </row>
    <row r="7" spans="1:18" x14ac:dyDescent="0.35">
      <c r="C7" s="724"/>
      <c r="D7" s="724"/>
      <c r="E7" s="588"/>
      <c r="F7" s="588"/>
      <c r="G7" s="588"/>
      <c r="H7" s="588"/>
      <c r="I7" s="588"/>
      <c r="J7" s="588"/>
      <c r="K7" s="588"/>
      <c r="R7" s="6"/>
    </row>
    <row r="8" spans="1:18" ht="12" thickBot="1" x14ac:dyDescent="0.4">
      <c r="C8" s="724" t="s">
        <v>4212</v>
      </c>
      <c r="D8" s="724"/>
      <c r="E8" s="588"/>
      <c r="F8" s="588"/>
      <c r="G8" s="588"/>
      <c r="H8" s="588"/>
      <c r="I8" s="588"/>
      <c r="J8" s="588"/>
      <c r="K8" s="588"/>
      <c r="R8" s="6"/>
    </row>
    <row r="9" spans="1:18" x14ac:dyDescent="0.35">
      <c r="A9" s="1342" t="s">
        <v>4845</v>
      </c>
      <c r="B9" s="676" t="s">
        <v>4210</v>
      </c>
      <c r="C9" s="1534" t="s">
        <v>4286</v>
      </c>
      <c r="D9" s="1347"/>
      <c r="E9" s="1348">
        <v>1</v>
      </c>
      <c r="F9" s="1348">
        <v>2</v>
      </c>
      <c r="G9" s="1348">
        <v>3</v>
      </c>
      <c r="H9" s="1348">
        <v>4</v>
      </c>
      <c r="I9" s="1348">
        <v>5</v>
      </c>
      <c r="J9" s="1348">
        <v>6</v>
      </c>
      <c r="K9" s="1348">
        <v>7</v>
      </c>
      <c r="L9" s="1348">
        <v>8</v>
      </c>
      <c r="M9" s="1349">
        <v>9</v>
      </c>
      <c r="Q9" s="1503"/>
      <c r="R9" s="1793"/>
    </row>
    <row r="10" spans="1:18" x14ac:dyDescent="0.35">
      <c r="A10" s="1342">
        <v>2</v>
      </c>
      <c r="B10" s="1750" t="str">
        <f t="shared" ref="B10:B17" si="2">IF(AOI_B_IND&gt;1,IF(HLOOKUP(AOI_B_IND-1,AOI_B_RANGE,A10)="","",HLOOKUP(AOI_B_IND-1,AOI_B_RANGE,A10)),"")</f>
        <v/>
      </c>
      <c r="C10" s="2011" t="s">
        <v>4213</v>
      </c>
      <c r="D10" s="1752" t="s">
        <v>5270</v>
      </c>
      <c r="E10" s="2034"/>
      <c r="F10" s="2034">
        <v>10000</v>
      </c>
      <c r="G10" s="2034">
        <v>4213</v>
      </c>
      <c r="H10" s="2034"/>
      <c r="I10" s="2034">
        <v>5800</v>
      </c>
      <c r="J10" s="2034"/>
      <c r="K10" s="2034"/>
      <c r="L10" s="2034">
        <v>120000</v>
      </c>
      <c r="M10" s="2013">
        <v>100000</v>
      </c>
      <c r="Q10" s="1503"/>
      <c r="R10" s="1793"/>
    </row>
    <row r="11" spans="1:18" ht="20.25" x14ac:dyDescent="0.35">
      <c r="A11" s="1342">
        <v>3</v>
      </c>
      <c r="B11" s="1750" t="str">
        <f t="shared" si="2"/>
        <v/>
      </c>
      <c r="C11" s="2011" t="s">
        <v>4214</v>
      </c>
      <c r="D11" s="1752" t="s">
        <v>5271</v>
      </c>
      <c r="E11" s="2001"/>
      <c r="F11" s="2035">
        <v>4</v>
      </c>
      <c r="G11" s="2035">
        <v>4</v>
      </c>
      <c r="H11" s="2035"/>
      <c r="I11" s="2035">
        <v>2</v>
      </c>
      <c r="J11" s="2035"/>
      <c r="K11" s="2035"/>
      <c r="L11" s="2035">
        <v>2</v>
      </c>
      <c r="M11" s="1631">
        <v>5</v>
      </c>
      <c r="Q11" s="1503"/>
      <c r="R11" s="1793" t="s">
        <v>5859</v>
      </c>
    </row>
    <row r="12" spans="1:18" x14ac:dyDescent="0.35">
      <c r="A12" s="1342">
        <v>4</v>
      </c>
      <c r="B12" s="1750" t="str">
        <f t="shared" si="2"/>
        <v/>
      </c>
      <c r="C12" s="2011" t="s">
        <v>4215</v>
      </c>
      <c r="D12" s="1752" t="s">
        <v>5272</v>
      </c>
      <c r="E12" s="2034">
        <v>10000</v>
      </c>
      <c r="F12" s="2034"/>
      <c r="G12" s="2034"/>
      <c r="H12" s="2034"/>
      <c r="I12" s="2034">
        <v>5715</v>
      </c>
      <c r="J12" s="2034"/>
      <c r="K12" s="2034"/>
      <c r="L12" s="2034"/>
      <c r="M12" s="2013"/>
      <c r="Q12" s="1503"/>
      <c r="R12" s="1793"/>
    </row>
    <row r="13" spans="1:18" ht="20.25" x14ac:dyDescent="0.35">
      <c r="A13" s="1342">
        <v>5</v>
      </c>
      <c r="B13" s="1750" t="str">
        <f t="shared" si="2"/>
        <v/>
      </c>
      <c r="C13" s="2011" t="s">
        <v>4216</v>
      </c>
      <c r="D13" s="1752" t="s">
        <v>5271</v>
      </c>
      <c r="E13" s="2035">
        <v>5</v>
      </c>
      <c r="F13" s="2035"/>
      <c r="G13" s="2035"/>
      <c r="H13" s="2035"/>
      <c r="I13" s="2035">
        <v>5</v>
      </c>
      <c r="J13" s="2035"/>
      <c r="K13" s="2035"/>
      <c r="L13" s="2035"/>
      <c r="M13" s="1631"/>
      <c r="Q13" s="1503"/>
      <c r="R13" s="1793" t="s">
        <v>5859</v>
      </c>
    </row>
    <row r="14" spans="1:18" x14ac:dyDescent="0.35">
      <c r="A14" s="1342">
        <v>6</v>
      </c>
      <c r="B14" s="1750" t="str">
        <f t="shared" si="2"/>
        <v/>
      </c>
      <c r="C14" s="2011" t="s">
        <v>4217</v>
      </c>
      <c r="D14" s="1752" t="s">
        <v>5273</v>
      </c>
      <c r="E14" s="2036"/>
      <c r="F14" s="2036"/>
      <c r="G14" s="2036"/>
      <c r="H14" s="2036">
        <v>2000</v>
      </c>
      <c r="I14" s="2001"/>
      <c r="J14" s="2036"/>
      <c r="K14" s="2036"/>
      <c r="L14" s="2036"/>
      <c r="M14" s="2037"/>
      <c r="Q14" s="1503"/>
      <c r="R14" s="1793"/>
    </row>
    <row r="15" spans="1:18" ht="20.25" x14ac:dyDescent="0.35">
      <c r="A15" s="1342">
        <v>7</v>
      </c>
      <c r="B15" s="1750" t="str">
        <f t="shared" si="2"/>
        <v/>
      </c>
      <c r="C15" s="2011" t="s">
        <v>4218</v>
      </c>
      <c r="D15" s="1752" t="s">
        <v>5274</v>
      </c>
      <c r="E15" s="2035"/>
      <c r="F15" s="2035"/>
      <c r="G15" s="2035"/>
      <c r="H15" s="2035">
        <v>2</v>
      </c>
      <c r="I15" s="2001"/>
      <c r="J15" s="2035"/>
      <c r="K15" s="2035"/>
      <c r="L15" s="2035"/>
      <c r="M15" s="1631"/>
      <c r="Q15" s="1503"/>
      <c r="R15" s="1793" t="s">
        <v>5859</v>
      </c>
    </row>
    <row r="16" spans="1:18" x14ac:dyDescent="0.35">
      <c r="A16" s="1342">
        <v>8</v>
      </c>
      <c r="B16" s="1750" t="str">
        <f t="shared" si="2"/>
        <v/>
      </c>
      <c r="C16" s="2011" t="s">
        <v>4219</v>
      </c>
      <c r="D16" s="1752" t="s">
        <v>5241</v>
      </c>
      <c r="E16" s="2038">
        <f t="shared" ref="E16:M16" si="3">E14*BR_rate</f>
        <v>0</v>
      </c>
      <c r="F16" s="2038">
        <f t="shared" si="3"/>
        <v>0</v>
      </c>
      <c r="G16" s="2038">
        <f t="shared" si="3"/>
        <v>0</v>
      </c>
      <c r="H16" s="2038">
        <f t="shared" si="3"/>
        <v>400</v>
      </c>
      <c r="I16" s="2038">
        <f t="shared" si="3"/>
        <v>0</v>
      </c>
      <c r="J16" s="2038">
        <f t="shared" si="3"/>
        <v>0</v>
      </c>
      <c r="K16" s="2038">
        <f t="shared" si="3"/>
        <v>0</v>
      </c>
      <c r="L16" s="2038">
        <f t="shared" si="3"/>
        <v>0</v>
      </c>
      <c r="M16" s="2019">
        <f t="shared" si="3"/>
        <v>0</v>
      </c>
      <c r="Q16" s="1503"/>
      <c r="R16" s="1793"/>
    </row>
    <row r="17" spans="1:18" ht="12" thickBot="1" x14ac:dyDescent="0.4">
      <c r="A17" s="1342">
        <v>9</v>
      </c>
      <c r="B17" s="1750" t="str">
        <f t="shared" si="2"/>
        <v/>
      </c>
      <c r="C17" s="2015" t="s">
        <v>1232</v>
      </c>
      <c r="D17" s="1537" t="s">
        <v>1591</v>
      </c>
      <c r="E17" s="2039"/>
      <c r="F17" s="2039"/>
      <c r="G17" s="2039"/>
      <c r="H17" s="2039"/>
      <c r="I17" s="2039"/>
      <c r="J17" s="2039">
        <v>14755</v>
      </c>
      <c r="K17" s="2039">
        <v>33000</v>
      </c>
      <c r="L17" s="2039"/>
      <c r="M17" s="2040"/>
      <c r="Q17" s="1503"/>
      <c r="R17" s="1793"/>
    </row>
    <row r="18" spans="1:18" x14ac:dyDescent="0.35">
      <c r="C18" s="724"/>
      <c r="D18" s="724"/>
      <c r="E18" s="588"/>
      <c r="F18" s="588"/>
      <c r="G18" s="588"/>
      <c r="H18" s="588"/>
      <c r="I18" s="588"/>
      <c r="J18" s="588"/>
      <c r="K18" s="588"/>
      <c r="R18" s="6"/>
    </row>
    <row r="19" spans="1:18" ht="12" thickBot="1" x14ac:dyDescent="0.4">
      <c r="C19" s="724" t="s">
        <v>3935</v>
      </c>
      <c r="D19" s="724"/>
      <c r="E19" s="588"/>
      <c r="F19" s="588"/>
      <c r="G19" s="588"/>
      <c r="H19" s="588"/>
      <c r="I19" s="588"/>
      <c r="J19" s="588"/>
      <c r="K19" s="588"/>
      <c r="R19" s="6"/>
    </row>
    <row r="20" spans="1:18" x14ac:dyDescent="0.35">
      <c r="A20" s="1342" t="s">
        <v>4845</v>
      </c>
      <c r="B20" s="676" t="s">
        <v>4210</v>
      </c>
      <c r="C20" s="1534" t="s">
        <v>4287</v>
      </c>
      <c r="D20" s="1347"/>
      <c r="E20" s="1348">
        <v>1</v>
      </c>
      <c r="F20" s="1348">
        <v>2</v>
      </c>
      <c r="G20" s="1348">
        <v>3</v>
      </c>
      <c r="H20" s="1348">
        <v>4</v>
      </c>
      <c r="I20" s="1348">
        <v>5</v>
      </c>
      <c r="J20" s="1348">
        <v>6</v>
      </c>
      <c r="K20" s="1348">
        <v>7</v>
      </c>
      <c r="L20" s="1348">
        <v>8</v>
      </c>
      <c r="M20" s="1349">
        <v>9</v>
      </c>
      <c r="Q20" s="1503"/>
      <c r="R20" s="1793"/>
    </row>
    <row r="21" spans="1:18" x14ac:dyDescent="0.35">
      <c r="A21" s="1342">
        <v>2</v>
      </c>
      <c r="B21" s="1773" t="str">
        <f>IF(AOI_C_IND&gt;1,IF(HLOOKUP(AOI_C_IND-1,AOI_C_RANGE,A21)="","",HLOOKUP(AOI_C_IND-1,AOI_C_RANGE,A21)),"")</f>
        <v/>
      </c>
      <c r="C21" s="2026" t="s">
        <v>3936</v>
      </c>
      <c r="D21" s="725" t="s">
        <v>3573</v>
      </c>
      <c r="E21" s="2041"/>
      <c r="F21" s="2042">
        <v>3065.99</v>
      </c>
      <c r="G21" s="2041">
        <v>490.5</v>
      </c>
      <c r="H21" s="2041">
        <v>817</v>
      </c>
      <c r="I21" s="2041">
        <v>208</v>
      </c>
      <c r="J21" s="2036"/>
      <c r="K21" s="2036"/>
      <c r="L21" s="2036"/>
      <c r="M21" s="2037"/>
      <c r="Q21" s="1503"/>
      <c r="R21" s="1793"/>
    </row>
    <row r="22" spans="1:18" x14ac:dyDescent="0.35">
      <c r="A22" s="1342">
        <v>3</v>
      </c>
      <c r="B22" s="1773" t="str">
        <f>IF(AOI_C_IND&gt;1,IF(HLOOKUP(AOI_C_IND-1,AOI_C_RANGE,A22)="","",HLOOKUP(AOI_C_IND-1,AOI_C_RANGE,A22)),"")</f>
        <v/>
      </c>
      <c r="C22" s="2011" t="s">
        <v>3937</v>
      </c>
      <c r="D22" s="1752" t="s">
        <v>5275</v>
      </c>
      <c r="E22" s="2036">
        <v>118</v>
      </c>
      <c r="F22" s="2036"/>
      <c r="G22" s="2036"/>
      <c r="H22" s="2036">
        <v>276</v>
      </c>
      <c r="I22" s="2036"/>
      <c r="J22" s="2035"/>
      <c r="K22" s="2035"/>
      <c r="L22" s="2035"/>
      <c r="M22" s="1631"/>
      <c r="Q22" s="1503"/>
      <c r="R22" s="1793"/>
    </row>
    <row r="23" spans="1:18" x14ac:dyDescent="0.35">
      <c r="A23" s="1342">
        <v>4</v>
      </c>
      <c r="B23" s="1773" t="str">
        <f>IF(AOI_C_IND&gt;1,IF(HLOOKUP(AOI_C_IND-1,AOI_C_RANGE,A23)="","",HLOOKUP(AOI_C_IND-1,AOI_C_RANGE,A23)),"")</f>
        <v/>
      </c>
      <c r="C23" s="1350" t="s">
        <v>3938</v>
      </c>
      <c r="D23" s="1752" t="s">
        <v>5276</v>
      </c>
      <c r="E23" s="1753"/>
      <c r="F23" s="1753"/>
      <c r="G23" s="1753"/>
      <c r="H23" s="1753"/>
      <c r="I23" s="1753"/>
      <c r="J23" s="1753"/>
      <c r="K23" s="1753"/>
      <c r="L23" s="1753"/>
      <c r="M23" s="1754"/>
      <c r="Q23" s="1503"/>
      <c r="R23" s="1793"/>
    </row>
    <row r="24" spans="1:18" ht="20.65" thickBot="1" x14ac:dyDescent="0.4">
      <c r="A24" s="1342">
        <v>5</v>
      </c>
      <c r="B24" s="1773" t="str">
        <f>IF(AOI_C_IND&gt;1,IF(HLOOKUP(AOI_C_IND-1,AOI_C_RANGE,A24)="","",HLOOKUP(AOI_C_IND-1,AOI_C_RANGE,A24)),"")</f>
        <v/>
      </c>
      <c r="C24" s="1351" t="s">
        <v>3939</v>
      </c>
      <c r="D24" s="1537" t="s">
        <v>5277</v>
      </c>
      <c r="E24" s="1774"/>
      <c r="F24" s="1774"/>
      <c r="G24" s="1774"/>
      <c r="H24" s="1774"/>
      <c r="I24" s="1774"/>
      <c r="J24" s="1633"/>
      <c r="K24" s="1633"/>
      <c r="L24" s="1633"/>
      <c r="M24" s="1634"/>
      <c r="Q24" s="1503"/>
      <c r="R24" s="1793" t="s">
        <v>5860</v>
      </c>
    </row>
    <row r="25" spans="1:18" x14ac:dyDescent="0.35">
      <c r="C25" s="722"/>
      <c r="D25" s="722"/>
      <c r="R25" s="6"/>
    </row>
    <row r="26" spans="1:18" ht="12" thickBot="1" x14ac:dyDescent="0.4">
      <c r="C26" s="722" t="s">
        <v>938</v>
      </c>
      <c r="D26" s="722"/>
      <c r="R26" s="6"/>
    </row>
    <row r="27" spans="1:18" x14ac:dyDescent="0.35">
      <c r="A27" s="1342" t="s">
        <v>4845</v>
      </c>
      <c r="B27" s="676" t="s">
        <v>4210</v>
      </c>
      <c r="C27" s="1534" t="s">
        <v>2208</v>
      </c>
      <c r="D27" s="1347"/>
      <c r="E27" s="1348">
        <v>1</v>
      </c>
      <c r="F27" s="1348">
        <v>2</v>
      </c>
      <c r="G27" s="1348">
        <v>3</v>
      </c>
      <c r="H27" s="1348">
        <v>4</v>
      </c>
      <c r="I27" s="1348">
        <v>5</v>
      </c>
      <c r="J27" s="1348">
        <v>6</v>
      </c>
      <c r="K27" s="1348">
        <v>7</v>
      </c>
      <c r="L27" s="1348">
        <v>8</v>
      </c>
      <c r="M27" s="1349">
        <v>9</v>
      </c>
      <c r="Q27" s="1503"/>
      <c r="R27" s="1793"/>
    </row>
    <row r="28" spans="1:18" ht="12" thickBot="1" x14ac:dyDescent="0.4">
      <c r="A28" s="1342">
        <v>2</v>
      </c>
      <c r="B28" s="1767" t="str">
        <f>IF(ASE_A_IND&gt;1,IF(HLOOKUP(ASE_A_IND-1,ASE_A_RANGE,A28)="","",HLOOKUP(ASE_A_IND-1,ASE_A_RANGE,A28)),"")</f>
        <v/>
      </c>
      <c r="C28" s="2015" t="s">
        <v>4288</v>
      </c>
      <c r="D28" s="1537" t="s">
        <v>5278</v>
      </c>
      <c r="E28" s="2043">
        <v>6250</v>
      </c>
      <c r="F28" s="2043">
        <v>2275</v>
      </c>
      <c r="G28" s="2043">
        <v>3020</v>
      </c>
      <c r="H28" s="2043"/>
      <c r="I28" s="2043"/>
      <c r="J28" s="2043"/>
      <c r="K28" s="2043"/>
      <c r="L28" s="2043"/>
      <c r="M28" s="2044"/>
      <c r="Q28" s="1503"/>
      <c r="R28" s="1793"/>
    </row>
    <row r="29" spans="1:18" x14ac:dyDescent="0.35">
      <c r="C29" s="722" t="s">
        <v>5279</v>
      </c>
      <c r="D29" s="722" t="s">
        <v>5280</v>
      </c>
      <c r="R29" s="6"/>
    </row>
    <row r="30" spans="1:18" ht="12" thickBot="1" x14ac:dyDescent="0.4">
      <c r="C30" s="724" t="s">
        <v>1500</v>
      </c>
      <c r="D30" s="724"/>
      <c r="R30" s="6"/>
    </row>
    <row r="31" spans="1:18" x14ac:dyDescent="0.35">
      <c r="A31" s="1342" t="s">
        <v>4845</v>
      </c>
      <c r="B31" s="676" t="s">
        <v>4210</v>
      </c>
      <c r="C31" s="1534" t="s">
        <v>2209</v>
      </c>
      <c r="D31" s="1347"/>
      <c r="E31" s="1348">
        <v>1</v>
      </c>
      <c r="F31" s="1544">
        <v>2</v>
      </c>
      <c r="G31" s="1348">
        <v>3</v>
      </c>
      <c r="H31" s="1348">
        <v>4</v>
      </c>
      <c r="I31" s="1348">
        <v>5</v>
      </c>
      <c r="J31" s="1348">
        <v>6</v>
      </c>
      <c r="K31" s="1348">
        <v>7</v>
      </c>
      <c r="L31" s="1348">
        <v>8</v>
      </c>
      <c r="M31" s="1349">
        <v>9</v>
      </c>
      <c r="Q31" s="1503"/>
      <c r="R31" s="1793"/>
    </row>
    <row r="32" spans="1:18" x14ac:dyDescent="0.35">
      <c r="A32" s="1342">
        <v>2</v>
      </c>
      <c r="B32" s="1767" t="str">
        <f t="shared" ref="B32:B39" si="4">IF(ASE_B_IND&gt;1,IF(HLOOKUP(ASE_B_IND-1,ASE_B_RANGE,A32)="","",HLOOKUP(ASE_B_IND-1,ASE_B_RANGE,A32)),"")</f>
        <v/>
      </c>
      <c r="C32" s="2011" t="s">
        <v>1501</v>
      </c>
      <c r="D32" s="1752" t="s">
        <v>5281</v>
      </c>
      <c r="E32" s="2051">
        <v>24850</v>
      </c>
      <c r="F32" s="2052"/>
      <c r="G32" s="2051"/>
      <c r="H32" s="2287"/>
      <c r="I32" s="2287"/>
      <c r="J32" s="2287"/>
      <c r="K32" s="2287"/>
      <c r="L32" s="2287"/>
      <c r="M32" s="2288"/>
      <c r="Q32" s="1503"/>
      <c r="R32" s="1793"/>
    </row>
    <row r="33" spans="1:18" x14ac:dyDescent="0.35">
      <c r="A33" s="1342">
        <v>3</v>
      </c>
      <c r="B33" s="1767" t="str">
        <f t="shared" si="4"/>
        <v/>
      </c>
      <c r="C33" s="2011" t="s">
        <v>1502</v>
      </c>
      <c r="D33" s="1752" t="s">
        <v>5282</v>
      </c>
      <c r="E33" s="2051"/>
      <c r="F33" s="2052">
        <v>2200</v>
      </c>
      <c r="G33" s="2051"/>
      <c r="H33" s="2289"/>
      <c r="I33" s="2289"/>
      <c r="J33" s="2289"/>
      <c r="K33" s="2289"/>
      <c r="L33" s="2289"/>
      <c r="M33" s="2290"/>
      <c r="Q33" s="1503"/>
      <c r="R33" s="1793"/>
    </row>
    <row r="34" spans="1:18" x14ac:dyDescent="0.35">
      <c r="A34" s="1342">
        <v>4</v>
      </c>
      <c r="B34" s="1767" t="str">
        <f t="shared" si="4"/>
        <v/>
      </c>
      <c r="C34" s="2011" t="s">
        <v>1503</v>
      </c>
      <c r="D34" s="1752" t="s">
        <v>5283</v>
      </c>
      <c r="E34" s="2051"/>
      <c r="F34" s="2052"/>
      <c r="G34" s="2051">
        <v>15000</v>
      </c>
      <c r="H34" s="2287"/>
      <c r="I34" s="2287"/>
      <c r="J34" s="2287"/>
      <c r="K34" s="2287"/>
      <c r="L34" s="2287"/>
      <c r="M34" s="2288"/>
      <c r="Q34" s="1503"/>
      <c r="R34" s="1793"/>
    </row>
    <row r="35" spans="1:18" x14ac:dyDescent="0.35">
      <c r="A35" s="1342">
        <v>5</v>
      </c>
      <c r="B35" s="1767" t="str">
        <f t="shared" si="4"/>
        <v/>
      </c>
      <c r="C35" s="2011" t="s">
        <v>1504</v>
      </c>
      <c r="D35" s="1752" t="s">
        <v>5284</v>
      </c>
      <c r="E35" s="2053">
        <f>(E32+E33+E34)*BR_rate</f>
        <v>4970</v>
      </c>
      <c r="F35" s="2053">
        <f>(F32+F33+F34)*BR_rate</f>
        <v>440</v>
      </c>
      <c r="G35" s="2053">
        <f>(G32+G33+G34)*BR_rate</f>
        <v>3000</v>
      </c>
      <c r="H35" s="2291"/>
      <c r="I35" s="2291"/>
      <c r="J35" s="2291"/>
      <c r="K35" s="2291"/>
      <c r="L35" s="2291"/>
      <c r="M35" s="2292"/>
      <c r="Q35" s="1503"/>
      <c r="R35" s="1793"/>
    </row>
    <row r="36" spans="1:18" x14ac:dyDescent="0.35">
      <c r="A36" s="1342">
        <v>6</v>
      </c>
      <c r="B36" s="1767" t="str">
        <f t="shared" si="4"/>
        <v/>
      </c>
      <c r="C36" s="1350" t="s">
        <v>1505</v>
      </c>
      <c r="D36" s="1752" t="s">
        <v>5285</v>
      </c>
      <c r="E36" s="1758"/>
      <c r="F36" s="1770"/>
      <c r="G36" s="1758"/>
      <c r="H36" s="2293"/>
      <c r="I36" s="2293"/>
      <c r="J36" s="2293"/>
      <c r="K36" s="2293"/>
      <c r="L36" s="2293"/>
      <c r="M36" s="2294"/>
      <c r="Q36" s="1503"/>
      <c r="R36" s="1793" t="s">
        <v>5861</v>
      </c>
    </row>
    <row r="37" spans="1:18" x14ac:dyDescent="0.35">
      <c r="A37" s="1342">
        <v>7</v>
      </c>
      <c r="B37" s="1767" t="str">
        <f t="shared" si="4"/>
        <v/>
      </c>
      <c r="C37" s="1350" t="s">
        <v>1506</v>
      </c>
      <c r="D37" s="1752" t="s">
        <v>5286</v>
      </c>
      <c r="E37" s="1769"/>
      <c r="F37" s="1764">
        <v>300</v>
      </c>
      <c r="G37" s="1769"/>
      <c r="H37" s="2295"/>
      <c r="I37" s="2295"/>
      <c r="J37" s="2295"/>
      <c r="K37" s="2295"/>
      <c r="L37" s="2295"/>
      <c r="M37" s="2296"/>
      <c r="Q37" s="1503"/>
      <c r="R37" s="1793"/>
    </row>
    <row r="38" spans="1:18" x14ac:dyDescent="0.35">
      <c r="A38" s="1342">
        <v>8</v>
      </c>
      <c r="B38" s="1767" t="str">
        <f t="shared" si="4"/>
        <v/>
      </c>
      <c r="C38" s="1350" t="s">
        <v>1507</v>
      </c>
      <c r="D38" s="1752" t="s">
        <v>5287</v>
      </c>
      <c r="E38" s="1758"/>
      <c r="F38" s="1770"/>
      <c r="G38" s="1768">
        <v>7560</v>
      </c>
      <c r="H38" s="2293"/>
      <c r="I38" s="2293"/>
      <c r="J38" s="2293"/>
      <c r="K38" s="2293"/>
      <c r="L38" s="2293"/>
      <c r="M38" s="2294"/>
      <c r="Q38" s="1503"/>
      <c r="R38" s="1793" t="s">
        <v>5862</v>
      </c>
    </row>
    <row r="39" spans="1:18" ht="12" thickBot="1" x14ac:dyDescent="0.4">
      <c r="A39" s="1342">
        <v>9</v>
      </c>
      <c r="B39" s="1767" t="str">
        <f t="shared" si="4"/>
        <v/>
      </c>
      <c r="C39" s="1351" t="s">
        <v>2203</v>
      </c>
      <c r="D39" s="1537" t="s">
        <v>5288</v>
      </c>
      <c r="E39" s="1771"/>
      <c r="F39" s="1772"/>
      <c r="G39" s="1771"/>
      <c r="H39" s="2297"/>
      <c r="I39" s="2297"/>
      <c r="J39" s="2297"/>
      <c r="K39" s="2297"/>
      <c r="L39" s="2297"/>
      <c r="M39" s="2298"/>
      <c r="Q39" s="1503"/>
      <c r="R39" s="1793"/>
    </row>
    <row r="40" spans="1:18" x14ac:dyDescent="0.35">
      <c r="C40" s="722"/>
      <c r="D40" s="722"/>
      <c r="R40" s="6"/>
    </row>
    <row r="41" spans="1:18" ht="12" thickBot="1" x14ac:dyDescent="0.4">
      <c r="C41" s="724" t="s">
        <v>673</v>
      </c>
      <c r="D41" s="724"/>
      <c r="R41" s="6"/>
    </row>
    <row r="42" spans="1:18" x14ac:dyDescent="0.35">
      <c r="A42" s="1342" t="s">
        <v>4845</v>
      </c>
      <c r="B42" s="676" t="s">
        <v>4210</v>
      </c>
      <c r="C42" s="1534" t="s">
        <v>2210</v>
      </c>
      <c r="D42" s="1347"/>
      <c r="E42" s="1348">
        <v>1</v>
      </c>
      <c r="F42" s="1348">
        <v>2</v>
      </c>
      <c r="G42" s="1348">
        <v>3</v>
      </c>
      <c r="H42" s="1348">
        <v>4</v>
      </c>
      <c r="I42" s="1348">
        <v>5</v>
      </c>
      <c r="J42" s="1348">
        <v>6</v>
      </c>
      <c r="K42" s="1348">
        <v>7</v>
      </c>
      <c r="L42" s="1348">
        <v>8</v>
      </c>
      <c r="M42" s="1349">
        <v>9</v>
      </c>
      <c r="Q42" s="1503"/>
      <c r="R42" s="1793"/>
    </row>
    <row r="43" spans="1:18" x14ac:dyDescent="0.35">
      <c r="A43" s="1342">
        <v>2</v>
      </c>
      <c r="B43" s="1750" t="str">
        <f>IF(ASE_C_IND&gt;1,IF(HLOOKUP(ASE_C_IND-1,ASE_C_RANGE,A43)="","",HLOOKUP(ASE_C_IND-1,ASE_C_RANGE,A43)),"")</f>
        <v/>
      </c>
      <c r="C43" s="2011" t="s">
        <v>2204</v>
      </c>
      <c r="D43" s="1763" t="s">
        <v>3531</v>
      </c>
      <c r="E43" s="2045">
        <v>2187</v>
      </c>
      <c r="F43" s="2045"/>
      <c r="G43" s="2045"/>
      <c r="H43" s="2045"/>
      <c r="I43" s="2046"/>
      <c r="J43" s="2046"/>
      <c r="K43" s="2046"/>
      <c r="L43" s="2046"/>
      <c r="M43" s="2047"/>
      <c r="Q43" s="1503"/>
      <c r="R43" s="1793"/>
    </row>
    <row r="44" spans="1:18" x14ac:dyDescent="0.35">
      <c r="A44" s="1342">
        <v>3</v>
      </c>
      <c r="B44" s="1750" t="str">
        <f>IF(ASE_C_IND&gt;1,IF(HLOOKUP(ASE_C_IND-1,ASE_C_RANGE,A44)="","",HLOOKUP(ASE_C_IND-1,ASE_C_RANGE,A44)),"")</f>
        <v/>
      </c>
      <c r="C44" s="2011" t="s">
        <v>2205</v>
      </c>
      <c r="D44" s="1763" t="s">
        <v>3530</v>
      </c>
      <c r="E44" s="2045"/>
      <c r="F44" s="2045">
        <v>2000</v>
      </c>
      <c r="G44" s="2045"/>
      <c r="H44" s="2045">
        <v>452916</v>
      </c>
      <c r="I44" s="2046"/>
      <c r="J44" s="2046"/>
      <c r="K44" s="2046"/>
      <c r="L44" s="2046"/>
      <c r="M44" s="2047"/>
      <c r="Q44" s="1503"/>
      <c r="R44" s="1793"/>
    </row>
    <row r="45" spans="1:18" x14ac:dyDescent="0.35">
      <c r="A45" s="1342">
        <v>4</v>
      </c>
      <c r="B45" s="1750" t="str">
        <f>IF(ASE_C_IND&gt;1,IF(HLOOKUP(ASE_C_IND-1,ASE_C_RANGE,A45)="","",HLOOKUP(ASE_C_IND-1,ASE_C_RANGE,A45)),"")</f>
        <v/>
      </c>
      <c r="C45" s="2011" t="s">
        <v>2206</v>
      </c>
      <c r="D45" s="1763" t="s">
        <v>587</v>
      </c>
      <c r="E45" s="2045"/>
      <c r="F45" s="2045"/>
      <c r="G45" s="2045"/>
      <c r="H45" s="2045"/>
      <c r="I45" s="2046"/>
      <c r="J45" s="2046"/>
      <c r="K45" s="2046"/>
      <c r="L45" s="2046"/>
      <c r="M45" s="2047"/>
      <c r="Q45" s="1503"/>
      <c r="R45" s="1793"/>
    </row>
    <row r="46" spans="1:18" x14ac:dyDescent="0.35">
      <c r="A46" s="1342">
        <v>5</v>
      </c>
      <c r="B46" s="1750" t="str">
        <f>IF(ASE_C_IND&gt;1,IF(HLOOKUP(ASE_C_IND-1,ASE_C_RANGE,A46)="","",HLOOKUP(ASE_C_IND-1,ASE_C_RANGE,A46)),"")</f>
        <v/>
      </c>
      <c r="C46" s="1350" t="s">
        <v>2207</v>
      </c>
      <c r="D46" s="1763" t="s">
        <v>5289</v>
      </c>
      <c r="E46" s="1764"/>
      <c r="F46" s="1764"/>
      <c r="G46" s="1764"/>
      <c r="H46" s="1764"/>
      <c r="I46" s="1765"/>
      <c r="J46" s="1765"/>
      <c r="K46" s="1765"/>
      <c r="L46" s="1765"/>
      <c r="M46" s="1766"/>
      <c r="Q46" s="1503"/>
      <c r="R46" s="1793"/>
    </row>
    <row r="47" spans="1:18" ht="12" thickBot="1" x14ac:dyDescent="0.4">
      <c r="A47" s="1342">
        <v>6</v>
      </c>
      <c r="B47" s="1750" t="str">
        <f>IF(ASE_C_IND&gt;1,IF(HLOOKUP(ASE_C_IND-1,ASE_C_RANGE,A47)="","",HLOOKUP(ASE_C_IND-1,ASE_C_RANGE,A47)),"")</f>
        <v/>
      </c>
      <c r="C47" s="2015" t="s">
        <v>738</v>
      </c>
      <c r="D47" s="1352" t="s">
        <v>5290</v>
      </c>
      <c r="E47" s="2048"/>
      <c r="F47" s="2048"/>
      <c r="G47" s="2048">
        <v>600</v>
      </c>
      <c r="H47" s="2048"/>
      <c r="I47" s="2049"/>
      <c r="J47" s="2049"/>
      <c r="K47" s="2049"/>
      <c r="L47" s="2049"/>
      <c r="M47" s="2050"/>
      <c r="Q47" s="1503"/>
      <c r="R47" s="1793"/>
    </row>
    <row r="48" spans="1:18" ht="12" thickBot="1" x14ac:dyDescent="0.4">
      <c r="C48" s="724" t="s">
        <v>4113</v>
      </c>
      <c r="D48" s="724"/>
      <c r="R48" s="6"/>
    </row>
    <row r="49" spans="1:18" x14ac:dyDescent="0.35">
      <c r="A49" s="1342" t="s">
        <v>4845</v>
      </c>
      <c r="B49" s="676" t="s">
        <v>4210</v>
      </c>
      <c r="C49" s="1534" t="s">
        <v>4112</v>
      </c>
      <c r="D49" s="1347"/>
      <c r="E49" s="1348">
        <v>1</v>
      </c>
      <c r="F49" s="1348">
        <v>2</v>
      </c>
      <c r="G49" s="1348">
        <v>3</v>
      </c>
      <c r="H49" s="1348">
        <v>4</v>
      </c>
      <c r="I49" s="1348">
        <v>5</v>
      </c>
      <c r="J49" s="1348">
        <v>6</v>
      </c>
      <c r="K49" s="1348">
        <v>7</v>
      </c>
      <c r="L49" s="1348">
        <v>8</v>
      </c>
      <c r="M49" s="1348">
        <v>9</v>
      </c>
      <c r="N49" s="1348">
        <v>10</v>
      </c>
      <c r="O49" s="1544">
        <v>11</v>
      </c>
      <c r="P49" s="1349">
        <v>12</v>
      </c>
      <c r="Q49" s="1503"/>
      <c r="R49" s="1793"/>
    </row>
    <row r="50" spans="1:18" x14ac:dyDescent="0.35">
      <c r="A50" s="1342">
        <v>2</v>
      </c>
      <c r="B50" s="1346" t="str">
        <f t="shared" ref="B50:B60" si="5">IF(AOR_IND&gt;1,IF(HLOOKUP(AOR_IND-1,AOR_RANGE,A50)="","",HLOOKUP(AOR_IND-1,AOR_RANGE,A50)),"")</f>
        <v/>
      </c>
      <c r="C50" s="2011" t="s">
        <v>2211</v>
      </c>
      <c r="D50" s="1340" t="s">
        <v>5291</v>
      </c>
      <c r="E50" s="2054">
        <v>20000</v>
      </c>
      <c r="F50" s="2054"/>
      <c r="G50" s="2054">
        <v>23998</v>
      </c>
      <c r="H50" s="2054"/>
      <c r="I50" s="2054"/>
      <c r="J50" s="2054"/>
      <c r="K50" s="2054"/>
      <c r="L50" s="2054"/>
      <c r="M50" s="2054"/>
      <c r="N50" s="1993"/>
      <c r="O50" s="3078"/>
      <c r="P50" s="2055"/>
      <c r="Q50" s="1503"/>
      <c r="R50" s="1793" t="s">
        <v>5863</v>
      </c>
    </row>
    <row r="51" spans="1:18" x14ac:dyDescent="0.35">
      <c r="A51" s="1342">
        <v>3</v>
      </c>
      <c r="B51" s="1346" t="str">
        <f t="shared" si="5"/>
        <v/>
      </c>
      <c r="C51" s="2011" t="s">
        <v>2212</v>
      </c>
      <c r="D51" s="1340" t="s">
        <v>5292</v>
      </c>
      <c r="E51" s="2054"/>
      <c r="F51" s="2054">
        <v>11000</v>
      </c>
      <c r="G51" s="2054">
        <v>13000</v>
      </c>
      <c r="H51" s="2054"/>
      <c r="I51" s="2054"/>
      <c r="J51" s="2054"/>
      <c r="K51" s="2054">
        <v>2440</v>
      </c>
      <c r="L51" s="2054"/>
      <c r="M51" s="2054">
        <v>10000</v>
      </c>
      <c r="N51" s="1993"/>
      <c r="O51" s="3078">
        <v>63376</v>
      </c>
      <c r="P51" s="2055"/>
      <c r="Q51" s="1503"/>
      <c r="R51" s="1793" t="s">
        <v>5864</v>
      </c>
    </row>
    <row r="52" spans="1:18" x14ac:dyDescent="0.35">
      <c r="A52" s="1342">
        <v>4</v>
      </c>
      <c r="B52" s="1346" t="str">
        <f t="shared" si="5"/>
        <v/>
      </c>
      <c r="C52" s="2011" t="s">
        <v>2213</v>
      </c>
      <c r="D52" s="1340" t="s">
        <v>3186</v>
      </c>
      <c r="E52" s="2054"/>
      <c r="F52" s="2054"/>
      <c r="G52" s="2054"/>
      <c r="H52" s="2054">
        <v>1200</v>
      </c>
      <c r="I52" s="2054"/>
      <c r="J52" s="2054"/>
      <c r="K52" s="2054"/>
      <c r="L52" s="2054"/>
      <c r="M52" s="2054"/>
      <c r="N52" s="1993"/>
      <c r="O52" s="3078"/>
      <c r="P52" s="2055"/>
      <c r="Q52" s="1503"/>
      <c r="R52" s="1793"/>
    </row>
    <row r="53" spans="1:18" x14ac:dyDescent="0.35">
      <c r="A53" s="1342">
        <v>5</v>
      </c>
      <c r="B53" s="1346" t="str">
        <f t="shared" si="5"/>
        <v/>
      </c>
      <c r="C53" s="2011" t="s">
        <v>2214</v>
      </c>
      <c r="D53" s="1340" t="s">
        <v>5293</v>
      </c>
      <c r="E53" s="2054"/>
      <c r="F53" s="2054"/>
      <c r="G53" s="2054"/>
      <c r="H53" s="2054"/>
      <c r="I53" s="2054">
        <v>470</v>
      </c>
      <c r="J53" s="2054"/>
      <c r="K53" s="2054"/>
      <c r="L53" s="2054"/>
      <c r="M53" s="2054"/>
      <c r="N53" s="1993"/>
      <c r="O53" s="3078"/>
      <c r="P53" s="2055"/>
      <c r="Q53" s="1503"/>
      <c r="R53" s="1793"/>
    </row>
    <row r="54" spans="1:18" x14ac:dyDescent="0.35">
      <c r="A54" s="1342">
        <v>6</v>
      </c>
      <c r="B54" s="1346" t="str">
        <f t="shared" si="5"/>
        <v/>
      </c>
      <c r="C54" s="2011" t="s">
        <v>2215</v>
      </c>
      <c r="D54" s="1340" t="s">
        <v>4505</v>
      </c>
      <c r="E54" s="2054"/>
      <c r="F54" s="2054"/>
      <c r="G54" s="2054"/>
      <c r="H54" s="2054">
        <v>2360</v>
      </c>
      <c r="I54" s="2054"/>
      <c r="J54" s="2054">
        <v>228</v>
      </c>
      <c r="K54" s="2054"/>
      <c r="L54" s="2054"/>
      <c r="M54" s="2054"/>
      <c r="N54" s="1993">
        <v>60000</v>
      </c>
      <c r="O54" s="3078"/>
      <c r="P54" s="2055"/>
      <c r="Q54" s="1503"/>
      <c r="R54" s="1793"/>
    </row>
    <row r="55" spans="1:18" x14ac:dyDescent="0.35">
      <c r="A55" s="1342">
        <v>7</v>
      </c>
      <c r="B55" s="1346" t="str">
        <f t="shared" si="5"/>
        <v/>
      </c>
      <c r="C55" s="2011" t="s">
        <v>2216</v>
      </c>
      <c r="D55" s="1340" t="s">
        <v>1988</v>
      </c>
      <c r="E55" s="2054"/>
      <c r="F55" s="2054"/>
      <c r="G55" s="2054"/>
      <c r="H55" s="2054"/>
      <c r="I55" s="2054"/>
      <c r="J55" s="2054">
        <v>1295</v>
      </c>
      <c r="K55" s="2054"/>
      <c r="L55" s="2054"/>
      <c r="M55" s="2054"/>
      <c r="N55" s="1993"/>
      <c r="O55" s="3078"/>
      <c r="P55" s="2055"/>
      <c r="Q55" s="1503"/>
      <c r="R55" s="1793"/>
    </row>
    <row r="56" spans="1:18" x14ac:dyDescent="0.35">
      <c r="A56" s="1342">
        <v>8</v>
      </c>
      <c r="B56" s="1346" t="str">
        <f t="shared" si="5"/>
        <v/>
      </c>
      <c r="C56" s="2011" t="s">
        <v>2217</v>
      </c>
      <c r="D56" s="1340" t="str">
        <f>"Maintenance payments (maximum "&amp;DOLLAR(SMP,0)&amp;")"</f>
        <v>Maintenance payments (maximum £3,260)</v>
      </c>
      <c r="E56" s="2054">
        <v>1820</v>
      </c>
      <c r="F56" s="2054"/>
      <c r="G56" s="2054"/>
      <c r="H56" s="2054"/>
      <c r="I56" s="2054"/>
      <c r="J56" s="2054"/>
      <c r="K56" s="2054"/>
      <c r="L56" s="2054"/>
      <c r="M56" s="2054"/>
      <c r="N56" s="1993"/>
      <c r="O56" s="3078"/>
      <c r="P56" s="2055"/>
      <c r="Q56" s="1503"/>
      <c r="R56" s="1793" t="s">
        <v>5865</v>
      </c>
    </row>
    <row r="57" spans="1:18" x14ac:dyDescent="0.35">
      <c r="A57" s="1342">
        <v>9</v>
      </c>
      <c r="B57" s="1346" t="str">
        <f t="shared" si="5"/>
        <v/>
      </c>
      <c r="C57" s="2011" t="s">
        <v>2218</v>
      </c>
      <c r="D57" s="1340" t="s">
        <v>5294</v>
      </c>
      <c r="E57" s="2054"/>
      <c r="F57" s="2054"/>
      <c r="G57" s="2054"/>
      <c r="H57" s="2054"/>
      <c r="I57" s="2054">
        <v>88</v>
      </c>
      <c r="J57" s="2054"/>
      <c r="K57" s="2054"/>
      <c r="L57" s="2054"/>
      <c r="M57" s="2054"/>
      <c r="N57" s="1993"/>
      <c r="O57" s="3078"/>
      <c r="P57" s="2055"/>
      <c r="Q57" s="1503"/>
      <c r="R57" s="1793" t="s">
        <v>5866</v>
      </c>
    </row>
    <row r="58" spans="1:18" x14ac:dyDescent="0.35">
      <c r="A58" s="1342">
        <v>10</v>
      </c>
      <c r="B58" s="1346" t="str">
        <f t="shared" si="5"/>
        <v/>
      </c>
      <c r="C58" s="2011" t="s">
        <v>2219</v>
      </c>
      <c r="D58" s="1340" t="s">
        <v>5295</v>
      </c>
      <c r="E58" s="2054"/>
      <c r="F58" s="2054"/>
      <c r="G58" s="2054"/>
      <c r="H58" s="2054"/>
      <c r="I58" s="2054"/>
      <c r="J58" s="2054"/>
      <c r="K58" s="2054"/>
      <c r="L58" s="2054">
        <v>20000</v>
      </c>
      <c r="M58" s="2054">
        <v>12000</v>
      </c>
      <c r="N58" s="1993"/>
      <c r="O58" s="3078"/>
      <c r="P58" s="2055"/>
      <c r="Q58" s="1503"/>
      <c r="R58" s="1793"/>
    </row>
    <row r="59" spans="1:18" x14ac:dyDescent="0.35">
      <c r="A59" s="1342">
        <v>11</v>
      </c>
      <c r="B59" s="1346" t="str">
        <f t="shared" si="5"/>
        <v/>
      </c>
      <c r="C59" s="2011" t="s">
        <v>2220</v>
      </c>
      <c r="D59" s="1340" t="s">
        <v>5296</v>
      </c>
      <c r="E59" s="2054"/>
      <c r="F59" s="2054"/>
      <c r="G59" s="2054">
        <v>1200</v>
      </c>
      <c r="H59" s="2054"/>
      <c r="I59" s="2054"/>
      <c r="J59" s="2054"/>
      <c r="K59" s="2054"/>
      <c r="L59" s="2054"/>
      <c r="M59" s="2054"/>
      <c r="N59" s="1993"/>
      <c r="O59" s="3078">
        <v>16632</v>
      </c>
      <c r="P59" s="2055"/>
      <c r="Q59" s="1503"/>
      <c r="R59" s="1793" t="s">
        <v>5455</v>
      </c>
    </row>
    <row r="60" spans="1:18" ht="12" thickBot="1" x14ac:dyDescent="0.4">
      <c r="A60" s="1342">
        <v>12</v>
      </c>
      <c r="B60" s="1346" t="str">
        <f t="shared" si="5"/>
        <v/>
      </c>
      <c r="C60" s="2015" t="s">
        <v>1559</v>
      </c>
      <c r="D60" s="1352" t="s">
        <v>1558</v>
      </c>
      <c r="E60" s="2056"/>
      <c r="F60" s="2056">
        <v>25000</v>
      </c>
      <c r="G60" s="2056"/>
      <c r="H60" s="2056"/>
      <c r="I60" s="2056"/>
      <c r="J60" s="2056"/>
      <c r="K60" s="2056"/>
      <c r="L60" s="2056"/>
      <c r="M60" s="2056"/>
      <c r="N60" s="2057"/>
      <c r="O60" s="2056"/>
      <c r="P60" s="2058"/>
      <c r="Q60" s="1503"/>
      <c r="R60" s="1793" t="s">
        <v>5867</v>
      </c>
    </row>
    <row r="61" spans="1:18" x14ac:dyDescent="0.35">
      <c r="D61" s="604" t="s">
        <v>1859</v>
      </c>
      <c r="R61" s="6"/>
    </row>
    <row r="62" spans="1:18" x14ac:dyDescent="0.35">
      <c r="D62" s="604"/>
      <c r="E62" s="586">
        <v>1</v>
      </c>
      <c r="F62" s="586">
        <v>2</v>
      </c>
      <c r="G62" s="586">
        <v>3</v>
      </c>
      <c r="H62" s="586">
        <v>4</v>
      </c>
      <c r="I62" s="586">
        <v>5</v>
      </c>
      <c r="J62" s="586">
        <v>6</v>
      </c>
      <c r="K62" s="586">
        <v>7</v>
      </c>
      <c r="L62" s="586">
        <v>8</v>
      </c>
      <c r="M62" s="586">
        <v>9</v>
      </c>
      <c r="N62" s="586">
        <v>10</v>
      </c>
      <c r="O62" s="1503"/>
      <c r="R62" s="6"/>
    </row>
    <row r="63" spans="1:18" x14ac:dyDescent="0.35">
      <c r="D63" s="604" t="s">
        <v>1855</v>
      </c>
      <c r="E63" s="732">
        <v>2</v>
      </c>
      <c r="F63" s="732">
        <v>2</v>
      </c>
      <c r="G63" s="732">
        <v>2</v>
      </c>
      <c r="H63" s="732">
        <v>2</v>
      </c>
      <c r="I63" s="732">
        <v>2</v>
      </c>
      <c r="J63" s="732">
        <v>3</v>
      </c>
      <c r="K63" s="732">
        <v>3</v>
      </c>
      <c r="L63" s="732">
        <v>2</v>
      </c>
      <c r="M63" s="732">
        <v>2</v>
      </c>
      <c r="N63" s="732"/>
      <c r="O63" s="3079"/>
      <c r="R63" s="6"/>
    </row>
    <row r="64" spans="1:18" x14ac:dyDescent="0.35">
      <c r="D64" s="603" t="str">
        <f>data!B167&amp;" = "&amp;data!C167</f>
        <v>1 = 1) Not Claimed</v>
      </c>
      <c r="E64" s="603" t="str">
        <f>data!B168&amp;" = "&amp;data!C168</f>
        <v>2 = 2) husband / higher income partner (box 1 present)</v>
      </c>
      <c r="F64" s="603"/>
      <c r="H64" s="603"/>
      <c r="I64" s="603" t="str">
        <f>data!B169&amp;" = "&amp;data!C169</f>
        <v>3 = 3) wife / lower income partner (box 8 present)</v>
      </c>
      <c r="R64" s="6"/>
    </row>
    <row r="65" spans="1:18" x14ac:dyDescent="0.35">
      <c r="D65" s="605" t="s">
        <v>1856</v>
      </c>
      <c r="E65" s="732">
        <v>2</v>
      </c>
      <c r="F65" s="732">
        <v>1</v>
      </c>
      <c r="G65" s="732">
        <v>1</v>
      </c>
      <c r="H65" s="732">
        <v>2</v>
      </c>
      <c r="I65" s="732">
        <v>2</v>
      </c>
      <c r="J65" s="732">
        <v>2</v>
      </c>
      <c r="K65" s="732">
        <v>2</v>
      </c>
      <c r="L65" s="732">
        <v>1</v>
      </c>
      <c r="M65" s="732">
        <v>1</v>
      </c>
      <c r="N65" s="732"/>
      <c r="O65" s="3079"/>
      <c r="R65" s="6"/>
    </row>
    <row r="66" spans="1:18" x14ac:dyDescent="0.35">
      <c r="D66" s="603" t="str">
        <f>data!B167&amp;" = "&amp;"Before 6/4/"&amp;MCA_year</f>
        <v>1 = Before 6/4/1935</v>
      </c>
      <c r="G66" s="603" t="str">
        <f>data!B165&amp;" = "&amp;"After 5/4/"&amp;MCA_year&amp;" or not present"</f>
        <v>2 = After 5/4/1935 or not present</v>
      </c>
      <c r="R66" s="6"/>
    </row>
    <row r="67" spans="1:18" x14ac:dyDescent="0.35">
      <c r="D67" s="604" t="s">
        <v>1857</v>
      </c>
      <c r="E67" s="732">
        <v>1</v>
      </c>
      <c r="F67" s="732">
        <v>1</v>
      </c>
      <c r="G67" s="732">
        <v>1</v>
      </c>
      <c r="H67" s="732">
        <v>2</v>
      </c>
      <c r="I67" s="732">
        <v>3</v>
      </c>
      <c r="J67" s="732">
        <v>2</v>
      </c>
      <c r="K67" s="732">
        <v>3</v>
      </c>
      <c r="L67" s="732">
        <v>1</v>
      </c>
      <c r="M67" s="732">
        <v>3</v>
      </c>
      <c r="N67" s="732"/>
      <c r="O67" s="3079"/>
      <c r="R67" s="6"/>
    </row>
    <row r="68" spans="1:18" x14ac:dyDescent="0.35">
      <c r="D68" s="603" t="s">
        <v>1860</v>
      </c>
      <c r="G68" s="603" t="s">
        <v>1861</v>
      </c>
      <c r="J68" s="603" t="s">
        <v>1862</v>
      </c>
      <c r="K68" s="603"/>
      <c r="R68" s="6"/>
    </row>
    <row r="69" spans="1:18" x14ac:dyDescent="0.35">
      <c r="D69" s="604" t="s">
        <v>1858</v>
      </c>
      <c r="E69" s="732">
        <v>1</v>
      </c>
      <c r="F69" s="732">
        <v>2</v>
      </c>
      <c r="G69" s="732">
        <v>1</v>
      </c>
      <c r="H69" s="732">
        <v>1</v>
      </c>
      <c r="I69" s="732">
        <v>1</v>
      </c>
      <c r="J69" s="732">
        <v>1</v>
      </c>
      <c r="K69" s="732">
        <v>5</v>
      </c>
      <c r="L69" s="732">
        <v>1</v>
      </c>
      <c r="M69" s="732">
        <v>1</v>
      </c>
      <c r="N69" s="732"/>
      <c r="O69" s="3079"/>
      <c r="R69" s="6"/>
    </row>
    <row r="70" spans="1:18" x14ac:dyDescent="0.35">
      <c r="D70" s="603" t="str">
        <f>"1 = "&amp;'allowances (c14c15)'!N85</f>
        <v>1 = Before 6 May 2017 (or no date entered)</v>
      </c>
      <c r="H70" s="603" t="str">
        <f>"Whole months since 6/4/"&amp;Tax_year_start&amp;" + 1"</f>
        <v>Whole months since 6/4/2017 + 1</v>
      </c>
      <c r="R70" s="6"/>
    </row>
    <row r="71" spans="1:18" ht="12" thickBot="1" x14ac:dyDescent="0.4">
      <c r="C71" s="1345" t="s">
        <v>5322</v>
      </c>
      <c r="R71" s="6"/>
    </row>
    <row r="72" spans="1:18" x14ac:dyDescent="0.35">
      <c r="A72" s="1342" t="s">
        <v>4845</v>
      </c>
      <c r="B72" s="676" t="s">
        <v>4210</v>
      </c>
      <c r="C72" s="1534" t="s">
        <v>627</v>
      </c>
      <c r="D72" s="1347"/>
      <c r="E72" s="1348">
        <v>1</v>
      </c>
      <c r="F72" s="1348">
        <v>2</v>
      </c>
      <c r="G72" s="1348">
        <v>3</v>
      </c>
      <c r="H72" s="1348">
        <v>4</v>
      </c>
      <c r="I72" s="1348">
        <v>5</v>
      </c>
      <c r="J72" s="1348">
        <v>6</v>
      </c>
      <c r="K72" s="1348">
        <v>7</v>
      </c>
      <c r="L72" s="1348">
        <v>8</v>
      </c>
      <c r="M72" s="1348">
        <v>9</v>
      </c>
      <c r="N72" s="1348">
        <v>10</v>
      </c>
      <c r="O72" s="1348">
        <v>11</v>
      </c>
      <c r="P72" s="1349">
        <v>12</v>
      </c>
      <c r="Q72" s="1503"/>
      <c r="R72" s="1793"/>
    </row>
    <row r="73" spans="1:18" x14ac:dyDescent="0.35">
      <c r="A73" s="1342">
        <v>2</v>
      </c>
      <c r="B73" s="1750" t="str">
        <f t="shared" ref="B73:B83" si="6">IF(MCA_IND&gt;1,IF(HLOOKUP(MCA_IND-1,MCA_RANGE,A73)="","",HLOOKUP(MCA_IND-1,MCA_RANGE,A73)),"")</f>
        <v/>
      </c>
      <c r="C73" s="1350" t="s">
        <v>2221</v>
      </c>
      <c r="D73" s="1752" t="s">
        <v>5297</v>
      </c>
      <c r="E73" s="1716" t="s">
        <v>3337</v>
      </c>
      <c r="F73" s="1716" t="s">
        <v>3338</v>
      </c>
      <c r="G73" s="1716" t="s">
        <v>3339</v>
      </c>
      <c r="H73" s="1716" t="s">
        <v>3340</v>
      </c>
      <c r="I73" s="1716" t="s">
        <v>3341</v>
      </c>
      <c r="J73" s="1716"/>
      <c r="K73" s="1716"/>
      <c r="L73" s="1716" t="s">
        <v>3342</v>
      </c>
      <c r="M73" s="1716" t="s">
        <v>3339</v>
      </c>
      <c r="N73" s="1716"/>
      <c r="O73" s="1716"/>
      <c r="P73" s="1757"/>
      <c r="Q73" s="1503"/>
      <c r="R73" s="1793" t="s">
        <v>5868</v>
      </c>
    </row>
    <row r="74" spans="1:18" x14ac:dyDescent="0.35">
      <c r="A74" s="1342">
        <v>3</v>
      </c>
      <c r="B74" s="1750" t="str">
        <f t="shared" si="6"/>
        <v/>
      </c>
      <c r="C74" s="2011" t="s">
        <v>3343</v>
      </c>
      <c r="D74" s="1752" t="s">
        <v>5298</v>
      </c>
      <c r="E74" s="2062"/>
      <c r="F74" s="2062" t="str">
        <f>"10/09/"&amp;MCA_year-1</f>
        <v>10/09/1934</v>
      </c>
      <c r="G74" s="2062" t="str">
        <f>"01/07/"&amp;MCA_year-5</f>
        <v>01/07/1930</v>
      </c>
      <c r="H74" s="2062"/>
      <c r="I74" s="2062"/>
      <c r="J74" s="2062"/>
      <c r="K74" s="2062"/>
      <c r="L74" s="2062"/>
      <c r="M74" s="2062" t="str">
        <f>"01/07/"&amp;MCA_year-5</f>
        <v>01/07/1930</v>
      </c>
      <c r="N74" s="2062"/>
      <c r="O74" s="2062"/>
      <c r="P74" s="2063"/>
      <c r="Q74" s="1503"/>
      <c r="R74" s="1793" t="s">
        <v>5869</v>
      </c>
    </row>
    <row r="75" spans="1:18" x14ac:dyDescent="0.35">
      <c r="A75" s="1342">
        <v>4</v>
      </c>
      <c r="B75" s="1750" t="str">
        <f t="shared" si="6"/>
        <v/>
      </c>
      <c r="C75" s="2011" t="s">
        <v>3344</v>
      </c>
      <c r="D75" s="1752" t="s">
        <v>5299</v>
      </c>
      <c r="E75" s="2064" t="s">
        <v>1237</v>
      </c>
      <c r="F75" s="2064" t="s">
        <v>1237</v>
      </c>
      <c r="G75" s="2064" t="s">
        <v>1237</v>
      </c>
      <c r="H75" s="2064" t="s">
        <v>583</v>
      </c>
      <c r="I75" s="2064" t="s">
        <v>1237</v>
      </c>
      <c r="J75" s="2065"/>
      <c r="K75" s="2065"/>
      <c r="L75" s="2064" t="s">
        <v>1237</v>
      </c>
      <c r="M75" s="2064" t="s">
        <v>1237</v>
      </c>
      <c r="N75" s="2064"/>
      <c r="O75" s="2064"/>
      <c r="P75" s="2066"/>
      <c r="Q75" s="1503"/>
      <c r="R75" s="1793" t="s">
        <v>5870</v>
      </c>
    </row>
    <row r="76" spans="1:18" ht="20.25" x14ac:dyDescent="0.35">
      <c r="A76" s="1342">
        <v>5</v>
      </c>
      <c r="B76" s="1750" t="str">
        <f t="shared" si="6"/>
        <v/>
      </c>
      <c r="C76" s="2011" t="s">
        <v>3345</v>
      </c>
      <c r="D76" s="1752" t="s">
        <v>5300</v>
      </c>
      <c r="E76" s="2035" t="s">
        <v>1237</v>
      </c>
      <c r="F76" s="2035" t="s">
        <v>1237</v>
      </c>
      <c r="G76" s="2035" t="s">
        <v>1237</v>
      </c>
      <c r="H76" s="2035" t="s">
        <v>1237</v>
      </c>
      <c r="I76" s="2035" t="s">
        <v>583</v>
      </c>
      <c r="J76" s="2065"/>
      <c r="K76" s="2065"/>
      <c r="L76" s="2064" t="s">
        <v>1237</v>
      </c>
      <c r="M76" s="2035" t="s">
        <v>583</v>
      </c>
      <c r="N76" s="2035"/>
      <c r="O76" s="2035"/>
      <c r="P76" s="2066"/>
      <c r="Q76" s="1503"/>
      <c r="R76" s="1793" t="s">
        <v>5871</v>
      </c>
    </row>
    <row r="77" spans="1:18" x14ac:dyDescent="0.35">
      <c r="A77" s="1342">
        <v>6</v>
      </c>
      <c r="B77" s="1750" t="str">
        <f t="shared" si="6"/>
        <v/>
      </c>
      <c r="C77" s="2011" t="s">
        <v>3346</v>
      </c>
      <c r="D77" s="1752" t="str">
        <f>"If, in the year to 5 April "&amp;Tax_year_end&amp;", you lived with any previous spouse or civil partner, enter their date of birth"</f>
        <v>If, in the year to 5 April 2018, you lived with any previous spouse or civil partner, enter their date of birth</v>
      </c>
      <c r="E77" s="2062"/>
      <c r="F77" s="2062"/>
      <c r="G77" s="2062"/>
      <c r="H77" s="2062"/>
      <c r="I77" s="2062"/>
      <c r="J77" s="2062"/>
      <c r="K77" s="2062"/>
      <c r="L77" s="2062" t="str">
        <f>"02/02/"&amp;MCA_year</f>
        <v>02/02/1935</v>
      </c>
      <c r="M77" s="2062"/>
      <c r="N77" s="2062"/>
      <c r="O77" s="2062"/>
      <c r="P77" s="2063"/>
      <c r="Q77" s="1503"/>
      <c r="R77" s="1793"/>
    </row>
    <row r="78" spans="1:18" x14ac:dyDescent="0.35">
      <c r="A78" s="1342">
        <v>7</v>
      </c>
      <c r="B78" s="1750" t="str">
        <f t="shared" si="6"/>
        <v/>
      </c>
      <c r="C78" s="1350" t="s">
        <v>3347</v>
      </c>
      <c r="D78" s="1752" t="s">
        <v>5301</v>
      </c>
      <c r="E78" s="1715" t="s">
        <v>1237</v>
      </c>
      <c r="F78" s="1715" t="s">
        <v>1237</v>
      </c>
      <c r="G78" s="1715" t="s">
        <v>1237</v>
      </c>
      <c r="H78" s="1715" t="s">
        <v>1237</v>
      </c>
      <c r="I78" s="1715" t="s">
        <v>1237</v>
      </c>
      <c r="J78" s="1715" t="s">
        <v>583</v>
      </c>
      <c r="K78" s="1715" t="s">
        <v>1237</v>
      </c>
      <c r="L78" s="1715" t="s">
        <v>1237</v>
      </c>
      <c r="M78" s="1715" t="s">
        <v>1237</v>
      </c>
      <c r="N78" s="1715"/>
      <c r="O78" s="1715"/>
      <c r="P78" s="1628"/>
      <c r="Q78" s="1503"/>
      <c r="R78" s="1793" t="s">
        <v>5872</v>
      </c>
    </row>
    <row r="79" spans="1:18" ht="20.25" x14ac:dyDescent="0.35">
      <c r="A79" s="1342">
        <v>8</v>
      </c>
      <c r="B79" s="1750" t="str">
        <f t="shared" si="6"/>
        <v/>
      </c>
      <c r="C79" s="1350" t="s">
        <v>3348</v>
      </c>
      <c r="D79" s="1752" t="s">
        <v>5302</v>
      </c>
      <c r="E79" s="1716" t="s">
        <v>1237</v>
      </c>
      <c r="F79" s="1716" t="s">
        <v>1237</v>
      </c>
      <c r="G79" s="1716" t="s">
        <v>1237</v>
      </c>
      <c r="H79" s="1716" t="s">
        <v>1237</v>
      </c>
      <c r="I79" s="1716" t="s">
        <v>1237</v>
      </c>
      <c r="J79" s="1716" t="s">
        <v>1237</v>
      </c>
      <c r="K79" s="1716" t="s">
        <v>583</v>
      </c>
      <c r="L79" s="1716" t="s">
        <v>1237</v>
      </c>
      <c r="M79" s="1716" t="s">
        <v>1237</v>
      </c>
      <c r="N79" s="1716"/>
      <c r="O79" s="1716"/>
      <c r="P79" s="1757"/>
      <c r="Q79" s="1503"/>
      <c r="R79" s="1793" t="s">
        <v>5873</v>
      </c>
    </row>
    <row r="80" spans="1:18" ht="30.4" x14ac:dyDescent="0.35">
      <c r="A80" s="1342">
        <v>9</v>
      </c>
      <c r="B80" s="1750" t="str">
        <f t="shared" si="6"/>
        <v/>
      </c>
      <c r="C80" s="1350" t="s">
        <v>3349</v>
      </c>
      <c r="D80" s="1752" t="s">
        <v>5297</v>
      </c>
      <c r="E80" s="1716"/>
      <c r="F80" s="1716"/>
      <c r="G80" s="1716"/>
      <c r="H80" s="1716"/>
      <c r="I80" s="1716"/>
      <c r="J80" s="1716" t="s">
        <v>3350</v>
      </c>
      <c r="K80" s="1716" t="s">
        <v>3350</v>
      </c>
      <c r="L80" s="1716"/>
      <c r="M80" s="1716"/>
      <c r="N80" s="1716"/>
      <c r="O80" s="1716"/>
      <c r="P80" s="1757"/>
      <c r="Q80" s="1503"/>
      <c r="R80" s="1793" t="s">
        <v>5874</v>
      </c>
    </row>
    <row r="81" spans="1:18" ht="20.25" x14ac:dyDescent="0.35">
      <c r="A81" s="1342">
        <v>10</v>
      </c>
      <c r="B81" s="1750" t="str">
        <f t="shared" si="6"/>
        <v/>
      </c>
      <c r="C81" s="2011" t="s">
        <v>3351</v>
      </c>
      <c r="D81" s="1752" t="str">
        <f>"If you were married or formed a civil partnership after 5 April "&amp;Tax_year_start&amp;", enter the date of marriage or civil partnership DD MM YYYY"</f>
        <v>If you were married or formed a civil partnership after 5 April 2017, enter the date of marriage or civil partnership DD MM YYYY</v>
      </c>
      <c r="E81" s="2059"/>
      <c r="F81" s="2059" t="str">
        <f>"05/06/"&amp;Tax_year_start</f>
        <v>05/06/2017</v>
      </c>
      <c r="G81" s="2059"/>
      <c r="H81" s="2059"/>
      <c r="I81" s="2059"/>
      <c r="J81" s="2060"/>
      <c r="K81" s="2059" t="str">
        <f>"04/09/"&amp;Tax_year_start</f>
        <v>04/09/2017</v>
      </c>
      <c r="L81" s="2059"/>
      <c r="M81" s="2059"/>
      <c r="N81" s="2059"/>
      <c r="O81" s="2059"/>
      <c r="P81" s="2061"/>
      <c r="Q81" s="1503"/>
      <c r="R81" s="1793" t="s">
        <v>5875</v>
      </c>
    </row>
    <row r="82" spans="1:18" x14ac:dyDescent="0.35">
      <c r="A82" s="1342">
        <v>11</v>
      </c>
      <c r="B82" s="1750" t="str">
        <f t="shared" si="6"/>
        <v/>
      </c>
      <c r="C82" s="1350" t="s">
        <v>3352</v>
      </c>
      <c r="D82" s="1752" t="s">
        <v>5316</v>
      </c>
      <c r="E82" s="1715" t="s">
        <v>1237</v>
      </c>
      <c r="F82" s="1715" t="s">
        <v>1237</v>
      </c>
      <c r="G82" s="1715" t="s">
        <v>1237</v>
      </c>
      <c r="H82" s="1715" t="s">
        <v>1237</v>
      </c>
      <c r="I82" s="1715" t="s">
        <v>1237</v>
      </c>
      <c r="J82" s="1715" t="s">
        <v>1237</v>
      </c>
      <c r="K82" s="1715" t="s">
        <v>1237</v>
      </c>
      <c r="L82" s="1715" t="s">
        <v>1237</v>
      </c>
      <c r="M82" s="1715" t="s">
        <v>1237</v>
      </c>
      <c r="N82" s="1715"/>
      <c r="O82" s="1715"/>
      <c r="P82" s="1628"/>
      <c r="Q82" s="1503"/>
      <c r="R82" s="1793"/>
    </row>
    <row r="83" spans="1:18" ht="40.9" thickBot="1" x14ac:dyDescent="0.4">
      <c r="A83" s="1342">
        <v>12</v>
      </c>
      <c r="B83" s="1750" t="str">
        <f t="shared" si="6"/>
        <v/>
      </c>
      <c r="C83" s="1351" t="s">
        <v>3353</v>
      </c>
      <c r="D83" s="1537" t="s">
        <v>5317</v>
      </c>
      <c r="E83" s="1633" t="s">
        <v>1237</v>
      </c>
      <c r="F83" s="1633" t="s">
        <v>1237</v>
      </c>
      <c r="G83" s="1633" t="s">
        <v>1237</v>
      </c>
      <c r="H83" s="1633" t="s">
        <v>1237</v>
      </c>
      <c r="I83" s="1633" t="s">
        <v>1237</v>
      </c>
      <c r="J83" s="1633" t="s">
        <v>1237</v>
      </c>
      <c r="K83" s="1633" t="s">
        <v>1237</v>
      </c>
      <c r="L83" s="1633" t="s">
        <v>1237</v>
      </c>
      <c r="M83" s="1633" t="s">
        <v>1237</v>
      </c>
      <c r="N83" s="1633"/>
      <c r="O83" s="1633"/>
      <c r="P83" s="1634"/>
      <c r="Q83" s="1503"/>
      <c r="R83" s="1793" t="s">
        <v>5876</v>
      </c>
    </row>
    <row r="84" spans="1:18" ht="12" thickBot="1" x14ac:dyDescent="0.4">
      <c r="C84" s="1345" t="s">
        <v>5321</v>
      </c>
      <c r="D84" s="722"/>
      <c r="R84" s="6"/>
    </row>
    <row r="85" spans="1:18" x14ac:dyDescent="0.35">
      <c r="A85" s="1342" t="s">
        <v>4845</v>
      </c>
      <c r="B85" s="676" t="s">
        <v>4210</v>
      </c>
      <c r="C85" s="1534" t="s">
        <v>4114</v>
      </c>
      <c r="D85" s="1347"/>
      <c r="E85" s="1348">
        <v>1</v>
      </c>
      <c r="F85" s="1348">
        <v>2</v>
      </c>
      <c r="G85" s="1348">
        <v>3</v>
      </c>
      <c r="H85" s="1348">
        <v>4</v>
      </c>
      <c r="I85" s="1348">
        <v>5</v>
      </c>
      <c r="J85" s="1348">
        <v>6</v>
      </c>
      <c r="K85" s="1348">
        <v>7</v>
      </c>
      <c r="L85" s="1348">
        <v>8</v>
      </c>
      <c r="M85" s="1348">
        <v>9</v>
      </c>
      <c r="N85" s="1348">
        <v>10</v>
      </c>
      <c r="O85" s="1544">
        <v>11</v>
      </c>
      <c r="P85" s="1349">
        <v>12</v>
      </c>
      <c r="Q85" s="1503"/>
      <c r="R85" s="1793"/>
    </row>
    <row r="86" spans="1:18" x14ac:dyDescent="0.35">
      <c r="A86" s="1342">
        <v>2</v>
      </c>
      <c r="B86" s="1750" t="str">
        <f t="shared" ref="B86:B96" si="7">IF(AIL_IND&gt;1,IF(HLOOKUP(AIL_IND-1,AIL_RANGE,A86)="","",HLOOKUP(AIL_IND-1,AIL_RANGE,A86)),"")</f>
        <v/>
      </c>
      <c r="C86" s="1350" t="s">
        <v>3354</v>
      </c>
      <c r="D86" s="1752" t="str">
        <f>"Earlier years’ losses – which can be set against certain other income in "&amp;tax_year</f>
        <v>Earlier years’ losses – which can be set against certain other income in 2017-18</v>
      </c>
      <c r="E86" s="1753"/>
      <c r="F86" s="1753"/>
      <c r="G86" s="1753"/>
      <c r="H86" s="1753"/>
      <c r="I86" s="1753"/>
      <c r="J86" s="1753"/>
      <c r="K86" s="1753">
        <v>200</v>
      </c>
      <c r="L86" s="1753"/>
      <c r="M86" s="1753"/>
      <c r="N86" s="1753"/>
      <c r="O86" s="3080"/>
      <c r="P86" s="1754"/>
      <c r="Q86" s="1503"/>
      <c r="R86" s="1793"/>
    </row>
    <row r="87" spans="1:18" x14ac:dyDescent="0.35">
      <c r="A87" s="1342">
        <v>3</v>
      </c>
      <c r="B87" s="1750" t="str">
        <f t="shared" si="7"/>
        <v/>
      </c>
      <c r="C87" s="1350" t="s">
        <v>3355</v>
      </c>
      <c r="D87" s="1752" t="s">
        <v>5318</v>
      </c>
      <c r="E87" s="1717"/>
      <c r="F87" s="1715"/>
      <c r="G87" s="1715"/>
      <c r="H87" s="1715"/>
      <c r="I87" s="1715"/>
      <c r="J87" s="1715"/>
      <c r="K87" s="1715"/>
      <c r="L87" s="1715"/>
      <c r="M87" s="1715"/>
      <c r="N87" s="1715"/>
      <c r="O87" s="3081"/>
      <c r="P87" s="1628"/>
      <c r="Q87" s="1503"/>
      <c r="R87" s="1793"/>
    </row>
    <row r="88" spans="1:18" x14ac:dyDescent="0.35">
      <c r="A88" s="1342">
        <v>4</v>
      </c>
      <c r="B88" s="1750" t="str">
        <f t="shared" si="7"/>
        <v/>
      </c>
      <c r="C88" s="1350" t="s">
        <v>3356</v>
      </c>
      <c r="D88" s="1752" t="str">
        <f>"Relief now for "&amp;next_year&amp;" trade losses or certain capital losses"</f>
        <v>Relief now for 2018-19 trade losses or certain capital losses</v>
      </c>
      <c r="E88" s="1753"/>
      <c r="F88" s="1753"/>
      <c r="G88" s="1753"/>
      <c r="H88" s="1753"/>
      <c r="I88" s="1753"/>
      <c r="J88" s="1753"/>
      <c r="K88" s="1753">
        <v>1600</v>
      </c>
      <c r="L88" s="1753"/>
      <c r="M88" s="1753"/>
      <c r="N88" s="1753"/>
      <c r="O88" s="3080"/>
      <c r="P88" s="1754"/>
      <c r="Q88" s="1503"/>
      <c r="R88" s="1793"/>
    </row>
    <row r="89" spans="1:18" x14ac:dyDescent="0.35">
      <c r="A89" s="1342">
        <v>5</v>
      </c>
      <c r="B89" s="1750" t="str">
        <f t="shared" si="7"/>
        <v/>
      </c>
      <c r="C89" s="1350" t="s">
        <v>3357</v>
      </c>
      <c r="D89" s="1752" t="s">
        <v>5319</v>
      </c>
      <c r="E89" s="1753"/>
      <c r="F89" s="1753"/>
      <c r="G89" s="1753"/>
      <c r="H89" s="1753"/>
      <c r="I89" s="1753"/>
      <c r="J89" s="1753"/>
      <c r="K89" s="1753"/>
      <c r="L89" s="1753"/>
      <c r="M89" s="1753"/>
      <c r="N89" s="1753"/>
      <c r="O89" s="3080"/>
      <c r="P89" s="1754"/>
      <c r="Q89" s="1503"/>
      <c r="R89" s="1793" t="s">
        <v>5877</v>
      </c>
    </row>
    <row r="90" spans="1:18" x14ac:dyDescent="0.35">
      <c r="A90" s="1342">
        <v>6</v>
      </c>
      <c r="B90" s="1750" t="str">
        <f t="shared" si="7"/>
        <v/>
      </c>
      <c r="C90" s="1350" t="s">
        <v>3358</v>
      </c>
      <c r="D90" s="1752" t="str">
        <f>"Tax year for which you are claiming relief in box 3, for example, "&amp;last_year&amp;" YYYY YY"</f>
        <v>Tax year for which you are claiming relief in box 3, for example, 2016-17 YYYY YY</v>
      </c>
      <c r="E90" s="1755"/>
      <c r="F90" s="1755"/>
      <c r="G90" s="1755"/>
      <c r="H90" s="1755"/>
      <c r="I90" s="1755"/>
      <c r="J90" s="1755"/>
      <c r="K90" s="2693" t="str">
        <f>last_year</f>
        <v>2016-17</v>
      </c>
      <c r="L90" s="1755"/>
      <c r="M90" s="1755"/>
      <c r="N90" s="1755"/>
      <c r="O90" s="3082"/>
      <c r="P90" s="1756"/>
      <c r="Q90" s="1503"/>
      <c r="R90" s="1793" t="s">
        <v>5878</v>
      </c>
    </row>
    <row r="91" spans="1:18" x14ac:dyDescent="0.35">
      <c r="A91" s="1342">
        <v>7</v>
      </c>
      <c r="B91" s="1750" t="str">
        <f t="shared" si="7"/>
        <v/>
      </c>
      <c r="C91" s="1350" t="s">
        <v>3359</v>
      </c>
      <c r="D91" s="1752" t="s">
        <v>5320</v>
      </c>
      <c r="E91" s="1715"/>
      <c r="F91" s="1715"/>
      <c r="G91" s="1715"/>
      <c r="H91" s="1715"/>
      <c r="I91" s="1715"/>
      <c r="J91" s="1715"/>
      <c r="K91" s="1715"/>
      <c r="L91" s="1715"/>
      <c r="M91" s="1715"/>
      <c r="N91" s="1715">
        <v>12000</v>
      </c>
      <c r="O91" s="3081"/>
      <c r="P91" s="1628"/>
      <c r="Q91" s="1503"/>
      <c r="R91" s="1793"/>
    </row>
    <row r="92" spans="1:18" x14ac:dyDescent="0.35">
      <c r="A92" s="1342">
        <v>8</v>
      </c>
      <c r="B92" s="1750" t="str">
        <f t="shared" si="7"/>
        <v/>
      </c>
      <c r="C92" s="1350" t="s">
        <v>3360</v>
      </c>
      <c r="D92" s="1752" t="s">
        <v>5323</v>
      </c>
      <c r="E92" s="1753">
        <v>39504</v>
      </c>
      <c r="F92" s="1753"/>
      <c r="G92" s="1753"/>
      <c r="H92" s="1753"/>
      <c r="I92" s="1753"/>
      <c r="J92" s="1753">
        <v>365400</v>
      </c>
      <c r="K92" s="1753"/>
      <c r="L92" s="1753"/>
      <c r="M92" s="1753"/>
      <c r="N92" s="1753"/>
      <c r="O92" s="3080"/>
      <c r="P92" s="1754"/>
      <c r="Q92" s="1503"/>
      <c r="R92" s="1793"/>
    </row>
    <row r="93" spans="1:18" x14ac:dyDescent="0.35">
      <c r="A93" s="1342">
        <v>9</v>
      </c>
      <c r="B93" s="1750" t="str">
        <f t="shared" si="7"/>
        <v/>
      </c>
      <c r="C93" s="1350" t="s">
        <v>1508</v>
      </c>
      <c r="D93" s="1752" t="s">
        <v>5324</v>
      </c>
      <c r="E93" s="1716">
        <v>67514</v>
      </c>
      <c r="F93" s="1716"/>
      <c r="G93" s="1716"/>
      <c r="H93" s="1716"/>
      <c r="I93" s="1753"/>
      <c r="J93" s="1716"/>
      <c r="K93" s="1716"/>
      <c r="L93" s="1716"/>
      <c r="M93" s="1716"/>
      <c r="N93" s="1716"/>
      <c r="O93" s="3083"/>
      <c r="P93" s="1757"/>
      <c r="Q93" s="1503"/>
      <c r="R93" s="1793"/>
    </row>
    <row r="94" spans="1:18" x14ac:dyDescent="0.35">
      <c r="A94" s="1342">
        <v>10</v>
      </c>
      <c r="B94" s="1750" t="str">
        <f t="shared" si="7"/>
        <v/>
      </c>
      <c r="C94" s="1350" t="s">
        <v>1509</v>
      </c>
      <c r="D94" s="1752" t="s">
        <v>5325</v>
      </c>
      <c r="E94" s="1753">
        <v>7900.8</v>
      </c>
      <c r="F94" s="1753"/>
      <c r="G94" s="1753"/>
      <c r="H94" s="1753"/>
      <c r="I94" s="1753"/>
      <c r="J94" s="1753">
        <v>200900</v>
      </c>
      <c r="K94" s="1753"/>
      <c r="L94" s="1753"/>
      <c r="M94" s="1753"/>
      <c r="N94" s="1753"/>
      <c r="O94" s="3080"/>
      <c r="P94" s="1754"/>
      <c r="Q94" s="1503"/>
      <c r="R94" s="1793"/>
    </row>
    <row r="95" spans="1:18" x14ac:dyDescent="0.35">
      <c r="A95" s="1342">
        <v>11</v>
      </c>
      <c r="B95" s="1750" t="str">
        <f t="shared" si="7"/>
        <v/>
      </c>
      <c r="C95" s="1350" t="s">
        <v>1510</v>
      </c>
      <c r="D95" s="1752" t="s">
        <v>5326</v>
      </c>
      <c r="E95" s="1753"/>
      <c r="F95" s="1753">
        <v>166200</v>
      </c>
      <c r="G95" s="1753"/>
      <c r="H95" s="1753"/>
      <c r="I95" s="1753"/>
      <c r="J95" s="1753"/>
      <c r="K95" s="1753"/>
      <c r="L95" s="1753">
        <v>15000</v>
      </c>
      <c r="M95" s="1753"/>
      <c r="N95" s="1753"/>
      <c r="O95" s="3080">
        <v>91415</v>
      </c>
      <c r="P95" s="1754"/>
      <c r="Q95" s="1503"/>
      <c r="R95" s="1793"/>
    </row>
    <row r="96" spans="1:18" x14ac:dyDescent="0.35">
      <c r="A96" s="1342">
        <v>12</v>
      </c>
      <c r="B96" s="1750" t="str">
        <f t="shared" si="7"/>
        <v/>
      </c>
      <c r="C96" s="1350" t="s">
        <v>1511</v>
      </c>
      <c r="D96" s="1752" t="s">
        <v>5327</v>
      </c>
      <c r="E96" s="1717"/>
      <c r="F96" s="1715"/>
      <c r="G96" s="1715"/>
      <c r="H96" s="1715"/>
      <c r="I96" s="1715"/>
      <c r="J96" s="1715"/>
      <c r="K96" s="1715"/>
      <c r="L96" s="1758">
        <v>3000</v>
      </c>
      <c r="M96" s="1715"/>
      <c r="N96" s="1715"/>
      <c r="O96" s="3081"/>
      <c r="P96" s="1628"/>
      <c r="Q96" s="1503"/>
      <c r="R96" s="1793" t="s">
        <v>5879</v>
      </c>
    </row>
    <row r="97" spans="1:18" x14ac:dyDescent="0.35">
      <c r="A97" s="3376">
        <v>13</v>
      </c>
      <c r="B97" s="3377" t="str">
        <f t="shared" ref="B97:B105" si="8">IF(AIL_IND&gt;1,IF(HLOOKUP(AIL_IND-1,AIL_RANGE,A97)="","",HLOOKUP(AIL_IND-1,AIL_RANGE,A97)),"")</f>
        <v/>
      </c>
      <c r="C97" s="3386" t="s">
        <v>7946</v>
      </c>
      <c r="D97" s="3387" t="s">
        <v>7948</v>
      </c>
      <c r="E97" s="3388"/>
      <c r="F97" s="3389"/>
      <c r="G97" s="3389"/>
      <c r="H97" s="3389"/>
      <c r="I97" s="3389"/>
      <c r="J97" s="3389"/>
      <c r="K97" s="3389"/>
      <c r="L97" s="3390"/>
      <c r="M97" s="3389">
        <v>36000</v>
      </c>
      <c r="N97" s="3389"/>
      <c r="O97" s="3391"/>
      <c r="P97" s="3392"/>
      <c r="Q97" s="3379"/>
      <c r="R97" s="3393"/>
    </row>
    <row r="98" spans="1:18" x14ac:dyDescent="0.35">
      <c r="A98" s="3376">
        <v>14</v>
      </c>
      <c r="B98" s="3377" t="str">
        <f t="shared" si="8"/>
        <v/>
      </c>
      <c r="C98" s="3386" t="s">
        <v>7947</v>
      </c>
      <c r="D98" s="3378" t="s">
        <v>7949</v>
      </c>
      <c r="E98" s="3388"/>
      <c r="F98" s="3389"/>
      <c r="G98" s="3389"/>
      <c r="H98" s="3389"/>
      <c r="I98" s="3389"/>
      <c r="J98" s="3389"/>
      <c r="K98" s="3389"/>
      <c r="L98" s="3390"/>
      <c r="M98" s="3389">
        <v>7200</v>
      </c>
      <c r="N98" s="3389"/>
      <c r="O98" s="3391"/>
      <c r="P98" s="3392"/>
      <c r="Q98" s="3379"/>
      <c r="R98" s="3393"/>
    </row>
    <row r="99" spans="1:18" ht="20.25" x14ac:dyDescent="0.35">
      <c r="A99" s="1342">
        <v>15</v>
      </c>
      <c r="B99" s="1750" t="str">
        <f t="shared" si="8"/>
        <v/>
      </c>
      <c r="C99" s="1350" t="s">
        <v>1512</v>
      </c>
      <c r="D99" s="1752" t="s">
        <v>5328</v>
      </c>
      <c r="E99" s="1717"/>
      <c r="F99" s="1715"/>
      <c r="G99" s="1715"/>
      <c r="H99" s="1715"/>
      <c r="I99" s="1715"/>
      <c r="J99" s="1715"/>
      <c r="K99" s="1715"/>
      <c r="L99" s="1715">
        <v>12345678</v>
      </c>
      <c r="M99" s="1715"/>
      <c r="N99" s="1715"/>
      <c r="O99" s="3081"/>
      <c r="P99" s="1628"/>
      <c r="Q99" s="1503"/>
      <c r="R99" s="1793" t="s">
        <v>5880</v>
      </c>
    </row>
    <row r="100" spans="1:18" x14ac:dyDescent="0.35">
      <c r="A100" s="1342">
        <v>16</v>
      </c>
      <c r="B100" s="1750" t="str">
        <f t="shared" si="8"/>
        <v/>
      </c>
      <c r="C100" s="1350" t="s">
        <v>1513</v>
      </c>
      <c r="D100" s="1752" t="s">
        <v>5329</v>
      </c>
      <c r="E100" s="1753"/>
      <c r="F100" s="1753">
        <v>243514</v>
      </c>
      <c r="G100" s="1753">
        <v>43000</v>
      </c>
      <c r="H100" s="1753"/>
      <c r="I100" s="1753"/>
      <c r="J100" s="1753"/>
      <c r="K100" s="1753"/>
      <c r="L100" s="1753"/>
      <c r="M100" s="1753"/>
      <c r="N100" s="1753"/>
      <c r="O100" s="3080"/>
      <c r="P100" s="1754"/>
      <c r="Q100" s="1503"/>
      <c r="R100" s="1793"/>
    </row>
    <row r="101" spans="1:18" x14ac:dyDescent="0.35">
      <c r="A101" s="1342">
        <v>17</v>
      </c>
      <c r="B101" s="1750" t="str">
        <f t="shared" si="8"/>
        <v/>
      </c>
      <c r="C101" s="1350" t="s">
        <v>1514</v>
      </c>
      <c r="D101" s="1752" t="s">
        <v>5330</v>
      </c>
      <c r="E101" s="1753"/>
      <c r="F101" s="1753">
        <v>75000</v>
      </c>
      <c r="G101" s="1753"/>
      <c r="H101" s="1753"/>
      <c r="I101" s="1753"/>
      <c r="J101" s="1753"/>
      <c r="K101" s="1753"/>
      <c r="L101" s="1753"/>
      <c r="M101" s="1753"/>
      <c r="N101" s="1753"/>
      <c r="O101" s="3080"/>
      <c r="P101" s="1754"/>
      <c r="Q101" s="1503"/>
      <c r="R101" s="1793"/>
    </row>
    <row r="102" spans="1:18" x14ac:dyDescent="0.35">
      <c r="A102" s="1342">
        <v>18</v>
      </c>
      <c r="B102" s="1750" t="str">
        <f t="shared" si="8"/>
        <v/>
      </c>
      <c r="C102" s="1350" t="s">
        <v>1515</v>
      </c>
      <c r="D102" s="1752" t="s">
        <v>5331</v>
      </c>
      <c r="E102" s="1753"/>
      <c r="F102" s="1753">
        <v>43519</v>
      </c>
      <c r="G102" s="1753">
        <v>14512</v>
      </c>
      <c r="H102" s="1753"/>
      <c r="I102" s="1753"/>
      <c r="J102" s="1753"/>
      <c r="K102" s="1753"/>
      <c r="L102" s="1753"/>
      <c r="M102" s="1753"/>
      <c r="N102" s="1753"/>
      <c r="O102" s="3080"/>
      <c r="P102" s="1754"/>
      <c r="Q102" s="1503"/>
      <c r="R102" s="1793"/>
    </row>
    <row r="103" spans="1:18" x14ac:dyDescent="0.35">
      <c r="A103" s="1342">
        <v>19</v>
      </c>
      <c r="B103" s="1750" t="str">
        <f t="shared" si="8"/>
        <v/>
      </c>
      <c r="C103" s="1350" t="s">
        <v>1516</v>
      </c>
      <c r="D103" s="1752" t="s">
        <v>5332</v>
      </c>
      <c r="E103" s="1753"/>
      <c r="F103" s="1753"/>
      <c r="G103" s="1753"/>
      <c r="H103" s="1753">
        <v>23505</v>
      </c>
      <c r="I103" s="1753">
        <v>4950</v>
      </c>
      <c r="J103" s="1753"/>
      <c r="K103" s="1753"/>
      <c r="L103" s="1753"/>
      <c r="M103" s="1753"/>
      <c r="N103" s="1753"/>
      <c r="O103" s="3080"/>
      <c r="P103" s="1754"/>
      <c r="Q103" s="1503"/>
      <c r="R103" s="1793"/>
    </row>
    <row r="104" spans="1:18" x14ac:dyDescent="0.35">
      <c r="A104" s="3380">
        <v>20</v>
      </c>
      <c r="B104" s="3381"/>
      <c r="C104" s="3382" t="s">
        <v>1517</v>
      </c>
      <c r="D104" s="3383" t="s">
        <v>5333</v>
      </c>
      <c r="E104" s="3725"/>
      <c r="F104" s="3725"/>
      <c r="G104" s="3725"/>
      <c r="H104" s="3725"/>
      <c r="I104" s="3725"/>
      <c r="J104" s="3725"/>
      <c r="K104" s="3725"/>
      <c r="L104" s="3725"/>
      <c r="M104" s="3725"/>
      <c r="N104" s="3725"/>
      <c r="O104" s="3726"/>
      <c r="P104" s="3727"/>
      <c r="Q104" s="3384"/>
      <c r="R104" s="3385"/>
    </row>
    <row r="105" spans="1:18" x14ac:dyDescent="0.35">
      <c r="A105" s="1342">
        <v>21</v>
      </c>
      <c r="B105" s="1750" t="str">
        <f t="shared" si="8"/>
        <v/>
      </c>
      <c r="C105" s="1350" t="s">
        <v>3447</v>
      </c>
      <c r="D105" s="1752" t="s">
        <v>5334</v>
      </c>
      <c r="E105" s="1753"/>
      <c r="F105" s="1753"/>
      <c r="G105" s="1753"/>
      <c r="H105" s="1753">
        <v>7800</v>
      </c>
      <c r="I105" s="1753">
        <v>892</v>
      </c>
      <c r="J105" s="1753"/>
      <c r="K105" s="1753"/>
      <c r="L105" s="1753"/>
      <c r="M105" s="411"/>
      <c r="N105" s="1753"/>
      <c r="O105" s="3080"/>
      <c r="P105" s="1754"/>
      <c r="Q105" s="1503"/>
      <c r="R105" s="1793"/>
    </row>
    <row r="106" spans="1:18" x14ac:dyDescent="0.35">
      <c r="A106" s="1342">
        <v>22</v>
      </c>
      <c r="B106" s="1750" t="str">
        <f>IF(AIL_IND&gt;1,IF(HLOOKUP(AIL_IND-1,AIL_RANGE,A106)="","",HLOOKUP(AIL_IND-1,AIL_RANGE,A106)),"")</f>
        <v/>
      </c>
      <c r="C106" s="1350" t="s">
        <v>3448</v>
      </c>
      <c r="D106" s="1752" t="s">
        <v>5335</v>
      </c>
      <c r="E106" s="1759"/>
      <c r="F106" s="1759"/>
      <c r="G106" s="1759"/>
      <c r="H106" s="1748"/>
      <c r="I106" s="1748"/>
      <c r="J106" s="1759"/>
      <c r="K106" s="1759"/>
      <c r="L106" s="1759"/>
      <c r="M106" s="1759"/>
      <c r="N106" s="1759"/>
      <c r="O106" s="3084"/>
      <c r="P106" s="1760"/>
      <c r="Q106" s="1503"/>
      <c r="R106" s="1793" t="s">
        <v>5881</v>
      </c>
    </row>
    <row r="107" spans="1:18" x14ac:dyDescent="0.35">
      <c r="A107" s="1342">
        <v>23</v>
      </c>
      <c r="B107" s="1750" t="str">
        <f>IF(AIL_IND&gt;1,IF(HLOOKUP(AIL_IND-1,AIL_RANGE,A107)="","",HLOOKUP(AIL_IND-1,AIL_RANGE,A107)),"")</f>
        <v/>
      </c>
      <c r="C107" s="1350" t="s">
        <v>2147</v>
      </c>
      <c r="D107" s="1752" t="str">
        <f>"The tax year in which the expected advantage arises, for example, "&amp;last_year&amp;" YYYY YY"</f>
        <v>The tax year in which the expected advantage arises, for example, 2016-17 YYYY YY</v>
      </c>
      <c r="E107" s="1759"/>
      <c r="F107" s="1761"/>
      <c r="G107" s="1761"/>
      <c r="H107" s="1761"/>
      <c r="I107" s="1761"/>
      <c r="J107" s="1761"/>
      <c r="K107" s="1761"/>
      <c r="L107" s="1761"/>
      <c r="M107" s="1761"/>
      <c r="N107" s="1761"/>
      <c r="O107" s="3085"/>
      <c r="P107" s="1624"/>
      <c r="Q107" s="1503"/>
      <c r="R107" s="1793" t="s">
        <v>5882</v>
      </c>
    </row>
    <row r="108" spans="1:18" ht="20.25" x14ac:dyDescent="0.35">
      <c r="A108" s="1342">
        <v>24</v>
      </c>
      <c r="B108" s="1750" t="str">
        <f>IF(AIL_IND&gt;1,IF(HLOOKUP(AIL_IND-1,AIL_RANGE,A108)="","",HLOOKUP(AIL_IND-1,AIL_RANGE,A108)),"")</f>
        <v/>
      </c>
      <c r="C108" s="1350" t="s">
        <v>2148</v>
      </c>
      <c r="D108" s="1752" t="s">
        <v>5336</v>
      </c>
      <c r="E108" s="1717"/>
      <c r="F108" s="1717"/>
      <c r="G108" s="1717"/>
      <c r="H108" s="1717"/>
      <c r="I108" s="1717"/>
      <c r="J108" s="1717"/>
      <c r="K108" s="1717"/>
      <c r="L108" s="3723" t="s">
        <v>7600</v>
      </c>
      <c r="M108" s="1717"/>
      <c r="N108" s="1717"/>
      <c r="O108" s="3086"/>
      <c r="P108" s="3089" t="s">
        <v>7600</v>
      </c>
      <c r="Q108" s="1990"/>
      <c r="R108" s="3090" t="s">
        <v>7601</v>
      </c>
    </row>
    <row r="109" spans="1:18" ht="12" thickBot="1" x14ac:dyDescent="0.4">
      <c r="A109" s="1342">
        <v>25</v>
      </c>
      <c r="B109" s="1750" t="str">
        <f>IF(AIL_IND&gt;1,IF(HLOOKUP(AIL_IND-1,AIL_RANGE,A109)="","",HLOOKUP(AIL_IND-1,AIL_RANGE,A109)),"")</f>
        <v/>
      </c>
      <c r="C109" s="1351" t="s">
        <v>3942</v>
      </c>
      <c r="D109" s="1537" t="s">
        <v>5303</v>
      </c>
      <c r="E109" s="1555"/>
      <c r="F109" s="1555"/>
      <c r="G109" s="1555"/>
      <c r="H109" s="1555"/>
      <c r="I109" s="1555"/>
      <c r="J109" s="1555"/>
      <c r="K109" s="1555"/>
      <c r="L109" s="1555"/>
      <c r="M109" s="1555"/>
      <c r="N109" s="1555"/>
      <c r="O109" s="3087"/>
      <c r="P109" s="1762"/>
      <c r="Q109" s="1503"/>
      <c r="R109" s="1793"/>
    </row>
    <row r="110" spans="1:18" x14ac:dyDescent="0.35">
      <c r="A110" s="1342"/>
      <c r="B110" s="1246">
        <v>1000000506</v>
      </c>
      <c r="C110" s="725" t="s">
        <v>3943</v>
      </c>
      <c r="D110" s="725" t="s">
        <v>5304</v>
      </c>
      <c r="E110" s="1751"/>
      <c r="F110" s="1751"/>
      <c r="G110" s="1751"/>
      <c r="H110" s="1751"/>
      <c r="I110" s="1751"/>
      <c r="J110" s="1751"/>
      <c r="K110" s="1751"/>
      <c r="L110" s="1751"/>
      <c r="M110" s="1751"/>
      <c r="N110" s="1751"/>
      <c r="O110" s="3088"/>
      <c r="P110" s="1751"/>
      <c r="Q110" s="1503"/>
      <c r="R110" s="1793"/>
    </row>
  </sheetData>
  <phoneticPr fontId="68" type="noConversion"/>
  <pageMargins left="0.196850393700787" right="0.196850393700787" top="0.196850393700787" bottom="0.196850393700787" header="0" footer="0"/>
  <pageSetup paperSize="9"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FF99"/>
  </sheetPr>
  <dimension ref="A1:W64"/>
  <sheetViews>
    <sheetView showGridLines="0" topLeftCell="C1" zoomScaleNormal="100" workbookViewId="0">
      <pane ySplit="1" topLeftCell="A20" activePane="bottomLeft" state="frozen"/>
      <selection pane="bottomLeft" activeCell="S3" sqref="S3"/>
    </sheetView>
  </sheetViews>
  <sheetFormatPr defaultColWidth="9.1328125" defaultRowHeight="11.65" x14ac:dyDescent="0.35"/>
  <cols>
    <col min="1" max="1" width="3.86328125" style="1341" bestFit="1" customWidth="1"/>
    <col min="2" max="2" width="6.1328125" style="206" bestFit="1" customWidth="1"/>
    <col min="3" max="3" width="7.73046875" style="206" bestFit="1" customWidth="1"/>
    <col min="4" max="4" width="7" style="206" bestFit="1" customWidth="1"/>
    <col min="5" max="5" width="55.86328125" style="206" customWidth="1"/>
    <col min="6" max="7" width="10" style="206" bestFit="1" customWidth="1"/>
    <col min="8" max="8" width="9" style="206" bestFit="1" customWidth="1"/>
    <col min="9" max="10" width="10" style="206" bestFit="1" customWidth="1"/>
    <col min="11" max="11" width="11" style="206" bestFit="1" customWidth="1"/>
    <col min="12" max="12" width="10" style="206" bestFit="1" customWidth="1"/>
    <col min="13" max="13" width="9" style="206" bestFit="1" customWidth="1"/>
    <col min="14" max="15" width="10" style="206" bestFit="1" customWidth="1"/>
    <col min="16" max="16" width="11" style="206" bestFit="1" customWidth="1"/>
    <col min="17" max="19" width="11" style="206" customWidth="1"/>
    <col min="20" max="20" width="9.59765625" style="206" customWidth="1"/>
    <col min="21" max="21" width="2.1328125" style="206" customWidth="1"/>
    <col min="22" max="22" width="32.265625" style="146" bestFit="1" customWidth="1"/>
    <col min="23" max="23" width="97.73046875" style="206" bestFit="1" customWidth="1"/>
    <col min="24" max="16384" width="9.1328125" style="206"/>
  </cols>
  <sheetData>
    <row r="1" spans="1:23" ht="13.5" thickBot="1" x14ac:dyDescent="0.45">
      <c r="F1" s="681">
        <v>1</v>
      </c>
      <c r="G1" s="587">
        <v>2</v>
      </c>
      <c r="H1" s="587">
        <v>3</v>
      </c>
      <c r="I1" s="587">
        <v>4</v>
      </c>
      <c r="J1" s="587">
        <v>5</v>
      </c>
      <c r="K1" s="587">
        <v>6</v>
      </c>
      <c r="L1" s="587">
        <v>7</v>
      </c>
      <c r="M1" s="587">
        <v>8</v>
      </c>
      <c r="N1" s="587">
        <v>9</v>
      </c>
      <c r="O1" s="587">
        <v>10</v>
      </c>
      <c r="P1" s="587">
        <v>11</v>
      </c>
      <c r="Q1" s="3555">
        <v>12</v>
      </c>
      <c r="R1" s="3555">
        <v>13</v>
      </c>
      <c r="S1" s="3555">
        <v>14</v>
      </c>
      <c r="T1" s="587">
        <v>15</v>
      </c>
      <c r="U1" s="1503"/>
      <c r="V1" s="2374" t="s">
        <v>6613</v>
      </c>
      <c r="W1" s="1502" t="s">
        <v>5460</v>
      </c>
    </row>
    <row r="2" spans="1:23" ht="13.15" x14ac:dyDescent="0.4">
      <c r="A2" s="1342" t="s">
        <v>4845</v>
      </c>
      <c r="B2" s="681" t="s">
        <v>4008</v>
      </c>
      <c r="C2" s="681" t="s">
        <v>4009</v>
      </c>
      <c r="D2" s="1775" t="s">
        <v>4043</v>
      </c>
      <c r="E2" s="1576"/>
      <c r="F2" s="1577">
        <v>1</v>
      </c>
      <c r="G2" s="1578">
        <v>2</v>
      </c>
      <c r="H2" s="1578">
        <v>3</v>
      </c>
      <c r="I2" s="1578">
        <v>4</v>
      </c>
      <c r="J2" s="1578">
        <v>5</v>
      </c>
      <c r="K2" s="1578">
        <v>6</v>
      </c>
      <c r="L2" s="1578">
        <v>7</v>
      </c>
      <c r="M2" s="1578">
        <v>8</v>
      </c>
      <c r="N2" s="1578">
        <v>9</v>
      </c>
      <c r="O2" s="1578">
        <v>10</v>
      </c>
      <c r="P2" s="1578">
        <v>11</v>
      </c>
      <c r="Q2" s="3651">
        <v>12</v>
      </c>
      <c r="R2" s="3652">
        <v>13</v>
      </c>
      <c r="S2" s="3652">
        <v>14</v>
      </c>
      <c r="T2" s="1579">
        <v>15</v>
      </c>
      <c r="U2" s="1503"/>
      <c r="V2" s="2374" t="s">
        <v>6613</v>
      </c>
      <c r="W2" s="1502" t="s">
        <v>5460</v>
      </c>
    </row>
    <row r="3" spans="1:23" ht="13.15" x14ac:dyDescent="0.35">
      <c r="A3" s="1342">
        <v>2</v>
      </c>
      <c r="B3" s="680" t="str">
        <f t="shared" ref="B3:B23" si="0">IF(EMP_A_IND&gt;1,IF(HLOOKUP(EMP_A_IND-1,EMP_RANGE,A3)="","",HLOOKUP(EMP_A_IND-1,EMP_RANGE,A3)),"")</f>
        <v/>
      </c>
      <c r="C3" s="1575" t="str">
        <f t="shared" ref="C3:C23" si="1">IF(EMP_B_IND&gt;1,IF(HLOOKUP(EMP_B_IND-1,EMP_RANGE,A3)="","",HLOOKUP(EMP_B_IND-1,EMP_RANGE,A3)),"")</f>
        <v/>
      </c>
      <c r="D3" s="1991" t="s">
        <v>9</v>
      </c>
      <c r="E3" s="1992"/>
      <c r="F3" s="2418">
        <v>33254</v>
      </c>
      <c r="G3" s="2418">
        <v>27515</v>
      </c>
      <c r="H3" s="2418">
        <v>8000</v>
      </c>
      <c r="I3" s="2419">
        <v>55750</v>
      </c>
      <c r="J3" s="2418">
        <v>18500</v>
      </c>
      <c r="K3" s="2418">
        <v>101000</v>
      </c>
      <c r="L3" s="2418">
        <v>33254</v>
      </c>
      <c r="M3" s="2418">
        <v>9050</v>
      </c>
      <c r="N3" s="2418">
        <v>89000</v>
      </c>
      <c r="O3" s="2418">
        <v>37950</v>
      </c>
      <c r="P3" s="2418">
        <v>471407</v>
      </c>
      <c r="Q3" s="3653">
        <f>SBR_band+P_A+(MAX(0,BR_band-SBR_band))</f>
        <v>45000</v>
      </c>
      <c r="R3" s="3653">
        <f>P_A-1000</f>
        <v>10500</v>
      </c>
      <c r="S3" s="3653">
        <f>P_A+1000</f>
        <v>12500</v>
      </c>
      <c r="T3" s="1994"/>
      <c r="U3" s="1503"/>
      <c r="V3" s="2282" t="s">
        <v>6654</v>
      </c>
      <c r="W3" s="1502"/>
    </row>
    <row r="4" spans="1:23" ht="13.15" x14ac:dyDescent="0.35">
      <c r="A4" s="1342">
        <v>3</v>
      </c>
      <c r="B4" s="680" t="str">
        <f t="shared" si="0"/>
        <v/>
      </c>
      <c r="C4" s="1575" t="str">
        <f t="shared" si="1"/>
        <v/>
      </c>
      <c r="D4" s="1991" t="s">
        <v>10</v>
      </c>
      <c r="E4" s="1992"/>
      <c r="F4" s="2420">
        <f t="shared" ref="F4:N4" si="2">MAX((F3+F12+F13+F14+F15+F16+F17+F18+F19-P_A)*BR_rate,0)+MAX((F3+F12+F13+F14+F15+F16+F17+F18+F19-P_A-HR_band)*BR_rate,0)</f>
        <v>4350.8</v>
      </c>
      <c r="G4" s="2420">
        <f t="shared" si="2"/>
        <v>3798</v>
      </c>
      <c r="H4" s="2420">
        <f t="shared" si="2"/>
        <v>0</v>
      </c>
      <c r="I4" s="2420">
        <f t="shared" si="2"/>
        <v>12040</v>
      </c>
      <c r="J4" s="2420">
        <f t="shared" si="2"/>
        <v>1520</v>
      </c>
      <c r="K4" s="2420">
        <f t="shared" si="2"/>
        <v>20500</v>
      </c>
      <c r="L4" s="2421">
        <v>2000</v>
      </c>
      <c r="M4" s="2420">
        <f t="shared" si="2"/>
        <v>0</v>
      </c>
      <c r="N4" s="2420">
        <f t="shared" si="2"/>
        <v>17300</v>
      </c>
      <c r="O4" s="2421">
        <v>5879</v>
      </c>
      <c r="P4" s="2421">
        <v>0</v>
      </c>
      <c r="Q4" s="3654">
        <f>MAX((Q3+Q12+Q13+Q14+Q15+Q16+Q17+Q18+Q19-P_A)*SBR_rate,0)+MAX((Q3+Q12+Q13+Q14+Q15+Q16+Q17+Q18+Q19-P_A-SHR_band)*BR_rate,0)</f>
        <v>6700</v>
      </c>
      <c r="R4" s="3655">
        <v>0</v>
      </c>
      <c r="S4" s="3654">
        <f>MAX((S3+S12+S13+S14+S15+S16+S17+S18+S19-P_A)*BR_rate,0)+MAX((S3+S12+S13+S14+S15+S16+S17+S18+S19-P_A-HR_band)*BR_rate,0)</f>
        <v>200</v>
      </c>
      <c r="T4" s="1994"/>
      <c r="U4" s="1503"/>
      <c r="V4" s="2282" t="s">
        <v>6619</v>
      </c>
      <c r="W4" s="1502"/>
    </row>
    <row r="5" spans="1:23" ht="13.15" x14ac:dyDescent="0.35">
      <c r="A5" s="1342">
        <v>4</v>
      </c>
      <c r="B5" s="680" t="str">
        <f t="shared" si="0"/>
        <v/>
      </c>
      <c r="C5" s="1575" t="str">
        <f t="shared" si="1"/>
        <v/>
      </c>
      <c r="D5" s="1991" t="s">
        <v>11</v>
      </c>
      <c r="E5" s="1992"/>
      <c r="F5" s="2386"/>
      <c r="G5" s="2386"/>
      <c r="H5" s="2386">
        <v>50</v>
      </c>
      <c r="I5" s="2382"/>
      <c r="J5" s="2386"/>
      <c r="K5" s="2386"/>
      <c r="L5" s="2386"/>
      <c r="M5" s="2386"/>
      <c r="N5" s="2386"/>
      <c r="O5" s="2386"/>
      <c r="P5" s="2386"/>
      <c r="Q5" s="3556"/>
      <c r="R5" s="3656"/>
      <c r="S5" s="3656"/>
      <c r="T5" s="1995"/>
      <c r="U5" s="1503"/>
      <c r="V5" s="2282" t="s">
        <v>6617</v>
      </c>
      <c r="W5" s="1502"/>
    </row>
    <row r="6" spans="1:23" ht="12.75" x14ac:dyDescent="0.35">
      <c r="A6" s="1342">
        <v>5</v>
      </c>
      <c r="B6" s="680" t="str">
        <f t="shared" si="0"/>
        <v/>
      </c>
      <c r="C6" s="1575" t="str">
        <f t="shared" si="1"/>
        <v/>
      </c>
      <c r="D6" s="1580" t="s">
        <v>12</v>
      </c>
      <c r="E6" s="1581"/>
      <c r="F6" s="1554" t="s">
        <v>1064</v>
      </c>
      <c r="G6" s="1554" t="s">
        <v>1642</v>
      </c>
      <c r="H6" s="1554" t="s">
        <v>1065</v>
      </c>
      <c r="I6" s="1582" t="s">
        <v>1066</v>
      </c>
      <c r="J6" s="1554" t="s">
        <v>1067</v>
      </c>
      <c r="K6" s="1554" t="s">
        <v>1068</v>
      </c>
      <c r="L6" s="1554" t="s">
        <v>1064</v>
      </c>
      <c r="M6" s="1554" t="s">
        <v>882</v>
      </c>
      <c r="N6" s="1554" t="s">
        <v>3900</v>
      </c>
      <c r="O6" s="1554" t="s">
        <v>2888</v>
      </c>
      <c r="P6" s="1554" t="s">
        <v>1742</v>
      </c>
      <c r="Q6" s="3650" t="s">
        <v>8252</v>
      </c>
      <c r="R6" s="3650" t="s">
        <v>8253</v>
      </c>
      <c r="S6" s="3650" t="s">
        <v>8254</v>
      </c>
      <c r="T6" s="1583"/>
      <c r="U6" s="1503"/>
      <c r="V6" s="2282" t="s">
        <v>6621</v>
      </c>
      <c r="W6" s="1550" t="s">
        <v>5523</v>
      </c>
    </row>
    <row r="7" spans="1:23" ht="23.25" x14ac:dyDescent="0.35">
      <c r="A7" s="1342">
        <v>6</v>
      </c>
      <c r="B7" s="680" t="str">
        <f t="shared" si="0"/>
        <v/>
      </c>
      <c r="C7" s="1575" t="str">
        <f t="shared" si="1"/>
        <v/>
      </c>
      <c r="D7" s="1580" t="s">
        <v>13</v>
      </c>
      <c r="E7" s="1581"/>
      <c r="F7" s="1554"/>
      <c r="G7" s="1584" t="s">
        <v>8</v>
      </c>
      <c r="H7" s="1554"/>
      <c r="I7" s="1582"/>
      <c r="J7" s="1554"/>
      <c r="K7" s="1582"/>
      <c r="L7" s="1554"/>
      <c r="M7" s="1582"/>
      <c r="N7" s="1582"/>
      <c r="O7" s="1582"/>
      <c r="P7" s="1582"/>
      <c r="Q7" s="3657"/>
      <c r="R7" s="3658"/>
      <c r="S7" s="3658"/>
      <c r="T7" s="1585"/>
      <c r="U7" s="1503"/>
      <c r="V7" s="2282" t="s">
        <v>6614</v>
      </c>
      <c r="W7" s="1550"/>
    </row>
    <row r="8" spans="1:23" ht="12.75" x14ac:dyDescent="0.35">
      <c r="A8" s="1342">
        <v>7</v>
      </c>
      <c r="B8" s="680" t="str">
        <f t="shared" si="0"/>
        <v/>
      </c>
      <c r="C8" s="1575" t="str">
        <f t="shared" si="1"/>
        <v/>
      </c>
      <c r="D8" s="1580" t="s">
        <v>14</v>
      </c>
      <c r="E8" s="1581"/>
      <c r="F8" s="1582" t="s">
        <v>1237</v>
      </c>
      <c r="G8" s="1582" t="s">
        <v>1237</v>
      </c>
      <c r="H8" s="1582" t="s">
        <v>1237</v>
      </c>
      <c r="I8" s="1582" t="s">
        <v>583</v>
      </c>
      <c r="J8" s="1582" t="s">
        <v>1237</v>
      </c>
      <c r="K8" s="1582" t="s">
        <v>1237</v>
      </c>
      <c r="L8" s="1582" t="s">
        <v>1237</v>
      </c>
      <c r="M8" s="1582" t="s">
        <v>1237</v>
      </c>
      <c r="N8" s="1582" t="s">
        <v>1237</v>
      </c>
      <c r="O8" s="1582" t="s">
        <v>1237</v>
      </c>
      <c r="P8" s="1582" t="s">
        <v>1237</v>
      </c>
      <c r="Q8" s="3658" t="s">
        <v>1237</v>
      </c>
      <c r="R8" s="3658" t="s">
        <v>1237</v>
      </c>
      <c r="S8" s="3658" t="s">
        <v>1237</v>
      </c>
      <c r="T8" s="1585"/>
      <c r="U8" s="1503"/>
      <c r="V8" s="2282" t="s">
        <v>6655</v>
      </c>
      <c r="W8" s="1550"/>
    </row>
    <row r="9" spans="1:23" ht="34.9" x14ac:dyDescent="0.35">
      <c r="A9" s="1342">
        <v>8</v>
      </c>
      <c r="B9" s="680" t="str">
        <f t="shared" si="0"/>
        <v/>
      </c>
      <c r="C9" s="1575" t="str">
        <f t="shared" si="1"/>
        <v/>
      </c>
      <c r="D9" s="1580" t="s">
        <v>1790</v>
      </c>
      <c r="E9" s="1588" t="str">
        <f>"If you ceased being a director before 6 April "&amp;Tax_year_end&amp;", put the date the directorship ceased in the box DD MM YYYY"</f>
        <v>If you ceased being a director before 6 April 2018, put the date the directorship ceased in the box DD MM YYYY</v>
      </c>
      <c r="F9" s="1582"/>
      <c r="G9" s="1582"/>
      <c r="H9" s="1582"/>
      <c r="I9" s="1582" t="str">
        <f>"02 07 "&amp;Tax_year_start</f>
        <v>02 07 2017</v>
      </c>
      <c r="J9" s="1582"/>
      <c r="K9" s="1582"/>
      <c r="L9" s="1582"/>
      <c r="M9" s="1582"/>
      <c r="N9" s="1582"/>
      <c r="O9" s="1582"/>
      <c r="P9" s="1582"/>
      <c r="Q9" s="3657"/>
      <c r="R9" s="3658"/>
      <c r="S9" s="3658"/>
      <c r="T9" s="1585"/>
      <c r="U9" s="1503"/>
      <c r="V9" s="2282" t="s">
        <v>6656</v>
      </c>
      <c r="W9" s="1551" t="s">
        <v>5524</v>
      </c>
    </row>
    <row r="10" spans="1:23" ht="13.15" x14ac:dyDescent="0.35">
      <c r="A10" s="1342">
        <v>9</v>
      </c>
      <c r="B10" s="680" t="str">
        <f t="shared" si="0"/>
        <v/>
      </c>
      <c r="C10" s="1575" t="str">
        <f t="shared" si="1"/>
        <v/>
      </c>
      <c r="D10" s="1580" t="s">
        <v>1446</v>
      </c>
      <c r="E10" s="1581"/>
      <c r="F10" s="1582" t="s">
        <v>1237</v>
      </c>
      <c r="G10" s="1582" t="s">
        <v>1237</v>
      </c>
      <c r="H10" s="1582" t="s">
        <v>1237</v>
      </c>
      <c r="I10" s="1582" t="s">
        <v>583</v>
      </c>
      <c r="J10" s="1582" t="s">
        <v>1237</v>
      </c>
      <c r="K10" s="1582" t="s">
        <v>1237</v>
      </c>
      <c r="L10" s="1582" t="s">
        <v>1237</v>
      </c>
      <c r="M10" s="1582" t="s">
        <v>1237</v>
      </c>
      <c r="N10" s="1582" t="s">
        <v>1237</v>
      </c>
      <c r="O10" s="1582" t="s">
        <v>1237</v>
      </c>
      <c r="P10" s="1582" t="s">
        <v>1237</v>
      </c>
      <c r="Q10" s="3658" t="s">
        <v>1237</v>
      </c>
      <c r="R10" s="3658" t="s">
        <v>1237</v>
      </c>
      <c r="S10" s="3658" t="s">
        <v>1237</v>
      </c>
      <c r="T10" s="1585"/>
      <c r="U10" s="1503"/>
      <c r="V10" s="2282" t="s">
        <v>6620</v>
      </c>
      <c r="W10" s="1502"/>
    </row>
    <row r="11" spans="1:23" ht="13.15" x14ac:dyDescent="0.35">
      <c r="A11" s="1342">
        <v>10</v>
      </c>
      <c r="B11" s="680" t="str">
        <f t="shared" si="0"/>
        <v/>
      </c>
      <c r="C11" s="1575" t="str">
        <f t="shared" si="1"/>
        <v/>
      </c>
      <c r="D11" s="1991" t="s">
        <v>1447</v>
      </c>
      <c r="E11" s="1992"/>
      <c r="F11" s="1996"/>
      <c r="G11" s="1996"/>
      <c r="H11" s="1630" t="s">
        <v>583</v>
      </c>
      <c r="I11" s="1630"/>
      <c r="J11" s="1996"/>
      <c r="K11" s="1630"/>
      <c r="L11" s="1630"/>
      <c r="M11" s="1630"/>
      <c r="N11" s="1630"/>
      <c r="O11" s="1630"/>
      <c r="P11" s="1630"/>
      <c r="Q11" s="3557"/>
      <c r="R11" s="3659"/>
      <c r="S11" s="3659"/>
      <c r="T11" s="1997"/>
      <c r="U11" s="1503"/>
      <c r="V11" s="2282" t="s">
        <v>6620</v>
      </c>
      <c r="W11" s="1502"/>
    </row>
    <row r="12" spans="1:23" ht="13.15" x14ac:dyDescent="0.35">
      <c r="A12" s="1342">
        <v>11</v>
      </c>
      <c r="B12" s="680" t="str">
        <f t="shared" si="0"/>
        <v/>
      </c>
      <c r="C12" s="1575" t="str">
        <f t="shared" si="1"/>
        <v/>
      </c>
      <c r="D12" s="1991" t="s">
        <v>1448</v>
      </c>
      <c r="E12" s="1992"/>
      <c r="F12" s="2386"/>
      <c r="G12" s="2386">
        <v>2250</v>
      </c>
      <c r="H12" s="2386"/>
      <c r="I12" s="2382">
        <v>3600</v>
      </c>
      <c r="J12" s="2386"/>
      <c r="K12" s="2386"/>
      <c r="L12" s="2386"/>
      <c r="M12" s="2386"/>
      <c r="N12" s="2386">
        <v>9000</v>
      </c>
      <c r="O12" s="2386"/>
      <c r="P12" s="2386"/>
      <c r="Q12" s="3556"/>
      <c r="R12" s="3656"/>
      <c r="S12" s="3656"/>
      <c r="T12" s="2414"/>
      <c r="U12" s="1503"/>
      <c r="V12" s="2282" t="s">
        <v>6617</v>
      </c>
      <c r="W12" s="1502"/>
    </row>
    <row r="13" spans="1:23" ht="13.15" x14ac:dyDescent="0.35">
      <c r="A13" s="1342">
        <v>12</v>
      </c>
      <c r="B13" s="680" t="str">
        <f t="shared" si="0"/>
        <v/>
      </c>
      <c r="C13" s="1575" t="str">
        <f t="shared" si="1"/>
        <v/>
      </c>
      <c r="D13" s="1991" t="s">
        <v>1449</v>
      </c>
      <c r="E13" s="1992"/>
      <c r="F13" s="2386"/>
      <c r="G13" s="2386">
        <v>650</v>
      </c>
      <c r="H13" s="2386"/>
      <c r="I13" s="2382"/>
      <c r="J13" s="2386"/>
      <c r="K13" s="2386"/>
      <c r="L13" s="2386"/>
      <c r="M13" s="2386"/>
      <c r="N13" s="2386"/>
      <c r="O13" s="2386"/>
      <c r="P13" s="2386"/>
      <c r="Q13" s="3556"/>
      <c r="R13" s="3656"/>
      <c r="S13" s="3656"/>
      <c r="T13" s="2414"/>
      <c r="U13" s="1503"/>
      <c r="V13" s="2282" t="s">
        <v>6617</v>
      </c>
      <c r="W13" s="1502"/>
    </row>
    <row r="14" spans="1:23" ht="13.15" x14ac:dyDescent="0.35">
      <c r="A14" s="1342">
        <v>13</v>
      </c>
      <c r="B14" s="680" t="str">
        <f t="shared" si="0"/>
        <v/>
      </c>
      <c r="C14" s="1575" t="str">
        <f t="shared" si="1"/>
        <v/>
      </c>
      <c r="D14" s="1991" t="s">
        <v>1450</v>
      </c>
      <c r="E14" s="1992"/>
      <c r="F14" s="2386"/>
      <c r="G14" s="2386">
        <v>75</v>
      </c>
      <c r="H14" s="2386"/>
      <c r="I14" s="2382">
        <v>350</v>
      </c>
      <c r="J14" s="2386"/>
      <c r="K14" s="2386">
        <v>500</v>
      </c>
      <c r="L14" s="2386"/>
      <c r="M14" s="2386"/>
      <c r="N14" s="2386"/>
      <c r="O14" s="2386"/>
      <c r="P14" s="2386"/>
      <c r="Q14" s="3556"/>
      <c r="R14" s="3656"/>
      <c r="S14" s="3656"/>
      <c r="T14" s="2414"/>
      <c r="U14" s="1503"/>
      <c r="V14" s="2282" t="s">
        <v>6617</v>
      </c>
      <c r="W14" s="1502"/>
    </row>
    <row r="15" spans="1:23" ht="13.15" x14ac:dyDescent="0.35">
      <c r="A15" s="1342">
        <v>14</v>
      </c>
      <c r="B15" s="680" t="str">
        <f t="shared" si="0"/>
        <v/>
      </c>
      <c r="C15" s="1575" t="str">
        <f t="shared" si="1"/>
        <v/>
      </c>
      <c r="D15" s="1991" t="s">
        <v>1951</v>
      </c>
      <c r="E15" s="1992"/>
      <c r="F15" s="2386"/>
      <c r="G15" s="2386"/>
      <c r="H15" s="2386"/>
      <c r="I15" s="2382"/>
      <c r="J15" s="2386">
        <v>600</v>
      </c>
      <c r="K15" s="2386"/>
      <c r="L15" s="2386"/>
      <c r="M15" s="2386"/>
      <c r="N15" s="2386"/>
      <c r="O15" s="2386"/>
      <c r="P15" s="2386"/>
      <c r="Q15" s="3556"/>
      <c r="R15" s="3656"/>
      <c r="S15" s="3656"/>
      <c r="T15" s="2414"/>
      <c r="U15" s="1503"/>
      <c r="V15" s="2282" t="s">
        <v>6617</v>
      </c>
      <c r="W15" s="1502"/>
    </row>
    <row r="16" spans="1:23" ht="13.15" x14ac:dyDescent="0.35">
      <c r="A16" s="1342">
        <v>15</v>
      </c>
      <c r="B16" s="680" t="str">
        <f t="shared" si="0"/>
        <v/>
      </c>
      <c r="C16" s="1575" t="str">
        <f t="shared" si="1"/>
        <v/>
      </c>
      <c r="D16" s="1991" t="s">
        <v>1952</v>
      </c>
      <c r="E16" s="1992"/>
      <c r="F16" s="2386"/>
      <c r="G16" s="2386"/>
      <c r="H16" s="2386"/>
      <c r="I16" s="2382"/>
      <c r="J16" s="2386"/>
      <c r="K16" s="2386">
        <v>5000</v>
      </c>
      <c r="L16" s="2386"/>
      <c r="M16" s="2386"/>
      <c r="N16" s="2386"/>
      <c r="O16" s="2386"/>
      <c r="P16" s="2386"/>
      <c r="Q16" s="3556"/>
      <c r="R16" s="3656"/>
      <c r="S16" s="3656"/>
      <c r="T16" s="2414"/>
      <c r="U16" s="1503"/>
      <c r="V16" s="2282" t="s">
        <v>6617</v>
      </c>
      <c r="W16" s="1502"/>
    </row>
    <row r="17" spans="1:23" ht="13.15" x14ac:dyDescent="0.35">
      <c r="A17" s="1342">
        <v>16</v>
      </c>
      <c r="B17" s="680" t="str">
        <f t="shared" si="0"/>
        <v/>
      </c>
      <c r="C17" s="1575" t="str">
        <f t="shared" si="1"/>
        <v/>
      </c>
      <c r="D17" s="1991" t="s">
        <v>3393</v>
      </c>
      <c r="E17" s="1992"/>
      <c r="F17" s="2386"/>
      <c r="G17" s="2386"/>
      <c r="H17" s="2386"/>
      <c r="I17" s="2382"/>
      <c r="J17" s="2386"/>
      <c r="K17" s="2386">
        <v>7500</v>
      </c>
      <c r="L17" s="2386"/>
      <c r="M17" s="2386"/>
      <c r="N17" s="2386"/>
      <c r="O17" s="2386"/>
      <c r="P17" s="2386"/>
      <c r="Q17" s="3556"/>
      <c r="R17" s="3656"/>
      <c r="S17" s="3656"/>
      <c r="T17" s="2414"/>
      <c r="U17" s="1503"/>
      <c r="V17" s="2282" t="s">
        <v>6617</v>
      </c>
      <c r="W17" s="1502"/>
    </row>
    <row r="18" spans="1:23" ht="13.15" x14ac:dyDescent="0.35">
      <c r="A18" s="1342">
        <v>17</v>
      </c>
      <c r="B18" s="680" t="str">
        <f t="shared" si="0"/>
        <v/>
      </c>
      <c r="C18" s="1575" t="str">
        <f t="shared" si="1"/>
        <v/>
      </c>
      <c r="D18" s="1991" t="s">
        <v>3363</v>
      </c>
      <c r="E18" s="1992"/>
      <c r="F18" s="2386"/>
      <c r="G18" s="2386"/>
      <c r="H18" s="2386"/>
      <c r="I18" s="2382">
        <v>7500</v>
      </c>
      <c r="J18" s="2386"/>
      <c r="K18" s="2386"/>
      <c r="L18" s="2386"/>
      <c r="M18" s="2386"/>
      <c r="N18" s="2386"/>
      <c r="O18" s="2386"/>
      <c r="P18" s="2386"/>
      <c r="Q18" s="3556"/>
      <c r="R18" s="3656"/>
      <c r="S18" s="3656"/>
      <c r="T18" s="2414"/>
      <c r="U18" s="1503"/>
      <c r="V18" s="2282" t="s">
        <v>6617</v>
      </c>
      <c r="W18" s="1502"/>
    </row>
    <row r="19" spans="1:23" ht="13.15" x14ac:dyDescent="0.35">
      <c r="A19" s="1342">
        <v>18</v>
      </c>
      <c r="B19" s="680" t="str">
        <f t="shared" si="0"/>
        <v/>
      </c>
      <c r="C19" s="1575" t="str">
        <f t="shared" si="1"/>
        <v/>
      </c>
      <c r="D19" s="1991" t="s">
        <v>3364</v>
      </c>
      <c r="E19" s="1992"/>
      <c r="F19" s="2386"/>
      <c r="G19" s="2386"/>
      <c r="H19" s="2386"/>
      <c r="I19" s="2382">
        <v>4500</v>
      </c>
      <c r="J19" s="2386"/>
      <c r="K19" s="2386"/>
      <c r="L19" s="2386"/>
      <c r="M19" s="2386"/>
      <c r="N19" s="2386"/>
      <c r="O19" s="2386"/>
      <c r="P19" s="2386"/>
      <c r="Q19" s="3556"/>
      <c r="R19" s="3656"/>
      <c r="S19" s="3656"/>
      <c r="T19" s="2414"/>
      <c r="U19" s="1503"/>
      <c r="V19" s="2282" t="s">
        <v>6617</v>
      </c>
      <c r="W19" s="1502"/>
    </row>
    <row r="20" spans="1:23" ht="13.15" x14ac:dyDescent="0.35">
      <c r="A20" s="1342">
        <v>19</v>
      </c>
      <c r="B20" s="680" t="str">
        <f t="shared" si="0"/>
        <v/>
      </c>
      <c r="C20" s="1575" t="str">
        <f t="shared" si="1"/>
        <v/>
      </c>
      <c r="D20" s="1991" t="s">
        <v>3365</v>
      </c>
      <c r="E20" s="1992"/>
      <c r="F20" s="2386"/>
      <c r="G20" s="2386"/>
      <c r="H20" s="2386"/>
      <c r="I20" s="2382">
        <v>5000</v>
      </c>
      <c r="J20" s="2386"/>
      <c r="K20" s="2386"/>
      <c r="L20" s="2386"/>
      <c r="M20" s="2386"/>
      <c r="N20" s="2386"/>
      <c r="O20" s="2386"/>
      <c r="P20" s="2386"/>
      <c r="Q20" s="3556"/>
      <c r="R20" s="3656"/>
      <c r="S20" s="3656"/>
      <c r="T20" s="2414"/>
      <c r="U20" s="1503"/>
      <c r="V20" s="2282" t="s">
        <v>6617</v>
      </c>
      <c r="W20" s="1502"/>
    </row>
    <row r="21" spans="1:23" ht="13.15" x14ac:dyDescent="0.35">
      <c r="A21" s="1342">
        <v>20</v>
      </c>
      <c r="B21" s="680" t="str">
        <f t="shared" si="0"/>
        <v/>
      </c>
      <c r="C21" s="1575" t="str">
        <f t="shared" si="1"/>
        <v/>
      </c>
      <c r="D21" s="1991" t="s">
        <v>1609</v>
      </c>
      <c r="E21" s="1992"/>
      <c r="F21" s="2386"/>
      <c r="G21" s="2386">
        <v>75</v>
      </c>
      <c r="H21" s="2386"/>
      <c r="I21" s="2382"/>
      <c r="J21" s="2386"/>
      <c r="K21" s="2386"/>
      <c r="L21" s="2386"/>
      <c r="M21" s="2386"/>
      <c r="N21" s="2386"/>
      <c r="O21" s="2386">
        <v>450</v>
      </c>
      <c r="P21" s="2386">
        <v>450</v>
      </c>
      <c r="Q21" s="3556"/>
      <c r="R21" s="3656"/>
      <c r="S21" s="3656"/>
      <c r="T21" s="2414"/>
      <c r="U21" s="1503"/>
      <c r="V21" s="2282" t="s">
        <v>6617</v>
      </c>
      <c r="W21" s="1502"/>
    </row>
    <row r="22" spans="1:23" ht="13.15" x14ac:dyDescent="0.35">
      <c r="A22" s="1342">
        <v>21</v>
      </c>
      <c r="B22" s="680" t="str">
        <f t="shared" si="0"/>
        <v/>
      </c>
      <c r="C22" s="1575" t="str">
        <f t="shared" si="1"/>
        <v/>
      </c>
      <c r="D22" s="1991" t="s">
        <v>1610</v>
      </c>
      <c r="E22" s="1992"/>
      <c r="F22" s="2386"/>
      <c r="G22" s="2386"/>
      <c r="H22" s="2386"/>
      <c r="I22" s="2382"/>
      <c r="J22" s="2386">
        <v>150</v>
      </c>
      <c r="K22" s="2386">
        <v>175</v>
      </c>
      <c r="L22" s="2386"/>
      <c r="M22" s="2386"/>
      <c r="N22" s="2386"/>
      <c r="O22" s="2386"/>
      <c r="P22" s="2386"/>
      <c r="Q22" s="3556"/>
      <c r="R22" s="3656"/>
      <c r="S22" s="3656"/>
      <c r="T22" s="2414"/>
      <c r="U22" s="1503"/>
      <c r="V22" s="2282" t="s">
        <v>6617</v>
      </c>
      <c r="W22" s="1502"/>
    </row>
    <row r="23" spans="1:23" ht="13.5" thickBot="1" x14ac:dyDescent="0.4">
      <c r="A23" s="1342">
        <v>22</v>
      </c>
      <c r="B23" s="680" t="str">
        <f t="shared" si="0"/>
        <v/>
      </c>
      <c r="C23" s="1575" t="str">
        <f t="shared" si="1"/>
        <v/>
      </c>
      <c r="D23" s="1998" t="s">
        <v>1611</v>
      </c>
      <c r="E23" s="1999"/>
      <c r="F23" s="2415"/>
      <c r="G23" s="2415"/>
      <c r="H23" s="2415"/>
      <c r="I23" s="2416"/>
      <c r="J23" s="2415">
        <v>85</v>
      </c>
      <c r="K23" s="2415"/>
      <c r="L23" s="2415"/>
      <c r="M23" s="2415"/>
      <c r="N23" s="2415"/>
      <c r="O23" s="2415"/>
      <c r="P23" s="2415"/>
      <c r="Q23" s="3558"/>
      <c r="R23" s="3660"/>
      <c r="S23" s="3660"/>
      <c r="T23" s="2417"/>
      <c r="U23" s="1503"/>
      <c r="V23" s="2282" t="s">
        <v>6617</v>
      </c>
      <c r="W23" s="1502"/>
    </row>
    <row r="24" spans="1:23" ht="12" thickBot="1" x14ac:dyDescent="0.4"/>
    <row r="25" spans="1:23" ht="13.15" x14ac:dyDescent="0.4">
      <c r="A25" s="1342" t="s">
        <v>4845</v>
      </c>
      <c r="C25" s="676" t="s">
        <v>4210</v>
      </c>
      <c r="D25" s="1775" t="s">
        <v>2184</v>
      </c>
      <c r="E25" s="1744"/>
      <c r="F25" s="1745">
        <v>1</v>
      </c>
      <c r="G25" s="1348">
        <v>2</v>
      </c>
      <c r="H25" s="1348">
        <v>3</v>
      </c>
      <c r="I25" s="1348">
        <v>4</v>
      </c>
      <c r="J25" s="1348">
        <v>5</v>
      </c>
      <c r="K25" s="1348">
        <v>6</v>
      </c>
      <c r="L25" s="1348">
        <v>7</v>
      </c>
      <c r="M25" s="1348">
        <v>8</v>
      </c>
      <c r="N25" s="1348">
        <v>9</v>
      </c>
      <c r="O25" s="1348">
        <v>10</v>
      </c>
      <c r="P25" s="1348">
        <v>11</v>
      </c>
      <c r="Q25" s="1544">
        <v>12</v>
      </c>
      <c r="R25" s="1544">
        <v>13</v>
      </c>
      <c r="S25" s="1544">
        <v>14</v>
      </c>
      <c r="T25" s="1349">
        <v>115</v>
      </c>
      <c r="U25" s="1503"/>
      <c r="V25" s="2374" t="s">
        <v>6613</v>
      </c>
      <c r="W25" s="1469"/>
    </row>
    <row r="26" spans="1:23" ht="12.75" x14ac:dyDescent="0.35">
      <c r="A26" s="1342">
        <v>2</v>
      </c>
      <c r="C26" s="1743" t="str">
        <f t="shared" ref="C26:C64" si="3">IF(MOR_IND&gt;1,IF(HLOOKUP(MOR_IND-1,MOR_RANGE,A26)="","",HLOOKUP(MOR_IND-1,MOR_RANGE,A26)),"")</f>
        <v/>
      </c>
      <c r="D26" s="1580" t="s">
        <v>1612</v>
      </c>
      <c r="E26" s="1746" t="s">
        <v>5233</v>
      </c>
      <c r="F26" s="1717" t="s">
        <v>2593</v>
      </c>
      <c r="G26" s="1717" t="s">
        <v>697</v>
      </c>
      <c r="H26" s="1717" t="s">
        <v>698</v>
      </c>
      <c r="I26" s="1717" t="s">
        <v>3612</v>
      </c>
      <c r="J26" s="1717" t="s">
        <v>2889</v>
      </c>
      <c r="K26" s="1717" t="s">
        <v>2593</v>
      </c>
      <c r="L26" s="2301"/>
      <c r="M26" s="2301"/>
      <c r="N26" s="2301"/>
      <c r="O26" s="2301"/>
      <c r="P26" s="2301"/>
      <c r="Q26" s="3559"/>
      <c r="R26" s="3559"/>
      <c r="S26" s="3559"/>
      <c r="T26" s="2302"/>
      <c r="U26" s="1503"/>
      <c r="V26" s="2282" t="s">
        <v>6614</v>
      </c>
      <c r="W26" s="1469"/>
    </row>
    <row r="27" spans="1:23" ht="12.75" x14ac:dyDescent="0.35">
      <c r="A27" s="1342">
        <v>3</v>
      </c>
      <c r="C27" s="1743" t="str">
        <f t="shared" si="3"/>
        <v/>
      </c>
      <c r="D27" s="1580" t="s">
        <v>1613</v>
      </c>
      <c r="E27" s="1746" t="s">
        <v>5234</v>
      </c>
      <c r="F27" s="2404">
        <v>15250</v>
      </c>
      <c r="G27" s="2404">
        <v>14767</v>
      </c>
      <c r="H27" s="2404">
        <v>8000</v>
      </c>
      <c r="I27" s="2404">
        <v>4500</v>
      </c>
      <c r="J27" s="2404">
        <v>8000</v>
      </c>
      <c r="K27" s="2404">
        <v>10000</v>
      </c>
      <c r="L27" s="2422"/>
      <c r="M27" s="2422"/>
      <c r="N27" s="2422"/>
      <c r="O27" s="2422"/>
      <c r="P27" s="2422"/>
      <c r="Q27" s="3560"/>
      <c r="R27" s="3560"/>
      <c r="S27" s="3560"/>
      <c r="T27" s="2423"/>
      <c r="U27" s="1503"/>
      <c r="V27" s="2282" t="s">
        <v>6617</v>
      </c>
      <c r="W27" s="1469"/>
    </row>
    <row r="28" spans="1:23" ht="12.75" x14ac:dyDescent="0.35">
      <c r="A28" s="1342">
        <v>4</v>
      </c>
      <c r="C28" s="1743" t="str">
        <f t="shared" si="3"/>
        <v/>
      </c>
      <c r="D28" s="1580" t="s">
        <v>1614</v>
      </c>
      <c r="E28" s="1746" t="s">
        <v>5235</v>
      </c>
      <c r="F28" s="1747">
        <f t="shared" ref="F28:K28" si="4">MAX((F27-P_A)*BR_rate,0)+MAX((F27-P_A-HR_band)*BR_rate,0)</f>
        <v>750</v>
      </c>
      <c r="G28" s="1747">
        <f t="shared" si="4"/>
        <v>653.40000000000009</v>
      </c>
      <c r="H28" s="1747">
        <f t="shared" si="4"/>
        <v>0</v>
      </c>
      <c r="I28" s="1747">
        <f t="shared" si="4"/>
        <v>0</v>
      </c>
      <c r="J28" s="1747">
        <f t="shared" si="4"/>
        <v>0</v>
      </c>
      <c r="K28" s="1747">
        <f t="shared" si="4"/>
        <v>0</v>
      </c>
      <c r="L28" s="2424"/>
      <c r="M28" s="2424"/>
      <c r="N28" s="2424"/>
      <c r="O28" s="2424"/>
      <c r="P28" s="2424"/>
      <c r="Q28" s="3561"/>
      <c r="R28" s="3561"/>
      <c r="S28" s="3561"/>
      <c r="T28" s="2425"/>
      <c r="U28" s="1503"/>
      <c r="V28" s="2282" t="s">
        <v>6654</v>
      </c>
      <c r="W28" s="1469"/>
    </row>
    <row r="29" spans="1:23" ht="12.75" x14ac:dyDescent="0.35">
      <c r="A29" s="1342">
        <v>5</v>
      </c>
      <c r="C29" s="1743" t="str">
        <f t="shared" si="3"/>
        <v/>
      </c>
      <c r="D29" s="1580" t="s">
        <v>1615</v>
      </c>
      <c r="E29" s="1746" t="s">
        <v>5236</v>
      </c>
      <c r="F29" s="2404">
        <v>1200</v>
      </c>
      <c r="G29" s="2404"/>
      <c r="H29" s="2404"/>
      <c r="I29" s="2404"/>
      <c r="J29" s="2404"/>
      <c r="K29" s="2404"/>
      <c r="L29" s="2422"/>
      <c r="M29" s="2422"/>
      <c r="N29" s="2422"/>
      <c r="O29" s="2422"/>
      <c r="P29" s="2422"/>
      <c r="Q29" s="3560"/>
      <c r="R29" s="3560"/>
      <c r="S29" s="3560"/>
      <c r="T29" s="2423"/>
      <c r="U29" s="1503"/>
      <c r="V29" s="2282" t="s">
        <v>6617</v>
      </c>
      <c r="W29" s="1469"/>
    </row>
    <row r="30" spans="1:23" ht="12.75" x14ac:dyDescent="0.35">
      <c r="A30" s="1342">
        <v>6</v>
      </c>
      <c r="C30" s="1743" t="str">
        <f t="shared" si="3"/>
        <v/>
      </c>
      <c r="D30" s="1580" t="s">
        <v>1616</v>
      </c>
      <c r="E30" s="1746" t="s">
        <v>5237</v>
      </c>
      <c r="F30" s="2404">
        <v>1525</v>
      </c>
      <c r="G30" s="2404"/>
      <c r="H30" s="2404">
        <v>750</v>
      </c>
      <c r="I30" s="2405"/>
      <c r="J30" s="2404">
        <v>225</v>
      </c>
      <c r="K30" s="2404">
        <v>492</v>
      </c>
      <c r="L30" s="2422"/>
      <c r="M30" s="2422"/>
      <c r="N30" s="2422"/>
      <c r="O30" s="2422"/>
      <c r="P30" s="2422"/>
      <c r="Q30" s="3560"/>
      <c r="R30" s="3560"/>
      <c r="S30" s="3560"/>
      <c r="T30" s="2423"/>
      <c r="U30" s="1503"/>
      <c r="V30" s="2282" t="s">
        <v>6617</v>
      </c>
      <c r="W30" s="1469"/>
    </row>
    <row r="31" spans="1:23" ht="12.75" x14ac:dyDescent="0.35">
      <c r="A31" s="1342">
        <v>7</v>
      </c>
      <c r="C31" s="1743" t="str">
        <f t="shared" si="3"/>
        <v/>
      </c>
      <c r="D31" s="1991" t="s">
        <v>1617</v>
      </c>
      <c r="E31" s="2000" t="s">
        <v>5238</v>
      </c>
      <c r="F31" s="2406"/>
      <c r="G31" s="2406">
        <v>2500</v>
      </c>
      <c r="H31" s="2406"/>
      <c r="I31" s="2406"/>
      <c r="J31" s="2406"/>
      <c r="K31" s="2406"/>
      <c r="L31" s="2426"/>
      <c r="M31" s="2426"/>
      <c r="N31" s="2426"/>
      <c r="O31" s="2426"/>
      <c r="P31" s="2426"/>
      <c r="Q31" s="3562"/>
      <c r="R31" s="3562"/>
      <c r="S31" s="3562"/>
      <c r="T31" s="2427"/>
      <c r="U31" s="1503"/>
      <c r="V31" s="2282" t="s">
        <v>6617</v>
      </c>
      <c r="W31" s="1469"/>
    </row>
    <row r="32" spans="1:23" ht="12.75" x14ac:dyDescent="0.35">
      <c r="A32" s="1342">
        <v>8</v>
      </c>
      <c r="C32" s="1743" t="str">
        <f t="shared" si="3"/>
        <v/>
      </c>
      <c r="D32" s="1580" t="s">
        <v>1618</v>
      </c>
      <c r="E32" s="1746" t="s">
        <v>5239</v>
      </c>
      <c r="F32" s="2404"/>
      <c r="G32" s="2404">
        <v>1600</v>
      </c>
      <c r="H32" s="2404"/>
      <c r="I32" s="2404"/>
      <c r="J32" s="2404"/>
      <c r="K32" s="2404"/>
      <c r="L32" s="2422"/>
      <c r="M32" s="2422"/>
      <c r="N32" s="2422"/>
      <c r="O32" s="2422"/>
      <c r="P32" s="2422"/>
      <c r="Q32" s="3560"/>
      <c r="R32" s="3560"/>
      <c r="S32" s="3560"/>
      <c r="T32" s="2423"/>
      <c r="U32" s="1503"/>
      <c r="V32" s="2282" t="s">
        <v>6617</v>
      </c>
      <c r="W32" s="1469"/>
    </row>
    <row r="33" spans="1:23" ht="12.75" x14ac:dyDescent="0.35">
      <c r="A33" s="1342">
        <v>9</v>
      </c>
      <c r="C33" s="1743" t="str">
        <f t="shared" si="3"/>
        <v/>
      </c>
      <c r="D33" s="1580" t="s">
        <v>1619</v>
      </c>
      <c r="E33" s="1746" t="s">
        <v>5240</v>
      </c>
      <c r="F33" s="2404"/>
      <c r="G33" s="2404">
        <v>352</v>
      </c>
      <c r="H33" s="2404">
        <v>1200</v>
      </c>
      <c r="I33" s="2404"/>
      <c r="J33" s="2404"/>
      <c r="K33" s="2404"/>
      <c r="L33" s="2422"/>
      <c r="M33" s="2422"/>
      <c r="N33" s="2422"/>
      <c r="O33" s="2422"/>
      <c r="P33" s="2422"/>
      <c r="Q33" s="3560"/>
      <c r="R33" s="3560"/>
      <c r="S33" s="3560"/>
      <c r="T33" s="2423"/>
      <c r="U33" s="1503"/>
      <c r="V33" s="2282" t="s">
        <v>6617</v>
      </c>
      <c r="W33" s="1469"/>
    </row>
    <row r="34" spans="1:23" ht="12.75" x14ac:dyDescent="0.35">
      <c r="A34" s="1342">
        <v>10</v>
      </c>
      <c r="C34" s="1743" t="str">
        <f t="shared" si="3"/>
        <v/>
      </c>
      <c r="D34" s="1580" t="s">
        <v>1672</v>
      </c>
      <c r="E34" s="1746" t="s">
        <v>5241</v>
      </c>
      <c r="F34" s="2404"/>
      <c r="G34" s="2404"/>
      <c r="H34" s="2404">
        <v>264</v>
      </c>
      <c r="I34" s="2404"/>
      <c r="J34" s="2404"/>
      <c r="K34" s="2404"/>
      <c r="L34" s="2422"/>
      <c r="M34" s="2422"/>
      <c r="N34" s="2422"/>
      <c r="O34" s="2422"/>
      <c r="P34" s="2422"/>
      <c r="Q34" s="3560"/>
      <c r="R34" s="3560"/>
      <c r="S34" s="3560"/>
      <c r="T34" s="2423"/>
      <c r="U34" s="1503"/>
      <c r="V34" s="2282" t="s">
        <v>6654</v>
      </c>
      <c r="W34" s="1469"/>
    </row>
    <row r="35" spans="1:23" ht="12.75" x14ac:dyDescent="0.35">
      <c r="A35" s="1342">
        <v>11</v>
      </c>
      <c r="C35" s="1743" t="str">
        <f t="shared" si="3"/>
        <v/>
      </c>
      <c r="D35" s="1580" t="s">
        <v>1673</v>
      </c>
      <c r="E35" s="1746" t="s">
        <v>5242</v>
      </c>
      <c r="F35" s="2404">
        <v>755</v>
      </c>
      <c r="G35" s="2404">
        <v>1133</v>
      </c>
      <c r="H35" s="2404"/>
      <c r="I35" s="2404"/>
      <c r="J35" s="2404">
        <v>1500</v>
      </c>
      <c r="K35" s="2404"/>
      <c r="L35" s="2422"/>
      <c r="M35" s="2422"/>
      <c r="N35" s="2422"/>
      <c r="O35" s="2422"/>
      <c r="P35" s="2422"/>
      <c r="Q35" s="3560"/>
      <c r="R35" s="3560"/>
      <c r="S35" s="3560"/>
      <c r="T35" s="2423"/>
      <c r="U35" s="1503"/>
      <c r="V35" s="2282" t="s">
        <v>6654</v>
      </c>
      <c r="W35" s="1469"/>
    </row>
    <row r="36" spans="1:23" ht="12.75" x14ac:dyDescent="0.35">
      <c r="A36" s="1342">
        <v>12</v>
      </c>
      <c r="C36" s="1743" t="str">
        <f t="shared" si="3"/>
        <v/>
      </c>
      <c r="D36" s="1580" t="s">
        <v>3701</v>
      </c>
      <c r="E36" s="1746" t="s">
        <v>5243</v>
      </c>
      <c r="F36" s="2404"/>
      <c r="G36" s="2404">
        <v>75</v>
      </c>
      <c r="H36" s="2404"/>
      <c r="I36" s="2404"/>
      <c r="J36" s="2404"/>
      <c r="K36" s="2404"/>
      <c r="L36" s="2422"/>
      <c r="M36" s="2422"/>
      <c r="N36" s="2422"/>
      <c r="O36" s="2422"/>
      <c r="P36" s="2422"/>
      <c r="Q36" s="3560"/>
      <c r="R36" s="3560"/>
      <c r="S36" s="3560"/>
      <c r="T36" s="2423"/>
      <c r="U36" s="1503"/>
      <c r="V36" s="2282" t="s">
        <v>6654</v>
      </c>
      <c r="W36" s="1469" t="s">
        <v>5511</v>
      </c>
    </row>
    <row r="37" spans="1:23" ht="13.15" x14ac:dyDescent="0.35">
      <c r="A37" s="1342">
        <v>13</v>
      </c>
      <c r="C37" s="1743" t="str">
        <f t="shared" si="3"/>
        <v/>
      </c>
      <c r="D37" s="1580" t="s">
        <v>3702</v>
      </c>
      <c r="E37" s="1746" t="s">
        <v>5244</v>
      </c>
      <c r="F37" s="2407">
        <f t="shared" ref="F37:K37" si="5">F27+F29+F30+F31+F32+F33+F35</f>
        <v>18730</v>
      </c>
      <c r="G37" s="2407">
        <f t="shared" si="5"/>
        <v>20352</v>
      </c>
      <c r="H37" s="2407">
        <f t="shared" si="5"/>
        <v>9950</v>
      </c>
      <c r="I37" s="2407">
        <f t="shared" si="5"/>
        <v>4500</v>
      </c>
      <c r="J37" s="2407">
        <f t="shared" si="5"/>
        <v>9725</v>
      </c>
      <c r="K37" s="2407">
        <f t="shared" si="5"/>
        <v>10492</v>
      </c>
      <c r="L37" s="2428"/>
      <c r="M37" s="2428"/>
      <c r="N37" s="2428"/>
      <c r="O37" s="2428"/>
      <c r="P37" s="2428"/>
      <c r="Q37" s="3563"/>
      <c r="R37" s="3563"/>
      <c r="S37" s="3563"/>
      <c r="T37" s="2429"/>
      <c r="U37" s="1503"/>
      <c r="V37" s="2282" t="s">
        <v>6617</v>
      </c>
      <c r="W37" s="1502"/>
    </row>
    <row r="38" spans="1:23" ht="13.15" x14ac:dyDescent="0.35">
      <c r="A38" s="1342">
        <v>14</v>
      </c>
      <c r="C38" s="1743" t="str">
        <f t="shared" si="3"/>
        <v/>
      </c>
      <c r="D38" s="1580" t="s">
        <v>3703</v>
      </c>
      <c r="E38" s="1746" t="s">
        <v>5245</v>
      </c>
      <c r="F38" s="2404">
        <v>480</v>
      </c>
      <c r="G38" s="2404">
        <v>465</v>
      </c>
      <c r="H38" s="2404"/>
      <c r="I38" s="2404"/>
      <c r="J38" s="2404">
        <v>375</v>
      </c>
      <c r="K38" s="2404">
        <v>108</v>
      </c>
      <c r="L38" s="2422"/>
      <c r="M38" s="2422"/>
      <c r="N38" s="2422"/>
      <c r="O38" s="2422"/>
      <c r="P38" s="2422"/>
      <c r="Q38" s="3560"/>
      <c r="R38" s="3560"/>
      <c r="S38" s="3560"/>
      <c r="T38" s="2423"/>
      <c r="U38" s="1503"/>
      <c r="V38" s="2282" t="s">
        <v>6617</v>
      </c>
      <c r="W38" s="1502"/>
    </row>
    <row r="39" spans="1:23" ht="13.15" x14ac:dyDescent="0.35">
      <c r="A39" s="1342">
        <v>15</v>
      </c>
      <c r="C39" s="1743" t="str">
        <f t="shared" si="3"/>
        <v/>
      </c>
      <c r="D39" s="1580" t="s">
        <v>3704</v>
      </c>
      <c r="E39" s="1746" t="s">
        <v>5246</v>
      </c>
      <c r="F39" s="2404">
        <v>1675</v>
      </c>
      <c r="G39" s="2404"/>
      <c r="H39" s="2404">
        <v>1800</v>
      </c>
      <c r="I39" s="2404"/>
      <c r="J39" s="2404"/>
      <c r="K39" s="2404"/>
      <c r="L39" s="2422"/>
      <c r="M39" s="2422"/>
      <c r="N39" s="2422"/>
      <c r="O39" s="2422"/>
      <c r="P39" s="2422"/>
      <c r="Q39" s="3560"/>
      <c r="R39" s="3560"/>
      <c r="S39" s="3560"/>
      <c r="T39" s="2423"/>
      <c r="U39" s="1503"/>
      <c r="V39" s="2282" t="s">
        <v>6617</v>
      </c>
      <c r="W39" s="1502"/>
    </row>
    <row r="40" spans="1:23" ht="13.15" x14ac:dyDescent="0.35">
      <c r="A40" s="1342">
        <v>16</v>
      </c>
      <c r="C40" s="1743" t="str">
        <f t="shared" si="3"/>
        <v/>
      </c>
      <c r="D40" s="1580" t="s">
        <v>3705</v>
      </c>
      <c r="E40" s="1746" t="s">
        <v>5247</v>
      </c>
      <c r="F40" s="2404"/>
      <c r="G40" s="2404"/>
      <c r="H40" s="2404">
        <v>600</v>
      </c>
      <c r="I40" s="2404"/>
      <c r="J40" s="2404"/>
      <c r="K40" s="2404"/>
      <c r="L40" s="2422"/>
      <c r="M40" s="2422"/>
      <c r="N40" s="2422"/>
      <c r="O40" s="2422"/>
      <c r="P40" s="2422"/>
      <c r="Q40" s="3560"/>
      <c r="R40" s="3560"/>
      <c r="S40" s="3560"/>
      <c r="T40" s="2423"/>
      <c r="U40" s="1503"/>
      <c r="V40" s="2282" t="s">
        <v>6617</v>
      </c>
      <c r="W40" s="1502"/>
    </row>
    <row r="41" spans="1:23" ht="13.15" x14ac:dyDescent="0.35">
      <c r="A41" s="1342">
        <v>17</v>
      </c>
      <c r="C41" s="1743" t="str">
        <f t="shared" si="3"/>
        <v/>
      </c>
      <c r="D41" s="1580" t="s">
        <v>3706</v>
      </c>
      <c r="E41" s="1746" t="s">
        <v>5248</v>
      </c>
      <c r="F41" s="2404"/>
      <c r="G41" s="2404"/>
      <c r="H41" s="2404">
        <v>1000</v>
      </c>
      <c r="I41" s="2404">
        <v>1250</v>
      </c>
      <c r="J41" s="2404"/>
      <c r="K41" s="2404"/>
      <c r="L41" s="2422"/>
      <c r="M41" s="2422"/>
      <c r="N41" s="2422"/>
      <c r="O41" s="2422"/>
      <c r="P41" s="2422"/>
      <c r="Q41" s="3560"/>
      <c r="R41" s="3560"/>
      <c r="S41" s="3560"/>
      <c r="T41" s="2423"/>
      <c r="U41" s="1503"/>
      <c r="V41" s="2282" t="s">
        <v>6617</v>
      </c>
      <c r="W41" s="1502"/>
    </row>
    <row r="42" spans="1:23" ht="13.15" x14ac:dyDescent="0.35">
      <c r="A42" s="1342">
        <v>18</v>
      </c>
      <c r="C42" s="1743" t="str">
        <f t="shared" si="3"/>
        <v/>
      </c>
      <c r="D42" s="1991" t="s">
        <v>2565</v>
      </c>
      <c r="E42" s="2000" t="s">
        <v>5249</v>
      </c>
      <c r="F42" s="2406">
        <v>1000</v>
      </c>
      <c r="G42" s="2406"/>
      <c r="H42" s="2406">
        <v>850</v>
      </c>
      <c r="I42" s="2406">
        <v>750</v>
      </c>
      <c r="J42" s="2406"/>
      <c r="K42" s="2406"/>
      <c r="L42" s="2426"/>
      <c r="M42" s="2426"/>
      <c r="N42" s="2426"/>
      <c r="O42" s="2426"/>
      <c r="P42" s="2426"/>
      <c r="Q42" s="3562"/>
      <c r="R42" s="3562"/>
      <c r="S42" s="3562"/>
      <c r="T42" s="2427"/>
      <c r="U42" s="1503"/>
      <c r="V42" s="2282" t="s">
        <v>6617</v>
      </c>
      <c r="W42" s="1502"/>
    </row>
    <row r="43" spans="1:23" ht="13.15" x14ac:dyDescent="0.35">
      <c r="A43" s="1342">
        <v>19</v>
      </c>
      <c r="C43" s="1743" t="str">
        <f t="shared" si="3"/>
        <v/>
      </c>
      <c r="D43" s="1580" t="s">
        <v>2566</v>
      </c>
      <c r="E43" s="1746" t="s">
        <v>1012</v>
      </c>
      <c r="F43" s="2404"/>
      <c r="G43" s="2404">
        <v>1600</v>
      </c>
      <c r="H43" s="2404"/>
      <c r="I43" s="2404"/>
      <c r="J43" s="2404">
        <v>500</v>
      </c>
      <c r="K43" s="2404"/>
      <c r="L43" s="2422"/>
      <c r="M43" s="2422"/>
      <c r="N43" s="2422"/>
      <c r="O43" s="2422"/>
      <c r="P43" s="2422"/>
      <c r="Q43" s="3560"/>
      <c r="R43" s="3560"/>
      <c r="S43" s="3560"/>
      <c r="T43" s="2423"/>
      <c r="U43" s="1503"/>
      <c r="V43" s="2282" t="s">
        <v>6617</v>
      </c>
      <c r="W43" s="1502"/>
    </row>
    <row r="44" spans="1:23" ht="12.75" x14ac:dyDescent="0.35">
      <c r="A44" s="1342">
        <v>20</v>
      </c>
      <c r="C44" s="1743" t="str">
        <f t="shared" si="3"/>
        <v/>
      </c>
      <c r="D44" s="1991" t="s">
        <v>2567</v>
      </c>
      <c r="E44" s="2000" t="s">
        <v>5250</v>
      </c>
      <c r="F44" s="2410">
        <f t="shared" ref="F44:K44" si="6">F38+F39+F40+F41+F42+F43</f>
        <v>3155</v>
      </c>
      <c r="G44" s="2410">
        <f t="shared" si="6"/>
        <v>2065</v>
      </c>
      <c r="H44" s="2410">
        <f t="shared" si="6"/>
        <v>4250</v>
      </c>
      <c r="I44" s="2410">
        <f t="shared" si="6"/>
        <v>2000</v>
      </c>
      <c r="J44" s="2410">
        <f t="shared" si="6"/>
        <v>875</v>
      </c>
      <c r="K44" s="2410">
        <f t="shared" si="6"/>
        <v>108</v>
      </c>
      <c r="L44" s="2430"/>
      <c r="M44" s="2430"/>
      <c r="N44" s="2430"/>
      <c r="O44" s="2430"/>
      <c r="P44" s="2430"/>
      <c r="Q44" s="3564"/>
      <c r="R44" s="3564"/>
      <c r="S44" s="3564"/>
      <c r="T44" s="2431"/>
      <c r="U44" s="1503"/>
      <c r="V44" s="2282" t="s">
        <v>6617</v>
      </c>
      <c r="W44" s="1469" t="s">
        <v>5512</v>
      </c>
    </row>
    <row r="45" spans="1:23" ht="12.75" x14ac:dyDescent="0.35">
      <c r="A45" s="1342">
        <v>21</v>
      </c>
      <c r="C45" s="1743" t="str">
        <f t="shared" si="3"/>
        <v/>
      </c>
      <c r="D45" s="1580" t="s">
        <v>2568</v>
      </c>
      <c r="E45" s="1746" t="s">
        <v>5251</v>
      </c>
      <c r="F45" s="2407">
        <f t="shared" ref="F45:K45" si="7">IF(F37+F44&lt;8500,F37-F30,F37+F44)</f>
        <v>21885</v>
      </c>
      <c r="G45" s="2407">
        <f t="shared" si="7"/>
        <v>22417</v>
      </c>
      <c r="H45" s="2407">
        <f t="shared" si="7"/>
        <v>14200</v>
      </c>
      <c r="I45" s="2407">
        <f t="shared" si="7"/>
        <v>4500</v>
      </c>
      <c r="J45" s="2407">
        <f t="shared" si="7"/>
        <v>10600</v>
      </c>
      <c r="K45" s="2407">
        <f t="shared" si="7"/>
        <v>10600</v>
      </c>
      <c r="L45" s="2428"/>
      <c r="M45" s="2428"/>
      <c r="N45" s="2428"/>
      <c r="O45" s="2428"/>
      <c r="P45" s="2428"/>
      <c r="Q45" s="3563"/>
      <c r="R45" s="3563"/>
      <c r="S45" s="3563"/>
      <c r="T45" s="2429"/>
      <c r="U45" s="1503"/>
      <c r="V45" s="2282" t="s">
        <v>6654</v>
      </c>
      <c r="W45" s="1794" t="s">
        <v>5513</v>
      </c>
    </row>
    <row r="46" spans="1:23" ht="13.15" x14ac:dyDescent="0.35">
      <c r="A46" s="1342">
        <v>22</v>
      </c>
      <c r="C46" s="1743" t="str">
        <f t="shared" si="3"/>
        <v/>
      </c>
      <c r="D46" s="1580" t="s">
        <v>2569</v>
      </c>
      <c r="E46" s="1746" t="s">
        <v>5252</v>
      </c>
      <c r="F46" s="2404"/>
      <c r="G46" s="2404"/>
      <c r="H46" s="2404">
        <v>780</v>
      </c>
      <c r="I46" s="2404"/>
      <c r="J46" s="2404"/>
      <c r="K46" s="2404"/>
      <c r="L46" s="2422"/>
      <c r="M46" s="2422"/>
      <c r="N46" s="2422"/>
      <c r="O46" s="2422"/>
      <c r="P46" s="2422"/>
      <c r="Q46" s="3560"/>
      <c r="R46" s="3560"/>
      <c r="S46" s="3560"/>
      <c r="T46" s="2423"/>
      <c r="U46" s="1503"/>
      <c r="V46" s="2282" t="s">
        <v>6617</v>
      </c>
      <c r="W46" s="1502"/>
    </row>
    <row r="47" spans="1:23" ht="13.15" x14ac:dyDescent="0.35">
      <c r="A47" s="1342">
        <v>23</v>
      </c>
      <c r="C47" s="1743" t="str">
        <f t="shared" si="3"/>
        <v/>
      </c>
      <c r="D47" s="1580" t="s">
        <v>2570</v>
      </c>
      <c r="E47" s="1746" t="s">
        <v>5253</v>
      </c>
      <c r="F47" s="2404">
        <v>620</v>
      </c>
      <c r="G47" s="2404"/>
      <c r="H47" s="2404">
        <v>500</v>
      </c>
      <c r="I47" s="2404"/>
      <c r="J47" s="2404"/>
      <c r="K47" s="2404"/>
      <c r="L47" s="2422"/>
      <c r="M47" s="2422"/>
      <c r="N47" s="2422"/>
      <c r="O47" s="2422"/>
      <c r="P47" s="2422"/>
      <c r="Q47" s="3560"/>
      <c r="R47" s="3560"/>
      <c r="S47" s="3560"/>
      <c r="T47" s="2423"/>
      <c r="U47" s="1503"/>
      <c r="V47" s="2282" t="s">
        <v>6617</v>
      </c>
      <c r="W47" s="1502"/>
    </row>
    <row r="48" spans="1:23" ht="13.15" x14ac:dyDescent="0.35">
      <c r="A48" s="1342">
        <v>24</v>
      </c>
      <c r="C48" s="1743" t="str">
        <f t="shared" si="3"/>
        <v/>
      </c>
      <c r="D48" s="1580" t="s">
        <v>2571</v>
      </c>
      <c r="E48" s="1746" t="s">
        <v>5254</v>
      </c>
      <c r="F48" s="2404">
        <v>4800</v>
      </c>
      <c r="G48" s="2404"/>
      <c r="H48" s="2404">
        <v>1200</v>
      </c>
      <c r="I48" s="2404"/>
      <c r="J48" s="2404"/>
      <c r="K48" s="2404"/>
      <c r="L48" s="2422"/>
      <c r="M48" s="2422"/>
      <c r="N48" s="2422"/>
      <c r="O48" s="2422"/>
      <c r="P48" s="2422"/>
      <c r="Q48" s="3560"/>
      <c r="R48" s="3560"/>
      <c r="S48" s="3560"/>
      <c r="T48" s="2423"/>
      <c r="U48" s="1503"/>
      <c r="V48" s="2282" t="s">
        <v>6617</v>
      </c>
      <c r="W48" s="1502"/>
    </row>
    <row r="49" spans="1:23" ht="13.15" x14ac:dyDescent="0.35">
      <c r="A49" s="1342">
        <v>25</v>
      </c>
      <c r="C49" s="1743" t="str">
        <f t="shared" si="3"/>
        <v/>
      </c>
      <c r="D49" s="1580" t="s">
        <v>2572</v>
      </c>
      <c r="E49" s="1746" t="s">
        <v>5255</v>
      </c>
      <c r="F49" s="2404">
        <v>480</v>
      </c>
      <c r="G49" s="2404">
        <v>780</v>
      </c>
      <c r="H49" s="2404"/>
      <c r="I49" s="2404"/>
      <c r="J49" s="2404"/>
      <c r="K49" s="2404"/>
      <c r="L49" s="2422"/>
      <c r="M49" s="2422"/>
      <c r="N49" s="2422"/>
      <c r="O49" s="2422"/>
      <c r="P49" s="2422"/>
      <c r="Q49" s="3560"/>
      <c r="R49" s="3560"/>
      <c r="S49" s="3560"/>
      <c r="T49" s="2423"/>
      <c r="U49" s="1503"/>
      <c r="V49" s="2282" t="s">
        <v>6617</v>
      </c>
      <c r="W49" s="1502"/>
    </row>
    <row r="50" spans="1:23" ht="13.15" x14ac:dyDescent="0.35">
      <c r="A50" s="1342">
        <v>26</v>
      </c>
      <c r="C50" s="1743" t="str">
        <f t="shared" si="3"/>
        <v/>
      </c>
      <c r="D50" s="1580" t="s">
        <v>2573</v>
      </c>
      <c r="E50" s="1746" t="s">
        <v>1971</v>
      </c>
      <c r="F50" s="2404"/>
      <c r="G50" s="2404"/>
      <c r="H50" s="2404">
        <v>1255</v>
      </c>
      <c r="I50" s="2404"/>
      <c r="J50" s="2404"/>
      <c r="K50" s="2404"/>
      <c r="L50" s="2422"/>
      <c r="M50" s="2422"/>
      <c r="N50" s="2422"/>
      <c r="O50" s="2422"/>
      <c r="P50" s="2422"/>
      <c r="Q50" s="3560"/>
      <c r="R50" s="3560"/>
      <c r="S50" s="3560"/>
      <c r="T50" s="2423"/>
      <c r="U50" s="1503"/>
      <c r="V50" s="2282" t="s">
        <v>6617</v>
      </c>
      <c r="W50" s="1502"/>
    </row>
    <row r="51" spans="1:23" ht="12.75" x14ac:dyDescent="0.35">
      <c r="A51" s="1342">
        <v>27</v>
      </c>
      <c r="C51" s="1743" t="str">
        <f t="shared" si="3"/>
        <v/>
      </c>
      <c r="D51" s="1580" t="s">
        <v>2574</v>
      </c>
      <c r="E51" s="1746" t="s">
        <v>5256</v>
      </c>
      <c r="F51" s="2407">
        <f>F46+F47+F48+F49+F50</f>
        <v>5900</v>
      </c>
      <c r="G51" s="2407">
        <f>G46+G47+G48+G49+G50</f>
        <v>780</v>
      </c>
      <c r="H51" s="2407">
        <f>H46+H47+H48+H49+H50</f>
        <v>3735</v>
      </c>
      <c r="I51" s="2408"/>
      <c r="J51" s="2408"/>
      <c r="K51" s="2408"/>
      <c r="L51" s="2428"/>
      <c r="M51" s="2428"/>
      <c r="N51" s="2428"/>
      <c r="O51" s="2428"/>
      <c r="P51" s="2428"/>
      <c r="Q51" s="3563"/>
      <c r="R51" s="3563"/>
      <c r="S51" s="3563"/>
      <c r="T51" s="2429"/>
      <c r="U51" s="1503"/>
      <c r="V51" s="2282" t="s">
        <v>6617</v>
      </c>
      <c r="W51" s="1469" t="s">
        <v>5514</v>
      </c>
    </row>
    <row r="52" spans="1:23" ht="12.75" x14ac:dyDescent="0.35">
      <c r="A52" s="1342">
        <v>28</v>
      </c>
      <c r="C52" s="1743" t="str">
        <f t="shared" si="3"/>
        <v/>
      </c>
      <c r="D52" s="1580" t="s">
        <v>2575</v>
      </c>
      <c r="E52" s="1746" t="s">
        <v>5257</v>
      </c>
      <c r="F52" s="2407">
        <f t="shared" ref="F52:K52" si="8">IF(F37+F44&gt;=8500,MAX(0,F45-(F30+F38)),0)</f>
        <v>19880</v>
      </c>
      <c r="G52" s="2407">
        <f t="shared" si="8"/>
        <v>21952</v>
      </c>
      <c r="H52" s="2407">
        <f t="shared" si="8"/>
        <v>13450</v>
      </c>
      <c r="I52" s="2407">
        <f t="shared" si="8"/>
        <v>0</v>
      </c>
      <c r="J52" s="2407">
        <f t="shared" si="8"/>
        <v>10000</v>
      </c>
      <c r="K52" s="2407">
        <f t="shared" si="8"/>
        <v>10000</v>
      </c>
      <c r="L52" s="2428"/>
      <c r="M52" s="2428"/>
      <c r="N52" s="2428"/>
      <c r="O52" s="2428"/>
      <c r="P52" s="2428"/>
      <c r="Q52" s="3563"/>
      <c r="R52" s="3563"/>
      <c r="S52" s="3563"/>
      <c r="T52" s="2429"/>
      <c r="U52" s="1503"/>
      <c r="V52" s="2282" t="s">
        <v>6654</v>
      </c>
      <c r="W52" s="1794" t="s">
        <v>5515</v>
      </c>
    </row>
    <row r="53" spans="1:23" ht="13.15" x14ac:dyDescent="0.35">
      <c r="A53" s="1342">
        <v>29</v>
      </c>
      <c r="C53" s="1743" t="str">
        <f t="shared" si="3"/>
        <v/>
      </c>
      <c r="D53" s="1580" t="s">
        <v>2576</v>
      </c>
      <c r="E53" s="1746" t="str">
        <f>tax_year&amp;" back pay, received after 5 April "&amp;Tax_year_end</f>
        <v>2017-18 back pay, received after 5 April 2018</v>
      </c>
      <c r="F53" s="2404"/>
      <c r="G53" s="2404"/>
      <c r="H53" s="2404"/>
      <c r="I53" s="2405"/>
      <c r="J53" s="2404"/>
      <c r="K53" s="2404"/>
      <c r="L53" s="2422"/>
      <c r="M53" s="2422"/>
      <c r="N53" s="2422"/>
      <c r="O53" s="2422"/>
      <c r="P53" s="2422"/>
      <c r="Q53" s="3560"/>
      <c r="R53" s="3560"/>
      <c r="S53" s="3560"/>
      <c r="T53" s="2423"/>
      <c r="U53" s="1503"/>
      <c r="V53" s="2282" t="s">
        <v>6617</v>
      </c>
      <c r="W53" s="1502"/>
    </row>
    <row r="54" spans="1:23" ht="13.15" x14ac:dyDescent="0.35">
      <c r="A54" s="1342">
        <v>30</v>
      </c>
      <c r="C54" s="1743" t="str">
        <f t="shared" si="3"/>
        <v/>
      </c>
      <c r="D54" s="1580" t="s">
        <v>963</v>
      </c>
      <c r="E54" s="1746" t="str">
        <f>"Earlier years’ back pay, received during "&amp;tax_year</f>
        <v>Earlier years’ back pay, received during 2017-18</v>
      </c>
      <c r="F54" s="2404">
        <v>1800</v>
      </c>
      <c r="G54" s="2404"/>
      <c r="H54" s="2404"/>
      <c r="I54" s="2405"/>
      <c r="J54" s="2404"/>
      <c r="K54" s="2404"/>
      <c r="L54" s="2422"/>
      <c r="M54" s="2422"/>
      <c r="N54" s="2422"/>
      <c r="O54" s="2422"/>
      <c r="P54" s="2422"/>
      <c r="Q54" s="3560"/>
      <c r="R54" s="3560"/>
      <c r="S54" s="3560"/>
      <c r="T54" s="2423"/>
      <c r="U54" s="1503"/>
      <c r="V54" s="2282" t="s">
        <v>6617</v>
      </c>
      <c r="W54" s="1502"/>
    </row>
    <row r="55" spans="1:23" ht="13.15" x14ac:dyDescent="0.35">
      <c r="A55" s="1342">
        <v>31</v>
      </c>
      <c r="C55" s="1743" t="str">
        <f t="shared" si="3"/>
        <v/>
      </c>
      <c r="D55" s="1580" t="s">
        <v>964</v>
      </c>
      <c r="E55" s="1746" t="s">
        <v>5258</v>
      </c>
      <c r="F55" s="2404">
        <v>600</v>
      </c>
      <c r="G55" s="2404"/>
      <c r="H55" s="2404"/>
      <c r="I55" s="2405"/>
      <c r="J55" s="2404"/>
      <c r="K55" s="2404"/>
      <c r="L55" s="2422"/>
      <c r="M55" s="2422"/>
      <c r="N55" s="2422"/>
      <c r="O55" s="2422"/>
      <c r="P55" s="2422"/>
      <c r="Q55" s="3560"/>
      <c r="R55" s="3560"/>
      <c r="S55" s="3560"/>
      <c r="T55" s="2423"/>
      <c r="U55" s="1503"/>
      <c r="V55" s="2282" t="s">
        <v>6617</v>
      </c>
      <c r="W55" s="1502"/>
    </row>
    <row r="56" spans="1:23" ht="12.75" x14ac:dyDescent="0.35">
      <c r="A56" s="1342">
        <v>32</v>
      </c>
      <c r="C56" s="1743" t="str">
        <f t="shared" si="3"/>
        <v/>
      </c>
      <c r="D56" s="1580" t="s">
        <v>1019</v>
      </c>
      <c r="E56" s="1746" t="s">
        <v>5259</v>
      </c>
      <c r="F56" s="2407">
        <f t="shared" ref="F56:K56" si="9">IF(AND(F37+F44&gt;=8500,F30+F38&gt;0),MAX(F52+F53-(F51+F54+F55)),0)</f>
        <v>11580</v>
      </c>
      <c r="G56" s="2407">
        <f t="shared" si="9"/>
        <v>21172</v>
      </c>
      <c r="H56" s="2407">
        <f t="shared" si="9"/>
        <v>9715</v>
      </c>
      <c r="I56" s="2407">
        <f>IF(AND(I37+I44&gt;=8500,I30+I38&gt;0),MAX(I52+I53-(I51+I54+I55)),0)</f>
        <v>0</v>
      </c>
      <c r="J56" s="2407">
        <f t="shared" si="9"/>
        <v>10000</v>
      </c>
      <c r="K56" s="2407">
        <f t="shared" si="9"/>
        <v>10000</v>
      </c>
      <c r="L56" s="2428"/>
      <c r="M56" s="2428"/>
      <c r="N56" s="2428"/>
      <c r="O56" s="2428"/>
      <c r="P56" s="2428"/>
      <c r="Q56" s="3563"/>
      <c r="R56" s="3563"/>
      <c r="S56" s="3563"/>
      <c r="T56" s="2429"/>
      <c r="U56" s="1503"/>
      <c r="V56" s="2282" t="s">
        <v>6654</v>
      </c>
      <c r="W56" s="1469" t="s">
        <v>5516</v>
      </c>
    </row>
    <row r="57" spans="1:23" ht="12.75" x14ac:dyDescent="0.35">
      <c r="A57" s="1342">
        <v>33</v>
      </c>
      <c r="C57" s="1743" t="str">
        <f t="shared" si="3"/>
        <v/>
      </c>
      <c r="D57" s="1580" t="s">
        <v>1020</v>
      </c>
      <c r="E57" s="1746" t="s">
        <v>5260</v>
      </c>
      <c r="F57" s="2407">
        <f t="shared" ref="F57:K57" si="10">F56*10%</f>
        <v>1158</v>
      </c>
      <c r="G57" s="2407">
        <f t="shared" si="10"/>
        <v>2117.2000000000003</v>
      </c>
      <c r="H57" s="2407">
        <f t="shared" si="10"/>
        <v>971.5</v>
      </c>
      <c r="I57" s="2407">
        <f t="shared" si="10"/>
        <v>0</v>
      </c>
      <c r="J57" s="2407">
        <f t="shared" si="10"/>
        <v>1000</v>
      </c>
      <c r="K57" s="2407">
        <f t="shared" si="10"/>
        <v>1000</v>
      </c>
      <c r="L57" s="2428"/>
      <c r="M57" s="2428"/>
      <c r="N57" s="2428"/>
      <c r="O57" s="2428"/>
      <c r="P57" s="2428"/>
      <c r="Q57" s="3563"/>
      <c r="R57" s="3563"/>
      <c r="S57" s="3563"/>
      <c r="T57" s="2429"/>
      <c r="U57" s="1503"/>
      <c r="V57" s="2282" t="s">
        <v>6654</v>
      </c>
      <c r="W57" s="1469" t="s">
        <v>5517</v>
      </c>
    </row>
    <row r="58" spans="1:23" ht="12.75" x14ac:dyDescent="0.35">
      <c r="A58" s="1342">
        <v>34</v>
      </c>
      <c r="C58" s="1743" t="str">
        <f t="shared" si="3"/>
        <v/>
      </c>
      <c r="D58" s="1580" t="s">
        <v>1021</v>
      </c>
      <c r="E58" s="1746" t="s">
        <v>5261</v>
      </c>
      <c r="F58" s="2404"/>
      <c r="G58" s="2404"/>
      <c r="H58" s="2404"/>
      <c r="I58" s="2405"/>
      <c r="J58" s="2404">
        <v>2000</v>
      </c>
      <c r="K58" s="2404"/>
      <c r="L58" s="2422"/>
      <c r="M58" s="2422"/>
      <c r="N58" s="2422"/>
      <c r="O58" s="2422"/>
      <c r="P58" s="2422"/>
      <c r="Q58" s="3560"/>
      <c r="R58" s="3560"/>
      <c r="S58" s="3560"/>
      <c r="T58" s="2423"/>
      <c r="U58" s="1503"/>
      <c r="V58" s="2282" t="s">
        <v>6617</v>
      </c>
      <c r="W58" s="1469"/>
    </row>
    <row r="59" spans="1:23" ht="12.75" x14ac:dyDescent="0.35">
      <c r="A59" s="1342">
        <v>35</v>
      </c>
      <c r="C59" s="1743" t="str">
        <f t="shared" si="3"/>
        <v/>
      </c>
      <c r="D59" s="1580" t="s">
        <v>1022</v>
      </c>
      <c r="E59" s="1746" t="s">
        <v>5262</v>
      </c>
      <c r="F59" s="2407">
        <f t="shared" ref="F59:K59" si="11">IF(F37+F44&gt;=8500,F30+F38,0)</f>
        <v>2005</v>
      </c>
      <c r="G59" s="2407">
        <f t="shared" si="11"/>
        <v>465</v>
      </c>
      <c r="H59" s="2407">
        <f t="shared" si="11"/>
        <v>750</v>
      </c>
      <c r="I59" s="2408"/>
      <c r="J59" s="2407">
        <f t="shared" si="11"/>
        <v>600</v>
      </c>
      <c r="K59" s="2407">
        <f t="shared" si="11"/>
        <v>600</v>
      </c>
      <c r="L59" s="2428"/>
      <c r="M59" s="2428"/>
      <c r="N59" s="2428"/>
      <c r="O59" s="2428"/>
      <c r="P59" s="2428"/>
      <c r="Q59" s="3563"/>
      <c r="R59" s="3563"/>
      <c r="S59" s="3563"/>
      <c r="T59" s="2429"/>
      <c r="U59" s="1503"/>
      <c r="V59" s="2282" t="s">
        <v>6617</v>
      </c>
      <c r="W59" s="1469" t="s">
        <v>5518</v>
      </c>
    </row>
    <row r="60" spans="1:23" ht="23.25" x14ac:dyDescent="0.35">
      <c r="A60" s="1342">
        <v>36</v>
      </c>
      <c r="C60" s="1743" t="str">
        <f t="shared" si="3"/>
        <v/>
      </c>
      <c r="D60" s="1580" t="s">
        <v>1023</v>
      </c>
      <c r="E60" s="1746" t="s">
        <v>5263</v>
      </c>
      <c r="F60" s="2407">
        <f t="shared" ref="F60:K60" si="12">MAX(0,F58+F59-F57)</f>
        <v>847</v>
      </c>
      <c r="G60" s="2407">
        <f t="shared" si="12"/>
        <v>0</v>
      </c>
      <c r="H60" s="2407">
        <f t="shared" si="12"/>
        <v>0</v>
      </c>
      <c r="I60" s="2407">
        <f t="shared" si="12"/>
        <v>0</v>
      </c>
      <c r="J60" s="2407">
        <f t="shared" si="12"/>
        <v>1600</v>
      </c>
      <c r="K60" s="2407">
        <f t="shared" si="12"/>
        <v>0</v>
      </c>
      <c r="L60" s="2428"/>
      <c r="M60" s="2428"/>
      <c r="N60" s="2428"/>
      <c r="O60" s="2428"/>
      <c r="P60" s="2428"/>
      <c r="Q60" s="3563"/>
      <c r="R60" s="3563"/>
      <c r="S60" s="3563"/>
      <c r="T60" s="2429"/>
      <c r="U60" s="1503"/>
      <c r="V60" s="2282" t="s">
        <v>6654</v>
      </c>
      <c r="W60" s="1469" t="s">
        <v>5519</v>
      </c>
    </row>
    <row r="61" spans="1:23" ht="13.15" x14ac:dyDescent="0.35">
      <c r="A61" s="1342">
        <v>37</v>
      </c>
      <c r="C61" s="1743" t="str">
        <f t="shared" si="3"/>
        <v/>
      </c>
      <c r="D61" s="1580" t="s">
        <v>1024</v>
      </c>
      <c r="E61" s="1746" t="s">
        <v>5264</v>
      </c>
      <c r="F61" s="2404"/>
      <c r="G61" s="2404">
        <v>5600</v>
      </c>
      <c r="H61" s="2404">
        <v>1250</v>
      </c>
      <c r="I61" s="2404"/>
      <c r="J61" s="2404"/>
      <c r="K61" s="2404"/>
      <c r="L61" s="2422"/>
      <c r="M61" s="2422"/>
      <c r="N61" s="2422"/>
      <c r="O61" s="2422"/>
      <c r="P61" s="2422"/>
      <c r="Q61" s="3560"/>
      <c r="R61" s="3560"/>
      <c r="S61" s="3560"/>
      <c r="T61" s="2423"/>
      <c r="U61" s="1503"/>
      <c r="V61" s="2282" t="s">
        <v>6617</v>
      </c>
      <c r="W61" s="1502"/>
    </row>
    <row r="62" spans="1:23" ht="12.75" x14ac:dyDescent="0.35">
      <c r="A62" s="1342">
        <v>38</v>
      </c>
      <c r="C62" s="1743" t="str">
        <f t="shared" si="3"/>
        <v/>
      </c>
      <c r="D62" s="1580" t="s">
        <v>1025</v>
      </c>
      <c r="E62" s="1746" t="s">
        <v>5265</v>
      </c>
      <c r="F62" s="2411">
        <f t="shared" ref="F62:K62" si="13">F61*BR_rate</f>
        <v>0</v>
      </c>
      <c r="G62" s="2411">
        <f t="shared" si="13"/>
        <v>1120</v>
      </c>
      <c r="H62" s="2411">
        <f t="shared" si="13"/>
        <v>250</v>
      </c>
      <c r="I62" s="2411">
        <f t="shared" si="13"/>
        <v>0</v>
      </c>
      <c r="J62" s="2411">
        <f t="shared" si="13"/>
        <v>0</v>
      </c>
      <c r="K62" s="2411">
        <f t="shared" si="13"/>
        <v>0</v>
      </c>
      <c r="L62" s="2432"/>
      <c r="M62" s="2432"/>
      <c r="N62" s="2432"/>
      <c r="O62" s="2432"/>
      <c r="P62" s="2432"/>
      <c r="Q62" s="3565"/>
      <c r="R62" s="3565"/>
      <c r="S62" s="3565"/>
      <c r="T62" s="2433"/>
      <c r="U62" s="1503"/>
      <c r="V62" s="2282" t="s">
        <v>6654</v>
      </c>
      <c r="W62" s="1469" t="s">
        <v>5520</v>
      </c>
    </row>
    <row r="63" spans="1:23" ht="12.75" x14ac:dyDescent="0.35">
      <c r="A63" s="1342">
        <v>39</v>
      </c>
      <c r="C63" s="1743" t="str">
        <f t="shared" si="3"/>
        <v/>
      </c>
      <c r="D63" s="1991" t="s">
        <v>2712</v>
      </c>
      <c r="E63" s="2000" t="s">
        <v>5266</v>
      </c>
      <c r="F63" s="2413">
        <f t="shared" ref="F63:K63" si="14">MAX(0,F45+F61-(F51+F60))</f>
        <v>15138</v>
      </c>
      <c r="G63" s="2413">
        <f t="shared" si="14"/>
        <v>27237</v>
      </c>
      <c r="H63" s="2413">
        <f t="shared" si="14"/>
        <v>11715</v>
      </c>
      <c r="I63" s="2413">
        <f t="shared" si="14"/>
        <v>4500</v>
      </c>
      <c r="J63" s="2413">
        <f t="shared" si="14"/>
        <v>9000</v>
      </c>
      <c r="K63" s="2413">
        <f t="shared" si="14"/>
        <v>10600</v>
      </c>
      <c r="L63" s="2434"/>
      <c r="M63" s="2434"/>
      <c r="N63" s="2434"/>
      <c r="O63" s="2434"/>
      <c r="P63" s="2434"/>
      <c r="Q63" s="3566"/>
      <c r="R63" s="3566"/>
      <c r="S63" s="3566"/>
      <c r="T63" s="2435"/>
      <c r="U63" s="1503"/>
      <c r="V63" s="2282" t="s">
        <v>6654</v>
      </c>
      <c r="W63" s="1469" t="s">
        <v>5521</v>
      </c>
    </row>
    <row r="64" spans="1:23" ht="13.15" thickBot="1" x14ac:dyDescent="0.4">
      <c r="A64" s="1342">
        <v>40</v>
      </c>
      <c r="C64" s="1743" t="str">
        <f t="shared" si="3"/>
        <v/>
      </c>
      <c r="D64" s="1998" t="s">
        <v>2592</v>
      </c>
      <c r="E64" s="2003" t="s">
        <v>5267</v>
      </c>
      <c r="F64" s="2004">
        <f>F28+F34+F36+F62</f>
        <v>750</v>
      </c>
      <c r="G64" s="2004">
        <f>G28+G34+G36+G62</f>
        <v>1848.4</v>
      </c>
      <c r="H64" s="2004">
        <f>H28+H34+H36+H62</f>
        <v>514</v>
      </c>
      <c r="I64" s="2299"/>
      <c r="J64" s="2299"/>
      <c r="K64" s="2299"/>
      <c r="L64" s="2436"/>
      <c r="M64" s="2436"/>
      <c r="N64" s="2436"/>
      <c r="O64" s="2436"/>
      <c r="P64" s="2436"/>
      <c r="Q64" s="3567"/>
      <c r="R64" s="3567"/>
      <c r="S64" s="3567"/>
      <c r="T64" s="2437"/>
      <c r="U64" s="1503"/>
      <c r="V64" s="2282" t="s">
        <v>6657</v>
      </c>
      <c r="W64" s="1469" t="s">
        <v>5522</v>
      </c>
    </row>
  </sheetData>
  <phoneticPr fontId="68" type="noConversion"/>
  <dataValidations count="1">
    <dataValidation type="list" allowBlank="1" showInputMessage="1" showErrorMessage="1" sqref="V26:V64 V3:V23">
      <formula1>allowedTypes</formula1>
    </dataValidation>
  </dataValidations>
  <pageMargins left="0.75" right="0.75" top="1" bottom="1" header="0.5" footer="0.5"/>
  <pageSetup paperSize="9" scale="86" orientation="portrait" horizontalDpi="1200" verticalDpi="1200" r:id="rId1"/>
  <headerFooter alignWithMargins="0"/>
  <colBreaks count="1" manualBreakCount="1">
    <brk id="13"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FF99"/>
  </sheetPr>
  <dimension ref="A1:U216"/>
  <sheetViews>
    <sheetView showGridLines="0" workbookViewId="0">
      <pane xSplit="3" ySplit="1" topLeftCell="D95" activePane="bottomRight" state="frozen"/>
      <selection pane="topRight" activeCell="D1" sqref="D1"/>
      <selection pane="bottomLeft" activeCell="A2" sqref="A2"/>
      <selection pane="bottomRight" activeCell="K102" sqref="K102"/>
    </sheetView>
  </sheetViews>
  <sheetFormatPr defaultColWidth="9.1328125" defaultRowHeight="11.65" x14ac:dyDescent="0.35"/>
  <cols>
    <col min="1" max="1" width="3.86328125" style="1341" bestFit="1" customWidth="1"/>
    <col min="2" max="2" width="10" style="206" customWidth="1"/>
    <col min="3" max="3" width="8" style="408" customWidth="1"/>
    <col min="4" max="4" width="50.73046875" style="408" customWidth="1"/>
    <col min="5" max="9" width="10.73046875" style="206" customWidth="1"/>
    <col min="10" max="10" width="11" style="206" customWidth="1"/>
    <col min="11" max="11" width="11.265625" style="206" bestFit="1" customWidth="1"/>
    <col min="12" max="13" width="10.73046875" style="206" customWidth="1"/>
    <col min="14" max="17" width="9.1328125" style="206"/>
    <col min="18" max="18" width="9.86328125" style="206" bestFit="1" customWidth="1"/>
    <col min="19" max="19" width="2.1328125" style="206" customWidth="1"/>
    <col min="20" max="20" width="32" style="146" customWidth="1"/>
    <col min="21" max="21" width="34.73046875" style="206" customWidth="1"/>
    <col min="22" max="16384" width="9.1328125" style="206"/>
  </cols>
  <sheetData>
    <row r="1" spans="1:21" ht="13.5" thickBot="1" x14ac:dyDescent="0.45">
      <c r="E1" s="1709">
        <v>1</v>
      </c>
      <c r="F1" s="1709">
        <v>2</v>
      </c>
      <c r="G1" s="1709">
        <v>3</v>
      </c>
      <c r="H1" s="1709">
        <v>4</v>
      </c>
      <c r="I1" s="1709">
        <v>5</v>
      </c>
      <c r="J1" s="1709">
        <v>6</v>
      </c>
      <c r="K1" s="1709">
        <v>7</v>
      </c>
      <c r="L1" s="1709">
        <v>8</v>
      </c>
      <c r="M1" s="1709">
        <v>9</v>
      </c>
      <c r="N1" s="1709">
        <v>10</v>
      </c>
      <c r="O1" s="1709">
        <v>11</v>
      </c>
      <c r="P1" s="1709">
        <v>12</v>
      </c>
      <c r="Q1" s="1709">
        <v>13</v>
      </c>
      <c r="R1" s="1709">
        <v>14</v>
      </c>
      <c r="S1" s="1503"/>
      <c r="T1" s="2374" t="s">
        <v>6613</v>
      </c>
      <c r="U1" s="1502" t="s">
        <v>5460</v>
      </c>
    </row>
    <row r="2" spans="1:21" ht="13.15" x14ac:dyDescent="0.4">
      <c r="A2" s="1342" t="s">
        <v>4845</v>
      </c>
      <c r="B2" s="676" t="s">
        <v>4210</v>
      </c>
      <c r="C2" s="1777" t="s">
        <v>2185</v>
      </c>
      <c r="D2" s="1710"/>
      <c r="E2" s="1348">
        <v>1</v>
      </c>
      <c r="F2" s="1348">
        <v>2</v>
      </c>
      <c r="G2" s="1348">
        <v>3</v>
      </c>
      <c r="H2" s="1348">
        <v>4</v>
      </c>
      <c r="I2" s="1348">
        <v>5</v>
      </c>
      <c r="J2" s="1348">
        <v>6</v>
      </c>
      <c r="K2" s="1348">
        <v>7</v>
      </c>
      <c r="L2" s="1348">
        <v>8</v>
      </c>
      <c r="M2" s="1348">
        <v>9</v>
      </c>
      <c r="N2" s="1348">
        <v>10</v>
      </c>
      <c r="O2" s="1348">
        <v>11</v>
      </c>
      <c r="P2" s="1348">
        <v>12</v>
      </c>
      <c r="Q2" s="1348">
        <v>13</v>
      </c>
      <c r="R2" s="1349">
        <v>14</v>
      </c>
      <c r="S2" s="1503"/>
      <c r="T2" s="2374" t="s">
        <v>6613</v>
      </c>
      <c r="U2" s="1502" t="s">
        <v>5460</v>
      </c>
    </row>
    <row r="3" spans="1:21" ht="23.25" x14ac:dyDescent="0.35">
      <c r="A3" s="1342">
        <v>2</v>
      </c>
      <c r="B3" s="1708" t="str">
        <f t="shared" ref="B3:B11" si="0">IF(SE_A_IND&gt;1,IF(HLOOKUP(SE_A_IND-1,SSE_RANGE,A3)="","",HLOOKUP(SE_A_IND-1,SSE_RANGE,A3)),"")</f>
        <v/>
      </c>
      <c r="C3" s="1711" t="s">
        <v>702</v>
      </c>
      <c r="D3" s="1712" t="s">
        <v>5894</v>
      </c>
      <c r="E3" s="1713" t="s">
        <v>699</v>
      </c>
      <c r="F3" s="1714" t="s">
        <v>700</v>
      </c>
      <c r="G3" s="1714" t="s">
        <v>701</v>
      </c>
      <c r="H3" s="1714" t="s">
        <v>1161</v>
      </c>
      <c r="I3" s="1714" t="s">
        <v>1162</v>
      </c>
      <c r="J3" s="1714" t="s">
        <v>3396</v>
      </c>
      <c r="K3" s="1714" t="s">
        <v>3397</v>
      </c>
      <c r="L3" s="1714" t="s">
        <v>926</v>
      </c>
      <c r="M3" s="2300"/>
      <c r="N3" s="2300"/>
      <c r="O3" s="2300"/>
      <c r="P3" s="2300"/>
      <c r="Q3" s="2300"/>
      <c r="R3" s="1585"/>
      <c r="S3" s="1503"/>
      <c r="T3" s="2282" t="s">
        <v>6621</v>
      </c>
      <c r="U3" s="1502"/>
    </row>
    <row r="4" spans="1:21" ht="13.15" x14ac:dyDescent="0.35">
      <c r="A4" s="1342">
        <v>3</v>
      </c>
      <c r="B4" s="1708" t="str">
        <f t="shared" si="0"/>
        <v/>
      </c>
      <c r="C4" s="1711" t="s">
        <v>703</v>
      </c>
      <c r="D4" s="1712" t="s">
        <v>5895</v>
      </c>
      <c r="E4" s="1716"/>
      <c r="F4" s="1717"/>
      <c r="G4" s="1717"/>
      <c r="H4" s="1717"/>
      <c r="I4" s="1717"/>
      <c r="J4" s="1717"/>
      <c r="K4" s="1717"/>
      <c r="L4" s="1717"/>
      <c r="M4" s="2301"/>
      <c r="N4" s="2301"/>
      <c r="O4" s="2301"/>
      <c r="P4" s="2301"/>
      <c r="Q4" s="2301"/>
      <c r="R4" s="2302"/>
      <c r="S4" s="1503"/>
      <c r="T4" s="2282" t="s">
        <v>6614</v>
      </c>
      <c r="U4" s="1502"/>
    </row>
    <row r="5" spans="1:21" ht="13.15" x14ac:dyDescent="0.35">
      <c r="A5" s="1342">
        <v>4</v>
      </c>
      <c r="B5" s="1708" t="str">
        <f t="shared" si="0"/>
        <v/>
      </c>
      <c r="C5" s="1711" t="s">
        <v>704</v>
      </c>
      <c r="D5" s="1712" t="s">
        <v>5896</v>
      </c>
      <c r="E5" s="1716"/>
      <c r="F5" s="1717"/>
      <c r="G5" s="1717"/>
      <c r="H5" s="1717"/>
      <c r="I5" s="1717"/>
      <c r="J5" s="1717"/>
      <c r="K5" s="1717"/>
      <c r="L5" s="1717"/>
      <c r="M5" s="2301"/>
      <c r="N5" s="2301"/>
      <c r="O5" s="2301"/>
      <c r="P5" s="2301"/>
      <c r="Q5" s="2301"/>
      <c r="R5" s="2302"/>
      <c r="S5" s="1503"/>
      <c r="T5" s="2282" t="s">
        <v>6620</v>
      </c>
      <c r="U5" s="1502"/>
    </row>
    <row r="6" spans="1:21" ht="12.75" x14ac:dyDescent="0.35">
      <c r="A6" s="1342">
        <v>5</v>
      </c>
      <c r="B6" s="1708" t="str">
        <f t="shared" si="0"/>
        <v/>
      </c>
      <c r="C6" s="1711" t="s">
        <v>705</v>
      </c>
      <c r="D6" s="1712" t="s">
        <v>5897</v>
      </c>
      <c r="E6" s="1715"/>
      <c r="F6" s="1717"/>
      <c r="G6" s="1717"/>
      <c r="H6" s="1717"/>
      <c r="I6" s="1717"/>
      <c r="J6" s="1717"/>
      <c r="K6" s="1717"/>
      <c r="L6" s="1717"/>
      <c r="M6" s="2301"/>
      <c r="N6" s="2301"/>
      <c r="O6" s="2301"/>
      <c r="P6" s="2301"/>
      <c r="Q6" s="2301"/>
      <c r="R6" s="2302"/>
      <c r="S6" s="1503"/>
      <c r="T6" s="2282" t="s">
        <v>6620</v>
      </c>
      <c r="U6" s="1550"/>
    </row>
    <row r="7" spans="1:21" ht="12.75" x14ac:dyDescent="0.35">
      <c r="A7" s="1342">
        <v>6</v>
      </c>
      <c r="B7" s="1708" t="str">
        <f t="shared" si="0"/>
        <v/>
      </c>
      <c r="C7" s="1711" t="s">
        <v>706</v>
      </c>
      <c r="D7" s="1712" t="s">
        <v>5898</v>
      </c>
      <c r="E7" s="1719"/>
      <c r="F7" s="1720"/>
      <c r="G7" s="1721" t="str">
        <f>"06/04/"&amp;Tax_year_start</f>
        <v>06/04/2017</v>
      </c>
      <c r="H7" s="1720"/>
      <c r="I7" s="1720"/>
      <c r="J7" s="1720"/>
      <c r="K7" s="1720"/>
      <c r="L7" s="1720"/>
      <c r="M7" s="2303"/>
      <c r="N7" s="2303"/>
      <c r="O7" s="2303"/>
      <c r="P7" s="2303"/>
      <c r="Q7" s="2303"/>
      <c r="R7" s="2304"/>
      <c r="S7" s="1503"/>
      <c r="T7" s="2282" t="s">
        <v>6656</v>
      </c>
      <c r="U7" s="1550" t="s">
        <v>5883</v>
      </c>
    </row>
    <row r="8" spans="1:21" ht="34.9" x14ac:dyDescent="0.35">
      <c r="A8" s="1342">
        <v>7</v>
      </c>
      <c r="B8" s="1708" t="str">
        <f t="shared" si="0"/>
        <v/>
      </c>
      <c r="C8" s="1711" t="s">
        <v>4121</v>
      </c>
      <c r="D8" s="1712" t="s">
        <v>5899</v>
      </c>
      <c r="E8" s="1722"/>
      <c r="F8" s="1721" t="str">
        <f>"31/03/"&amp;Tax_year_end</f>
        <v>31/03/2018</v>
      </c>
      <c r="G8" s="1723"/>
      <c r="H8" s="1723"/>
      <c r="I8" s="1723"/>
      <c r="J8" s="1723"/>
      <c r="K8" s="1723"/>
      <c r="L8" s="1723"/>
      <c r="M8" s="2305"/>
      <c r="N8" s="2305"/>
      <c r="O8" s="2305"/>
      <c r="P8" s="2305"/>
      <c r="Q8" s="2305"/>
      <c r="R8" s="2306"/>
      <c r="S8" s="1503"/>
      <c r="T8" s="2282" t="s">
        <v>6656</v>
      </c>
      <c r="U8" s="1550" t="s">
        <v>5884</v>
      </c>
    </row>
    <row r="9" spans="1:21" ht="12.75" x14ac:dyDescent="0.35">
      <c r="A9" s="1342">
        <v>8</v>
      </c>
      <c r="B9" s="1708" t="str">
        <f t="shared" si="0"/>
        <v/>
      </c>
      <c r="C9" s="1711" t="s">
        <v>3817</v>
      </c>
      <c r="D9" s="1712" t="s">
        <v>5900</v>
      </c>
      <c r="E9" s="1721" t="str">
        <f t="shared" ref="E9:L9" si="1">"05/04/"&amp;Tax_year_end</f>
        <v>05/04/2018</v>
      </c>
      <c r="F9" s="1721" t="str">
        <f t="shared" si="1"/>
        <v>05/04/2018</v>
      </c>
      <c r="G9" s="1721" t="str">
        <f t="shared" si="1"/>
        <v>05/04/2018</v>
      </c>
      <c r="H9" s="1721" t="str">
        <f t="shared" si="1"/>
        <v>05/04/2018</v>
      </c>
      <c r="I9" s="1721" t="str">
        <f t="shared" si="1"/>
        <v>05/04/2018</v>
      </c>
      <c r="J9" s="1721" t="str">
        <f t="shared" si="1"/>
        <v>05/04/2018</v>
      </c>
      <c r="K9" s="1721" t="str">
        <f t="shared" si="1"/>
        <v>05/04/2018</v>
      </c>
      <c r="L9" s="1721" t="str">
        <f t="shared" si="1"/>
        <v>05/04/2018</v>
      </c>
      <c r="M9" s="2303"/>
      <c r="N9" s="2303"/>
      <c r="O9" s="2303"/>
      <c r="P9" s="2303"/>
      <c r="Q9" s="2303"/>
      <c r="R9" s="2304"/>
      <c r="S9" s="1503"/>
      <c r="T9" s="2282" t="s">
        <v>6656</v>
      </c>
      <c r="U9" s="1551"/>
    </row>
    <row r="10" spans="1:21" ht="13.15" x14ac:dyDescent="0.35">
      <c r="A10" s="1342">
        <v>9</v>
      </c>
      <c r="B10" s="1708" t="str">
        <f t="shared" si="0"/>
        <v/>
      </c>
      <c r="C10" s="1711" t="s">
        <v>3818</v>
      </c>
      <c r="D10" s="1712" t="s">
        <v>5901</v>
      </c>
      <c r="E10" s="1725" t="s">
        <v>1237</v>
      </c>
      <c r="F10" s="1725" t="s">
        <v>1237</v>
      </c>
      <c r="G10" s="1725" t="s">
        <v>1237</v>
      </c>
      <c r="H10" s="1725" t="s">
        <v>1237</v>
      </c>
      <c r="I10" s="1725" t="s">
        <v>1237</v>
      </c>
      <c r="J10" s="1725" t="s">
        <v>583</v>
      </c>
      <c r="K10" s="1725" t="s">
        <v>1237</v>
      </c>
      <c r="L10" s="1726" t="s">
        <v>1237</v>
      </c>
      <c r="M10" s="2307"/>
      <c r="N10" s="2307"/>
      <c r="O10" s="2307"/>
      <c r="P10" s="2307"/>
      <c r="Q10" s="2307"/>
      <c r="R10" s="2308"/>
      <c r="S10" s="1503"/>
      <c r="T10" s="2282" t="s">
        <v>6620</v>
      </c>
      <c r="U10" s="1502"/>
    </row>
    <row r="11" spans="1:21" ht="111.4" x14ac:dyDescent="0.35">
      <c r="A11" s="1342">
        <v>10</v>
      </c>
      <c r="B11" s="1708" t="str">
        <f t="shared" si="0"/>
        <v/>
      </c>
      <c r="C11" s="1711" t="s">
        <v>4117</v>
      </c>
      <c r="D11" s="1712" t="s">
        <v>5902</v>
      </c>
      <c r="E11" s="2438">
        <v>59465</v>
      </c>
      <c r="F11" s="2438">
        <v>14560</v>
      </c>
      <c r="G11" s="2438">
        <v>27643</v>
      </c>
      <c r="H11" s="2438">
        <v>32495</v>
      </c>
      <c r="I11" s="2438">
        <v>17995</v>
      </c>
      <c r="J11" s="2438">
        <v>10000</v>
      </c>
      <c r="K11" s="2438">
        <v>5000</v>
      </c>
      <c r="L11" s="2438"/>
      <c r="M11" s="2439"/>
      <c r="N11" s="2439"/>
      <c r="O11" s="2439"/>
      <c r="P11" s="2439"/>
      <c r="Q11" s="2439"/>
      <c r="R11" s="2440"/>
      <c r="S11" s="1503"/>
      <c r="T11" s="2282" t="s">
        <v>6654</v>
      </c>
      <c r="U11" s="1793" t="s">
        <v>5885</v>
      </c>
    </row>
    <row r="12" spans="1:21" ht="12.75" x14ac:dyDescent="0.35">
      <c r="A12" s="1342">
        <v>11</v>
      </c>
      <c r="B12" s="1708" t="str">
        <f t="shared" ref="B12:B41" si="2">IF(SE_A_IND&gt;1,IF(HLOOKUP(SE_A_IND-1,SSE_RANGE,A12)="","",HLOOKUP(SE_A_IND-1,SSE_RANGE,A12)),"")</f>
        <v/>
      </c>
      <c r="C12" s="1711" t="s">
        <v>4118</v>
      </c>
      <c r="D12" s="1712" t="s">
        <v>5903</v>
      </c>
      <c r="E12" s="2438"/>
      <c r="F12" s="2438"/>
      <c r="G12" s="2438"/>
      <c r="H12" s="2438"/>
      <c r="I12" s="2438"/>
      <c r="J12" s="2438"/>
      <c r="K12" s="2438"/>
      <c r="L12" s="2438"/>
      <c r="M12" s="2439"/>
      <c r="N12" s="2439"/>
      <c r="O12" s="2439"/>
      <c r="P12" s="2439"/>
      <c r="Q12" s="2439"/>
      <c r="R12" s="2440"/>
      <c r="S12" s="1503"/>
      <c r="T12" s="3813" t="s">
        <v>6617</v>
      </c>
      <c r="U12" s="1793"/>
    </row>
    <row r="13" spans="1:21" ht="12.75" x14ac:dyDescent="0.35">
      <c r="A13" s="2744">
        <v>12</v>
      </c>
      <c r="B13" s="3814" t="str">
        <f t="shared" si="2"/>
        <v/>
      </c>
      <c r="C13" s="3815" t="s">
        <v>8442</v>
      </c>
      <c r="D13" s="2156" t="s">
        <v>8443</v>
      </c>
      <c r="E13" s="3577"/>
      <c r="F13" s="3577"/>
      <c r="G13" s="3577"/>
      <c r="H13" s="3577"/>
      <c r="I13" s="3577"/>
      <c r="J13" s="3577"/>
      <c r="K13" s="3577"/>
      <c r="L13" s="3577"/>
      <c r="M13" s="3577"/>
      <c r="N13" s="3577"/>
      <c r="O13" s="3577"/>
      <c r="P13" s="3577"/>
      <c r="Q13" s="3577"/>
      <c r="R13" s="3816"/>
      <c r="S13" s="2795"/>
      <c r="T13" s="2796" t="s">
        <v>6617</v>
      </c>
      <c r="U13" s="1798"/>
    </row>
    <row r="14" spans="1:21" ht="12.75" x14ac:dyDescent="0.35">
      <c r="A14" s="1342">
        <v>13</v>
      </c>
      <c r="B14" s="1708" t="str">
        <f t="shared" si="2"/>
        <v/>
      </c>
      <c r="C14" s="1711" t="s">
        <v>4119</v>
      </c>
      <c r="D14" s="1712" t="s">
        <v>5904</v>
      </c>
      <c r="E14" s="2438"/>
      <c r="F14" s="2438"/>
      <c r="G14" s="2438">
        <v>1200</v>
      </c>
      <c r="H14" s="2438"/>
      <c r="I14" s="2438"/>
      <c r="J14" s="2438"/>
      <c r="K14" s="2438"/>
      <c r="L14" s="2438">
        <v>47000</v>
      </c>
      <c r="M14" s="2439"/>
      <c r="N14" s="2439"/>
      <c r="O14" s="2439"/>
      <c r="P14" s="2439"/>
      <c r="Q14" s="2439"/>
      <c r="R14" s="2440"/>
      <c r="S14" s="1503"/>
      <c r="T14" s="2282" t="s">
        <v>6657</v>
      </c>
      <c r="U14" s="1793"/>
    </row>
    <row r="15" spans="1:21" ht="12.75" x14ac:dyDescent="0.35">
      <c r="A15" s="1342">
        <v>14</v>
      </c>
      <c r="B15" s="1708" t="str">
        <f t="shared" si="2"/>
        <v/>
      </c>
      <c r="C15" s="1711" t="s">
        <v>4120</v>
      </c>
      <c r="D15" s="1712" t="s">
        <v>5905</v>
      </c>
      <c r="E15" s="2438"/>
      <c r="F15" s="2438"/>
      <c r="G15" s="2438">
        <v>5200</v>
      </c>
      <c r="H15" s="2438"/>
      <c r="I15" s="2438"/>
      <c r="J15" s="2438"/>
      <c r="K15" s="2438"/>
      <c r="L15" s="2438">
        <v>6000</v>
      </c>
      <c r="M15" s="2439"/>
      <c r="N15" s="2439"/>
      <c r="O15" s="2439"/>
      <c r="P15" s="2439"/>
      <c r="Q15" s="2439"/>
      <c r="R15" s="2440"/>
      <c r="S15" s="1503"/>
      <c r="T15" s="2282" t="s">
        <v>6617</v>
      </c>
      <c r="U15" s="1793"/>
    </row>
    <row r="16" spans="1:21" ht="12.75" x14ac:dyDescent="0.35">
      <c r="A16" s="1342">
        <v>15</v>
      </c>
      <c r="B16" s="1708" t="str">
        <f t="shared" si="2"/>
        <v/>
      </c>
      <c r="C16" s="1711" t="s">
        <v>4313</v>
      </c>
      <c r="D16" s="1712" t="s">
        <v>5906</v>
      </c>
      <c r="E16" s="2438"/>
      <c r="F16" s="2438"/>
      <c r="G16" s="2438">
        <v>3900</v>
      </c>
      <c r="H16" s="2438"/>
      <c r="I16" s="2438"/>
      <c r="J16" s="2438"/>
      <c r="K16" s="2438"/>
      <c r="L16" s="2438">
        <v>17400</v>
      </c>
      <c r="M16" s="2439"/>
      <c r="N16" s="2439"/>
      <c r="O16" s="2439"/>
      <c r="P16" s="2439"/>
      <c r="Q16" s="2439"/>
      <c r="R16" s="2440"/>
      <c r="S16" s="1503"/>
      <c r="T16" s="2282" t="s">
        <v>6617</v>
      </c>
      <c r="U16" s="1793"/>
    </row>
    <row r="17" spans="1:21" ht="12.75" x14ac:dyDescent="0.35">
      <c r="A17" s="1342">
        <v>16</v>
      </c>
      <c r="B17" s="1708" t="str">
        <f t="shared" si="2"/>
        <v/>
      </c>
      <c r="C17" s="1711" t="s">
        <v>4314</v>
      </c>
      <c r="D17" s="1712" t="s">
        <v>5907</v>
      </c>
      <c r="E17" s="2438"/>
      <c r="F17" s="2438"/>
      <c r="G17" s="2438">
        <v>7320</v>
      </c>
      <c r="H17" s="2438"/>
      <c r="I17" s="2438"/>
      <c r="J17" s="2438"/>
      <c r="K17" s="2438"/>
      <c r="L17" s="2438">
        <v>9000</v>
      </c>
      <c r="M17" s="2439"/>
      <c r="N17" s="2439"/>
      <c r="O17" s="2439"/>
      <c r="P17" s="2439"/>
      <c r="Q17" s="2439"/>
      <c r="R17" s="2440"/>
      <c r="S17" s="1503"/>
      <c r="T17" s="2282" t="s">
        <v>6657</v>
      </c>
      <c r="U17" s="1793"/>
    </row>
    <row r="18" spans="1:21" ht="12.75" x14ac:dyDescent="0.35">
      <c r="A18" s="1342">
        <v>17</v>
      </c>
      <c r="B18" s="1708" t="str">
        <f t="shared" si="2"/>
        <v/>
      </c>
      <c r="C18" s="1711" t="s">
        <v>4315</v>
      </c>
      <c r="D18" s="1712" t="s">
        <v>5908</v>
      </c>
      <c r="E18" s="2438"/>
      <c r="F18" s="2438"/>
      <c r="G18" s="2438">
        <v>1109</v>
      </c>
      <c r="H18" s="2438"/>
      <c r="I18" s="2438"/>
      <c r="J18" s="2438"/>
      <c r="K18" s="2438"/>
      <c r="L18" s="2438">
        <v>4000</v>
      </c>
      <c r="M18" s="2439"/>
      <c r="N18" s="2439"/>
      <c r="O18" s="2439"/>
      <c r="P18" s="2439"/>
      <c r="Q18" s="2439"/>
      <c r="R18" s="2440"/>
      <c r="S18" s="1503"/>
      <c r="T18" s="2282" t="s">
        <v>6657</v>
      </c>
      <c r="U18" s="1793"/>
    </row>
    <row r="19" spans="1:21" ht="12.75" x14ac:dyDescent="0.35">
      <c r="A19" s="1342">
        <v>18</v>
      </c>
      <c r="B19" s="1708" t="str">
        <f t="shared" si="2"/>
        <v/>
      </c>
      <c r="C19" s="1711" t="s">
        <v>3907</v>
      </c>
      <c r="D19" s="1712" t="s">
        <v>5909</v>
      </c>
      <c r="E19" s="2438"/>
      <c r="F19" s="2438"/>
      <c r="G19" s="2438">
        <v>4200</v>
      </c>
      <c r="H19" s="2438"/>
      <c r="I19" s="2438"/>
      <c r="J19" s="2438"/>
      <c r="K19" s="2438"/>
      <c r="L19" s="2438">
        <v>5000</v>
      </c>
      <c r="M19" s="2439"/>
      <c r="N19" s="2439"/>
      <c r="O19" s="2439"/>
      <c r="P19" s="2439"/>
      <c r="Q19" s="2439"/>
      <c r="R19" s="2440"/>
      <c r="S19" s="1503"/>
      <c r="T19" s="2282" t="s">
        <v>6657</v>
      </c>
      <c r="U19" s="1793"/>
    </row>
    <row r="20" spans="1:21" ht="12.75" x14ac:dyDescent="0.35">
      <c r="A20" s="1342">
        <v>19</v>
      </c>
      <c r="B20" s="1708" t="str">
        <f t="shared" si="2"/>
        <v/>
      </c>
      <c r="C20" s="1711" t="s">
        <v>3908</v>
      </c>
      <c r="D20" s="1712" t="s">
        <v>5910</v>
      </c>
      <c r="E20" s="2438"/>
      <c r="F20" s="2438"/>
      <c r="G20" s="2438">
        <v>13642</v>
      </c>
      <c r="H20" s="2438"/>
      <c r="I20" s="2438"/>
      <c r="J20" s="2438"/>
      <c r="K20" s="2438"/>
      <c r="L20" s="2438">
        <v>5000</v>
      </c>
      <c r="M20" s="2439"/>
      <c r="N20" s="2439"/>
      <c r="O20" s="2439"/>
      <c r="P20" s="2439"/>
      <c r="Q20" s="2439"/>
      <c r="R20" s="2440"/>
      <c r="S20" s="1503"/>
      <c r="T20" s="2282" t="s">
        <v>6657</v>
      </c>
      <c r="U20" s="1793"/>
    </row>
    <row r="21" spans="1:21" ht="12.75" x14ac:dyDescent="0.35">
      <c r="A21" s="1342">
        <v>20</v>
      </c>
      <c r="B21" s="1708" t="str">
        <f t="shared" si="2"/>
        <v/>
      </c>
      <c r="C21" s="1711" t="s">
        <v>1472</v>
      </c>
      <c r="D21" s="1712" t="s">
        <v>5911</v>
      </c>
      <c r="E21" s="2438"/>
      <c r="F21" s="2438"/>
      <c r="G21" s="2438">
        <v>1602</v>
      </c>
      <c r="H21" s="2438"/>
      <c r="I21" s="2438"/>
      <c r="J21" s="2438"/>
      <c r="K21" s="2438"/>
      <c r="L21" s="2438">
        <v>6000</v>
      </c>
      <c r="M21" s="2439"/>
      <c r="N21" s="2439"/>
      <c r="O21" s="2439"/>
      <c r="P21" s="2439"/>
      <c r="Q21" s="2439"/>
      <c r="R21" s="2440"/>
      <c r="S21" s="1503"/>
      <c r="T21" s="2282" t="s">
        <v>6617</v>
      </c>
      <c r="U21" s="1793"/>
    </row>
    <row r="22" spans="1:21" ht="12.75" x14ac:dyDescent="0.35">
      <c r="A22" s="1342">
        <v>21</v>
      </c>
      <c r="B22" s="1708" t="str">
        <f t="shared" si="2"/>
        <v/>
      </c>
      <c r="C22" s="1711" t="s">
        <v>1829</v>
      </c>
      <c r="D22" s="1712" t="s">
        <v>1971</v>
      </c>
      <c r="E22" s="2438"/>
      <c r="F22" s="2438"/>
      <c r="G22" s="2438"/>
      <c r="H22" s="2438"/>
      <c r="I22" s="2438"/>
      <c r="J22" s="2438"/>
      <c r="K22" s="2438"/>
      <c r="L22" s="2438">
        <v>600</v>
      </c>
      <c r="M22" s="2439"/>
      <c r="N22" s="2439"/>
      <c r="O22" s="2439"/>
      <c r="P22" s="2439"/>
      <c r="Q22" s="2439"/>
      <c r="R22" s="2440"/>
      <c r="S22" s="1503"/>
      <c r="T22" s="2282" t="s">
        <v>6657</v>
      </c>
      <c r="U22" s="1793"/>
    </row>
    <row r="23" spans="1:21" ht="50.65" x14ac:dyDescent="0.35">
      <c r="A23" s="1342">
        <v>22</v>
      </c>
      <c r="B23" s="1708" t="str">
        <f t="shared" si="2"/>
        <v/>
      </c>
      <c r="C23" s="1711" t="s">
        <v>1830</v>
      </c>
      <c r="D23" s="1339" t="s">
        <v>5912</v>
      </c>
      <c r="E23" s="2454">
        <v>6365</v>
      </c>
      <c r="F23" s="2441">
        <v>13603</v>
      </c>
      <c r="G23" s="2442">
        <f>G14+G15+G16+G17+G18+G19+G20+G21+G22</f>
        <v>38173</v>
      </c>
      <c r="H23" s="2441">
        <v>8620</v>
      </c>
      <c r="I23" s="2441">
        <v>14262</v>
      </c>
      <c r="J23" s="2441">
        <v>6000</v>
      </c>
      <c r="K23" s="2441">
        <v>12000</v>
      </c>
      <c r="L23" s="2441">
        <v>100000</v>
      </c>
      <c r="M23" s="2443"/>
      <c r="N23" s="2443"/>
      <c r="O23" s="2443"/>
      <c r="P23" s="2443"/>
      <c r="Q23" s="2443"/>
      <c r="R23" s="2444"/>
      <c r="S23" s="1503"/>
      <c r="T23" s="2282" t="s">
        <v>6658</v>
      </c>
      <c r="U23" s="1798" t="s">
        <v>8455</v>
      </c>
    </row>
    <row r="24" spans="1:21" ht="30.4" x14ac:dyDescent="0.35">
      <c r="A24" s="1342">
        <v>23</v>
      </c>
      <c r="B24" s="1708" t="str">
        <f t="shared" si="2"/>
        <v/>
      </c>
      <c r="C24" s="1711" t="s">
        <v>4289</v>
      </c>
      <c r="D24" s="1712" t="s">
        <v>5913</v>
      </c>
      <c r="E24" s="2442">
        <f t="shared" ref="E24:L24" si="3">MAX(0,E11+E13-E23)</f>
        <v>53100</v>
      </c>
      <c r="F24" s="2442">
        <f t="shared" si="3"/>
        <v>957</v>
      </c>
      <c r="G24" s="2442">
        <f t="shared" si="3"/>
        <v>0</v>
      </c>
      <c r="H24" s="2442">
        <f t="shared" si="3"/>
        <v>23875</v>
      </c>
      <c r="I24" s="2442">
        <f t="shared" si="3"/>
        <v>3733</v>
      </c>
      <c r="J24" s="2442">
        <f t="shared" si="3"/>
        <v>4000</v>
      </c>
      <c r="K24" s="2442">
        <f t="shared" si="3"/>
        <v>0</v>
      </c>
      <c r="L24" s="2442">
        <f t="shared" si="3"/>
        <v>0</v>
      </c>
      <c r="M24" s="2443"/>
      <c r="N24" s="2443"/>
      <c r="O24" s="2443"/>
      <c r="P24" s="2443"/>
      <c r="Q24" s="2443"/>
      <c r="R24" s="2444"/>
      <c r="S24" s="1503"/>
      <c r="T24" s="2282" t="s">
        <v>6654</v>
      </c>
      <c r="U24" s="1793" t="s">
        <v>5886</v>
      </c>
    </row>
    <row r="25" spans="1:21" ht="30.4" x14ac:dyDescent="0.35">
      <c r="A25" s="1342">
        <v>24</v>
      </c>
      <c r="B25" s="1708" t="str">
        <f t="shared" si="2"/>
        <v/>
      </c>
      <c r="C25" s="1711" t="s">
        <v>4290</v>
      </c>
      <c r="D25" s="1712" t="s">
        <v>5914</v>
      </c>
      <c r="E25" s="2442">
        <f t="shared" ref="E25:L25" si="4">MAX(0,E23-(E11+E13))</f>
        <v>0</v>
      </c>
      <c r="F25" s="2442">
        <f t="shared" si="4"/>
        <v>0</v>
      </c>
      <c r="G25" s="2442">
        <f t="shared" si="4"/>
        <v>10530</v>
      </c>
      <c r="H25" s="2442">
        <f t="shared" si="4"/>
        <v>0</v>
      </c>
      <c r="I25" s="2442">
        <f t="shared" si="4"/>
        <v>0</v>
      </c>
      <c r="J25" s="2442">
        <f t="shared" si="4"/>
        <v>0</v>
      </c>
      <c r="K25" s="2442">
        <f t="shared" si="4"/>
        <v>7000</v>
      </c>
      <c r="L25" s="2442">
        <f t="shared" si="4"/>
        <v>100000</v>
      </c>
      <c r="M25" s="2443"/>
      <c r="N25" s="2443"/>
      <c r="O25" s="2443"/>
      <c r="P25" s="2443"/>
      <c r="Q25" s="2443"/>
      <c r="R25" s="2444"/>
      <c r="S25" s="1503"/>
      <c r="T25" s="2282" t="s">
        <v>6654</v>
      </c>
      <c r="U25" s="1793" t="s">
        <v>5887</v>
      </c>
    </row>
    <row r="26" spans="1:21" ht="12.75" x14ac:dyDescent="0.35">
      <c r="A26" s="1342">
        <v>25</v>
      </c>
      <c r="B26" s="1708" t="str">
        <f t="shared" si="2"/>
        <v/>
      </c>
      <c r="C26" s="1711" t="s">
        <v>4291</v>
      </c>
      <c r="D26" s="1712" t="s">
        <v>5915</v>
      </c>
      <c r="E26" s="2438"/>
      <c r="F26" s="2438"/>
      <c r="G26" s="2438"/>
      <c r="H26" s="2438">
        <v>1200</v>
      </c>
      <c r="I26" s="2438">
        <v>1500</v>
      </c>
      <c r="J26" s="2438"/>
      <c r="K26" s="2438"/>
      <c r="L26" s="2438"/>
      <c r="M26" s="2439"/>
      <c r="N26" s="2439"/>
      <c r="O26" s="2439"/>
      <c r="P26" s="2439"/>
      <c r="Q26" s="2439"/>
      <c r="R26" s="2440"/>
      <c r="S26" s="1503"/>
      <c r="T26" s="2282" t="s">
        <v>6617</v>
      </c>
      <c r="U26" s="1793" t="s">
        <v>5888</v>
      </c>
    </row>
    <row r="27" spans="1:21" ht="12.75" x14ac:dyDescent="0.35">
      <c r="A27" s="1342">
        <v>26</v>
      </c>
      <c r="B27" s="1708" t="str">
        <f t="shared" si="2"/>
        <v/>
      </c>
      <c r="C27" s="1711" t="s">
        <v>4292</v>
      </c>
      <c r="D27" s="1712" t="s">
        <v>5916</v>
      </c>
      <c r="E27" s="2438"/>
      <c r="F27" s="2438"/>
      <c r="G27" s="2438"/>
      <c r="H27" s="2438">
        <v>800</v>
      </c>
      <c r="I27" s="2438">
        <v>1000</v>
      </c>
      <c r="J27" s="2438"/>
      <c r="K27" s="2438"/>
      <c r="L27" s="2438"/>
      <c r="M27" s="2439"/>
      <c r="N27" s="2439"/>
      <c r="O27" s="2439"/>
      <c r="P27" s="2439"/>
      <c r="Q27" s="2439"/>
      <c r="R27" s="2440"/>
      <c r="S27" s="1503"/>
      <c r="T27" s="2282" t="s">
        <v>6617</v>
      </c>
      <c r="U27" s="1793"/>
    </row>
    <row r="28" spans="1:21" ht="20.25" x14ac:dyDescent="0.35">
      <c r="A28" s="1342">
        <v>27</v>
      </c>
      <c r="B28" s="1708" t="str">
        <f t="shared" si="2"/>
        <v/>
      </c>
      <c r="C28" s="1711" t="s">
        <v>4293</v>
      </c>
      <c r="D28" s="1712" t="s">
        <v>5917</v>
      </c>
      <c r="E28" s="2438"/>
      <c r="F28" s="2438">
        <v>1700</v>
      </c>
      <c r="G28" s="2438">
        <v>1260</v>
      </c>
      <c r="H28" s="2438"/>
      <c r="I28" s="2438">
        <v>1650</v>
      </c>
      <c r="J28" s="2438"/>
      <c r="K28" s="2438"/>
      <c r="L28" s="2438"/>
      <c r="M28" s="2439"/>
      <c r="N28" s="2439"/>
      <c r="O28" s="2439"/>
      <c r="P28" s="2439"/>
      <c r="Q28" s="2439"/>
      <c r="R28" s="2440"/>
      <c r="S28" s="1503"/>
      <c r="T28" s="2282" t="s">
        <v>6617</v>
      </c>
      <c r="U28" s="1798" t="s">
        <v>8444</v>
      </c>
    </row>
    <row r="29" spans="1:21" ht="12.75" x14ac:dyDescent="0.35">
      <c r="A29" s="1342">
        <v>28</v>
      </c>
      <c r="B29" s="1708" t="str">
        <f t="shared" si="2"/>
        <v/>
      </c>
      <c r="C29" s="1711" t="s">
        <v>4294</v>
      </c>
      <c r="D29" s="1712" t="s">
        <v>5918</v>
      </c>
      <c r="E29" s="2438">
        <v>995</v>
      </c>
      <c r="F29" s="2438">
        <v>3926</v>
      </c>
      <c r="G29" s="2438">
        <v>1340</v>
      </c>
      <c r="H29" s="2438"/>
      <c r="I29" s="2438"/>
      <c r="J29" s="2438"/>
      <c r="K29" s="2438"/>
      <c r="L29" s="2438"/>
      <c r="M29" s="2439"/>
      <c r="N29" s="2439"/>
      <c r="O29" s="2439"/>
      <c r="P29" s="2439"/>
      <c r="Q29" s="2439"/>
      <c r="R29" s="2440"/>
      <c r="S29" s="1503"/>
      <c r="T29" s="2282" t="s">
        <v>6617</v>
      </c>
      <c r="U29" s="1793"/>
    </row>
    <row r="30" spans="1:21" ht="12.75" x14ac:dyDescent="0.35">
      <c r="A30" s="1342">
        <v>29</v>
      </c>
      <c r="B30" s="1708" t="str">
        <f t="shared" si="2"/>
        <v/>
      </c>
      <c r="C30" s="1711" t="s">
        <v>4295</v>
      </c>
      <c r="D30" s="1712" t="s">
        <v>5919</v>
      </c>
      <c r="E30" s="2438"/>
      <c r="F30" s="2438">
        <v>720</v>
      </c>
      <c r="G30" s="2438"/>
      <c r="H30" s="2438"/>
      <c r="I30" s="2438"/>
      <c r="J30" s="2438"/>
      <c r="K30" s="2438"/>
      <c r="L30" s="2438"/>
      <c r="M30" s="2439"/>
      <c r="N30" s="2439"/>
      <c r="O30" s="2439"/>
      <c r="P30" s="2439"/>
      <c r="Q30" s="2439"/>
      <c r="R30" s="2440"/>
      <c r="S30" s="1503"/>
      <c r="T30" s="2282" t="s">
        <v>6617</v>
      </c>
      <c r="U30" s="1793" t="s">
        <v>15</v>
      </c>
    </row>
    <row r="31" spans="1:21" ht="40.5" x14ac:dyDescent="0.35">
      <c r="A31" s="1342">
        <v>30</v>
      </c>
      <c r="B31" s="1708" t="str">
        <f t="shared" si="2"/>
        <v/>
      </c>
      <c r="C31" s="1711" t="s">
        <v>4296</v>
      </c>
      <c r="D31" s="1712" t="s">
        <v>5920</v>
      </c>
      <c r="E31" s="2442">
        <f>MAX(0, (E24+E29+E30)-(E25+E26+E27+E28))</f>
        <v>54095</v>
      </c>
      <c r="F31" s="2442">
        <f t="shared" ref="F31:L31" si="5">MAX(0, (F24+F29+F30)-(F25+F26+F27+F28))</f>
        <v>3903</v>
      </c>
      <c r="G31" s="2442">
        <f t="shared" si="5"/>
        <v>0</v>
      </c>
      <c r="H31" s="2442">
        <v>21875</v>
      </c>
      <c r="I31" s="2442">
        <f t="shared" si="5"/>
        <v>0</v>
      </c>
      <c r="J31" s="2442">
        <f t="shared" si="5"/>
        <v>4000</v>
      </c>
      <c r="K31" s="2442">
        <f t="shared" si="5"/>
        <v>0</v>
      </c>
      <c r="L31" s="2442">
        <f t="shared" si="5"/>
        <v>0</v>
      </c>
      <c r="M31" s="2443"/>
      <c r="N31" s="2443"/>
      <c r="O31" s="2443"/>
      <c r="P31" s="2443"/>
      <c r="Q31" s="2443"/>
      <c r="R31" s="2444"/>
      <c r="S31" s="1503"/>
      <c r="T31" s="2282" t="s">
        <v>6654</v>
      </c>
      <c r="U31" s="1793" t="s">
        <v>5889</v>
      </c>
    </row>
    <row r="32" spans="1:21" ht="12.75" x14ac:dyDescent="0.35">
      <c r="A32" s="1342">
        <v>31</v>
      </c>
      <c r="B32" s="1708" t="str">
        <f t="shared" si="2"/>
        <v/>
      </c>
      <c r="C32" s="1711" t="s">
        <v>4297</v>
      </c>
      <c r="D32" s="1712" t="s">
        <v>5921</v>
      </c>
      <c r="E32" s="2445">
        <v>7295</v>
      </c>
      <c r="F32" s="2445"/>
      <c r="G32" s="2445"/>
      <c r="H32" s="2445"/>
      <c r="I32" s="2445"/>
      <c r="J32" s="2445"/>
      <c r="K32" s="2445"/>
      <c r="L32" s="2446"/>
      <c r="M32" s="2447"/>
      <c r="N32" s="2447"/>
      <c r="O32" s="2447"/>
      <c r="P32" s="2447"/>
      <c r="Q32" s="2447"/>
      <c r="R32" s="2414"/>
      <c r="S32" s="1503"/>
      <c r="T32" s="2282" t="s">
        <v>6617</v>
      </c>
      <c r="U32" s="1793" t="s">
        <v>5890</v>
      </c>
    </row>
    <row r="33" spans="1:21" ht="12.75" x14ac:dyDescent="0.35">
      <c r="A33" s="1342">
        <v>32</v>
      </c>
      <c r="B33" s="1708" t="str">
        <f t="shared" si="2"/>
        <v/>
      </c>
      <c r="C33" s="1711" t="s">
        <v>4298</v>
      </c>
      <c r="D33" s="1712" t="s">
        <v>5922</v>
      </c>
      <c r="E33" s="2438"/>
      <c r="F33" s="2438">
        <v>250</v>
      </c>
      <c r="G33" s="2438"/>
      <c r="H33" s="2438"/>
      <c r="I33" s="2438"/>
      <c r="J33" s="2438"/>
      <c r="K33" s="2438"/>
      <c r="L33" s="2438"/>
      <c r="M33" s="2439"/>
      <c r="N33" s="2439"/>
      <c r="O33" s="2439"/>
      <c r="P33" s="2439"/>
      <c r="Q33" s="2439"/>
      <c r="R33" s="2440"/>
      <c r="S33" s="1503"/>
      <c r="T33" s="2282" t="s">
        <v>6617</v>
      </c>
      <c r="U33" s="1793" t="s">
        <v>15</v>
      </c>
    </row>
    <row r="34" spans="1:21" ht="30.4" x14ac:dyDescent="0.35">
      <c r="A34" s="1342">
        <v>33</v>
      </c>
      <c r="B34" s="1708" t="str">
        <f t="shared" si="2"/>
        <v/>
      </c>
      <c r="C34" s="2344" t="s">
        <v>1378</v>
      </c>
      <c r="D34" s="2345" t="s">
        <v>5923</v>
      </c>
      <c r="E34" s="2448">
        <f>MAX(0,E31+E33-E32)</f>
        <v>46800</v>
      </c>
      <c r="F34" s="2448">
        <f t="shared" ref="F34:L34" si="6">MAX(0,F31+F33-F32)</f>
        <v>4153</v>
      </c>
      <c r="G34" s="2448">
        <f t="shared" si="6"/>
        <v>0</v>
      </c>
      <c r="H34" s="2448">
        <v>21875</v>
      </c>
      <c r="I34" s="2448">
        <f t="shared" si="6"/>
        <v>0</v>
      </c>
      <c r="J34" s="2448">
        <f t="shared" si="6"/>
        <v>4000</v>
      </c>
      <c r="K34" s="2448">
        <f t="shared" si="6"/>
        <v>0</v>
      </c>
      <c r="L34" s="2448">
        <f t="shared" si="6"/>
        <v>0</v>
      </c>
      <c r="M34" s="2450"/>
      <c r="N34" s="2450"/>
      <c r="O34" s="2450"/>
      <c r="P34" s="2450"/>
      <c r="Q34" s="2450"/>
      <c r="R34" s="2451"/>
      <c r="S34" s="1503"/>
      <c r="T34" s="2282" t="s">
        <v>6654</v>
      </c>
      <c r="U34" s="1793" t="s">
        <v>5891</v>
      </c>
    </row>
    <row r="35" spans="1:21" ht="50.65" x14ac:dyDescent="0.35">
      <c r="A35" s="1342">
        <v>34</v>
      </c>
      <c r="B35" s="1708" t="str">
        <f t="shared" si="2"/>
        <v/>
      </c>
      <c r="C35" s="1711" t="s">
        <v>1379</v>
      </c>
      <c r="D35" s="1712" t="s">
        <v>5924</v>
      </c>
      <c r="E35" s="2442">
        <f t="shared" ref="E35:L35" si="7">MAX(0,(E25+E26+E27+E28)-(E24+E29+E30))</f>
        <v>0</v>
      </c>
      <c r="F35" s="2442">
        <f t="shared" si="7"/>
        <v>0</v>
      </c>
      <c r="G35" s="2442">
        <f t="shared" si="7"/>
        <v>10450</v>
      </c>
      <c r="H35" s="2442">
        <f t="shared" si="7"/>
        <v>0</v>
      </c>
      <c r="I35" s="2442">
        <f t="shared" si="7"/>
        <v>417</v>
      </c>
      <c r="J35" s="2442">
        <f t="shared" si="7"/>
        <v>0</v>
      </c>
      <c r="K35" s="2442">
        <f t="shared" si="7"/>
        <v>7000</v>
      </c>
      <c r="L35" s="2442">
        <f t="shared" si="7"/>
        <v>100000</v>
      </c>
      <c r="M35" s="2443"/>
      <c r="N35" s="2443"/>
      <c r="O35" s="2443"/>
      <c r="P35" s="2443"/>
      <c r="Q35" s="2443"/>
      <c r="R35" s="2444"/>
      <c r="S35" s="1503"/>
      <c r="T35" s="2282" t="s">
        <v>6654</v>
      </c>
      <c r="U35" s="1798" t="s">
        <v>8445</v>
      </c>
    </row>
    <row r="36" spans="1:21" ht="20.25" x14ac:dyDescent="0.35">
      <c r="A36" s="1342">
        <v>35</v>
      </c>
      <c r="B36" s="1708" t="str">
        <f t="shared" si="2"/>
        <v/>
      </c>
      <c r="C36" s="2344" t="s">
        <v>1380</v>
      </c>
      <c r="D36" s="2345" t="s">
        <v>5925</v>
      </c>
      <c r="E36" s="2455" t="str">
        <f>IF(E10="Y","",IF(E35=0,"",E35))</f>
        <v/>
      </c>
      <c r="F36" s="2455" t="str">
        <f>IF(F10="Y","",IF(F35=0,"",F35))</f>
        <v/>
      </c>
      <c r="G36" s="2455">
        <f>IF(G10="Y","",IF(G35=0,"",G35))</f>
        <v>10450</v>
      </c>
      <c r="H36" s="2455" t="str">
        <f>IF(H10="Y","",IF(H35=0,"",H35))</f>
        <v/>
      </c>
      <c r="I36" s="2445"/>
      <c r="J36" s="2455" t="str">
        <f>IF(J10="Y","",IF(J35=0,"",J35))</f>
        <v/>
      </c>
      <c r="K36" s="2445">
        <v>2500</v>
      </c>
      <c r="L36" s="2455">
        <f>IF(L10="Y","",IF(L35=0,"",L35))</f>
        <v>100000</v>
      </c>
      <c r="M36" s="2447"/>
      <c r="N36" s="2447"/>
      <c r="O36" s="2447"/>
      <c r="P36" s="2447"/>
      <c r="Q36" s="2447"/>
      <c r="R36" s="2414"/>
      <c r="S36" s="1503"/>
      <c r="T36" s="2282" t="s">
        <v>6654</v>
      </c>
      <c r="U36" s="1793" t="s">
        <v>5892</v>
      </c>
    </row>
    <row r="37" spans="1:21" ht="20.25" x14ac:dyDescent="0.35">
      <c r="A37" s="1342">
        <v>36</v>
      </c>
      <c r="B37" s="1708" t="str">
        <f t="shared" si="2"/>
        <v/>
      </c>
      <c r="C37" s="1711" t="s">
        <v>1381</v>
      </c>
      <c r="D37" s="1712" t="s">
        <v>5926</v>
      </c>
      <c r="E37" s="2438"/>
      <c r="F37" s="2438"/>
      <c r="G37" s="2438"/>
      <c r="H37" s="2438"/>
      <c r="I37" s="2438"/>
      <c r="J37" s="2438"/>
      <c r="K37" s="2438"/>
      <c r="L37" s="2438"/>
      <c r="M37" s="2439"/>
      <c r="N37" s="2439"/>
      <c r="O37" s="2439"/>
      <c r="P37" s="2439"/>
      <c r="Q37" s="2439"/>
      <c r="R37" s="2440"/>
      <c r="S37" s="1503"/>
      <c r="T37" s="2282" t="s">
        <v>6617</v>
      </c>
      <c r="U37" s="1793" t="s">
        <v>5893</v>
      </c>
    </row>
    <row r="38" spans="1:21" ht="13.15" x14ac:dyDescent="0.35">
      <c r="A38" s="1342">
        <v>37</v>
      </c>
      <c r="B38" s="1708" t="str">
        <f t="shared" si="2"/>
        <v/>
      </c>
      <c r="C38" s="1711" t="s">
        <v>1382</v>
      </c>
      <c r="D38" s="1712" t="s">
        <v>5927</v>
      </c>
      <c r="E38" s="2438"/>
      <c r="F38" s="2438"/>
      <c r="G38" s="2438"/>
      <c r="H38" s="2438"/>
      <c r="I38" s="2438"/>
      <c r="J38" s="2438"/>
      <c r="K38" s="2438"/>
      <c r="L38" s="2438"/>
      <c r="M38" s="2439"/>
      <c r="N38" s="2439"/>
      <c r="O38" s="2439"/>
      <c r="P38" s="2439"/>
      <c r="Q38" s="2439"/>
      <c r="R38" s="2440"/>
      <c r="S38" s="1503"/>
      <c r="T38" s="2282" t="s">
        <v>6654</v>
      </c>
      <c r="U38" s="1502"/>
    </row>
    <row r="39" spans="1:21" ht="13.15" x14ac:dyDescent="0.35">
      <c r="A39" s="1342">
        <v>38</v>
      </c>
      <c r="B39" s="1708" t="str">
        <f t="shared" si="2"/>
        <v/>
      </c>
      <c r="C39" s="1711" t="s">
        <v>808</v>
      </c>
      <c r="D39" s="1712" t="str">
        <f>"If your total profits for "&amp;tax_year&amp;" are less than "&amp;DOLLAR(NIC2_SPT,0)&amp;" and you choose to pay Class 2 NICs voluntarily, put 'X' in the box"</f>
        <v>If your total profits for 2017-18 are less than £6,025 and you choose to pay Class 2 NICs voluntarily, put 'X' in the box</v>
      </c>
      <c r="E39" s="2005" t="str">
        <f t="shared" ref="E39:M39" si="8">IF(SE_A_IND&gt;1,IF(SE_B_IND&gt;1,"",IF(LUN_IND&gt;1,"",IF(PS_A_IND&gt;1,"",IF(PS_B_IND&gt;1,"",IF(AND(E34&lt;NIC2_SPT,NIC2_Vol,NIC_exempt=FALSE),"Y","N"))))),"")</f>
        <v/>
      </c>
      <c r="F39" s="2005" t="str">
        <f t="shared" si="8"/>
        <v/>
      </c>
      <c r="G39" s="2005" t="str">
        <f t="shared" si="8"/>
        <v/>
      </c>
      <c r="H39" s="2005" t="str">
        <f t="shared" si="8"/>
        <v/>
      </c>
      <c r="I39" s="2005" t="str">
        <f t="shared" si="8"/>
        <v/>
      </c>
      <c r="J39" s="2005" t="str">
        <f t="shared" si="8"/>
        <v/>
      </c>
      <c r="K39" s="2005" t="str">
        <f t="shared" si="8"/>
        <v/>
      </c>
      <c r="L39" s="2005" t="str">
        <f t="shared" si="8"/>
        <v/>
      </c>
      <c r="M39" s="2309" t="str">
        <f t="shared" si="8"/>
        <v/>
      </c>
      <c r="N39" s="2309" t="str">
        <f>IF(SE_A_IND&gt;1,IF(SE_B_IND&gt;1,"",IF(LUN_IND&gt;1,"",IF(PS_A_IND&gt;1,"",IF(PS_B_IND&gt;1,"",IF(AND(N34&lt;NIC2_SPT,NIC2_Vol,NIC_exempt=FALSE),"Y","N"))))),"")</f>
        <v/>
      </c>
      <c r="O39" s="2309" t="str">
        <f>IF(SE_A_IND&gt;1,IF(SE_B_IND&gt;1,"",IF(LUN_IND&gt;1,"",IF(PS_A_IND&gt;1,"",IF(PS_B_IND&gt;1,"",IF(AND(O34&lt;NIC2_SPT,NIC2_Vol,NIC_exempt=FALSE),"Y","N"))))),"")</f>
        <v/>
      </c>
      <c r="P39" s="2309" t="str">
        <f>IF(SE_A_IND&gt;1,IF(SE_B_IND&gt;1,"",IF(LUN_IND&gt;1,"",IF(PS_A_IND&gt;1,"",IF(PS_B_IND&gt;1,"",IF(AND(P34&lt;NIC2_SPT,NIC2_Vol,NIC_exempt=FALSE),"Y","N"))))),"")</f>
        <v/>
      </c>
      <c r="Q39" s="2309" t="str">
        <f>IF(SE_A_IND&gt;1,IF(SE_B_IND&gt;1,"",IF(LUN_IND&gt;1,"",IF(PS_A_IND&gt;1,"",IF(PS_B_IND&gt;1,"",IF(AND(Q34&lt;NIC2_SPT,NIC2_Vol,NIC_exempt=FALSE),"Y","N"))))),"")</f>
        <v/>
      </c>
      <c r="R39" s="2310" t="str">
        <f>IF(SE_A_IND&gt;1,IF(SE_B_IND&gt;1,"",IF(LUN_IND&gt;1,"",IF(PS_A_IND&gt;1,"",IF(PS_B_IND&gt;1,"",IF(AND(R34&lt;NIC2_SPT,NIC2_Vol,NIC_exempt=FALSE),"Y","N"))))),"")</f>
        <v/>
      </c>
      <c r="S39" s="1503"/>
      <c r="T39" s="2282" t="s">
        <v>6620</v>
      </c>
      <c r="U39" s="1502"/>
    </row>
    <row r="40" spans="1:21" ht="13.15" x14ac:dyDescent="0.35">
      <c r="A40" s="1342">
        <v>39</v>
      </c>
      <c r="B40" s="1708" t="str">
        <f t="shared" si="2"/>
        <v/>
      </c>
      <c r="C40" s="1711" t="s">
        <v>809</v>
      </c>
      <c r="D40" s="1712" t="s">
        <v>5230</v>
      </c>
      <c r="E40" s="2005" t="str">
        <f>IF(SE_A_IND&gt;1,IF(NIC_exempt,"Y","N"),"")</f>
        <v/>
      </c>
      <c r="F40" s="2005" t="str">
        <f t="shared" ref="F40:R40" si="9">IF(SE_A_IND&gt;1,IF(NIC_exempt,"Y","N"),"")</f>
        <v/>
      </c>
      <c r="G40" s="2005" t="str">
        <f t="shared" si="9"/>
        <v/>
      </c>
      <c r="H40" s="2005" t="str">
        <f t="shared" si="9"/>
        <v/>
      </c>
      <c r="I40" s="2005" t="str">
        <f t="shared" si="9"/>
        <v/>
      </c>
      <c r="J40" s="2005" t="str">
        <f t="shared" si="9"/>
        <v/>
      </c>
      <c r="K40" s="2005" t="str">
        <f t="shared" si="9"/>
        <v/>
      </c>
      <c r="L40" s="2005" t="str">
        <f t="shared" si="9"/>
        <v/>
      </c>
      <c r="M40" s="2309" t="str">
        <f t="shared" si="9"/>
        <v/>
      </c>
      <c r="N40" s="2309" t="str">
        <f t="shared" si="9"/>
        <v/>
      </c>
      <c r="O40" s="2309" t="str">
        <f t="shared" si="9"/>
        <v/>
      </c>
      <c r="P40" s="2309" t="str">
        <f t="shared" si="9"/>
        <v/>
      </c>
      <c r="Q40" s="2309" t="str">
        <f t="shared" si="9"/>
        <v/>
      </c>
      <c r="R40" s="2310" t="str">
        <f t="shared" si="9"/>
        <v/>
      </c>
      <c r="S40" s="1503"/>
      <c r="T40" s="2282" t="s">
        <v>6620</v>
      </c>
      <c r="U40" s="1502"/>
    </row>
    <row r="41" spans="1:21" ht="13.5" thickBot="1" x14ac:dyDescent="0.4">
      <c r="A41" s="1342">
        <v>40</v>
      </c>
      <c r="B41" s="1708" t="str">
        <f t="shared" si="2"/>
        <v/>
      </c>
      <c r="C41" s="1727" t="s">
        <v>790</v>
      </c>
      <c r="D41" s="1728" t="s">
        <v>5928</v>
      </c>
      <c r="E41" s="2043">
        <v>10421</v>
      </c>
      <c r="F41" s="2043"/>
      <c r="G41" s="2043"/>
      <c r="H41" s="2043"/>
      <c r="I41" s="2043"/>
      <c r="J41" s="2043"/>
      <c r="K41" s="2043"/>
      <c r="L41" s="2043"/>
      <c r="M41" s="2452"/>
      <c r="N41" s="2452"/>
      <c r="O41" s="2452"/>
      <c r="P41" s="2452"/>
      <c r="Q41" s="2452"/>
      <c r="R41" s="2453"/>
      <c r="S41" s="1503"/>
      <c r="T41" s="2282" t="s">
        <v>6617</v>
      </c>
      <c r="U41" s="1502"/>
    </row>
    <row r="42" spans="1:21" ht="12" thickBot="1" x14ac:dyDescent="0.4"/>
    <row r="43" spans="1:21" ht="13.15" x14ac:dyDescent="0.35">
      <c r="A43" s="1342" t="s">
        <v>4845</v>
      </c>
      <c r="B43" s="676" t="s">
        <v>4210</v>
      </c>
      <c r="C43" s="1776" t="s">
        <v>3925</v>
      </c>
      <c r="D43" s="1729"/>
      <c r="E43" s="1348">
        <v>1</v>
      </c>
      <c r="F43" s="1348">
        <v>2</v>
      </c>
      <c r="G43" s="1348">
        <v>3</v>
      </c>
      <c r="H43" s="1348">
        <v>4</v>
      </c>
      <c r="I43" s="1348">
        <v>5</v>
      </c>
      <c r="J43" s="1348">
        <v>6</v>
      </c>
      <c r="K43" s="1348">
        <v>7</v>
      </c>
      <c r="L43" s="1348">
        <v>8</v>
      </c>
      <c r="M43" s="1348">
        <v>9</v>
      </c>
      <c r="N43" s="3602">
        <v>10</v>
      </c>
      <c r="O43" s="1348">
        <v>11</v>
      </c>
      <c r="P43" s="1348">
        <v>12</v>
      </c>
      <c r="Q43" s="1348">
        <v>13</v>
      </c>
      <c r="R43" s="1349">
        <v>14</v>
      </c>
      <c r="S43" s="1503"/>
      <c r="T43" s="59"/>
      <c r="U43" s="1502" t="s">
        <v>5460</v>
      </c>
    </row>
    <row r="44" spans="1:21" ht="12.75" x14ac:dyDescent="0.35">
      <c r="A44" s="1342">
        <v>2</v>
      </c>
      <c r="B44" s="1708" t="str">
        <f t="shared" ref="B44:B59" si="10">IF(SE_B_IND&gt;1,IF(HLOOKUP(SE_B_IND-1,FSE_RANGE,A44)="","",HLOOKUP(SE_B_IND-1,FSE_RANGE,A44)),"")</f>
        <v/>
      </c>
      <c r="C44" s="1580" t="s">
        <v>1148</v>
      </c>
      <c r="D44" s="1712" t="s">
        <v>5952</v>
      </c>
      <c r="E44" s="1716" t="s">
        <v>1187</v>
      </c>
      <c r="F44" s="1715" t="s">
        <v>1188</v>
      </c>
      <c r="G44" s="1715" t="s">
        <v>1189</v>
      </c>
      <c r="H44" s="1715" t="s">
        <v>1190</v>
      </c>
      <c r="I44" s="1715" t="s">
        <v>1191</v>
      </c>
      <c r="J44" s="1715" t="s">
        <v>4044</v>
      </c>
      <c r="K44" s="1715" t="s">
        <v>3613</v>
      </c>
      <c r="L44" s="1715" t="s">
        <v>3617</v>
      </c>
      <c r="M44" s="1715" t="s">
        <v>3730</v>
      </c>
      <c r="N44" s="3603" t="s">
        <v>5692</v>
      </c>
      <c r="O44" s="2300" t="s">
        <v>5693</v>
      </c>
      <c r="P44" s="2300" t="s">
        <v>5694</v>
      </c>
      <c r="Q44" s="2300" t="s">
        <v>5695</v>
      </c>
      <c r="R44" s="1585" t="s">
        <v>5696</v>
      </c>
      <c r="S44" s="1503"/>
      <c r="T44" s="2282" t="s">
        <v>6621</v>
      </c>
      <c r="U44" s="1793"/>
    </row>
    <row r="45" spans="1:21" ht="12.75" x14ac:dyDescent="0.35">
      <c r="A45" s="1342">
        <v>3</v>
      </c>
      <c r="B45" s="1708" t="str">
        <f t="shared" si="10"/>
        <v/>
      </c>
      <c r="C45" s="1580" t="s">
        <v>1149</v>
      </c>
      <c r="D45" s="1712" t="s">
        <v>5894</v>
      </c>
      <c r="E45" s="1716" t="s">
        <v>1383</v>
      </c>
      <c r="F45" s="1715" t="s">
        <v>1384</v>
      </c>
      <c r="G45" s="1715" t="s">
        <v>1385</v>
      </c>
      <c r="H45" s="1715" t="s">
        <v>1386</v>
      </c>
      <c r="I45" s="1715" t="s">
        <v>1192</v>
      </c>
      <c r="J45" s="1715" t="s">
        <v>2502</v>
      </c>
      <c r="K45" s="1715" t="s">
        <v>3614</v>
      </c>
      <c r="L45" s="1715" t="s">
        <v>3618</v>
      </c>
      <c r="M45" s="1715" t="s">
        <v>1192</v>
      </c>
      <c r="N45" s="3603" t="s">
        <v>8218</v>
      </c>
      <c r="O45" s="2300"/>
      <c r="P45" s="2300"/>
      <c r="Q45" s="2300"/>
      <c r="R45" s="1585"/>
      <c r="S45" s="1503"/>
      <c r="T45" s="2282" t="s">
        <v>6621</v>
      </c>
      <c r="U45" s="1793"/>
    </row>
    <row r="46" spans="1:21" ht="12.75" x14ac:dyDescent="0.35">
      <c r="A46" s="1342">
        <v>4</v>
      </c>
      <c r="B46" s="1708" t="str">
        <f t="shared" si="10"/>
        <v/>
      </c>
      <c r="C46" s="1580" t="s">
        <v>1150</v>
      </c>
      <c r="D46" s="1712" t="s">
        <v>5953</v>
      </c>
      <c r="E46" s="1716"/>
      <c r="F46" s="1715" t="s">
        <v>1387</v>
      </c>
      <c r="G46" s="1715" t="s">
        <v>1388</v>
      </c>
      <c r="H46" s="1715"/>
      <c r="I46" s="1715"/>
      <c r="J46" s="1715"/>
      <c r="K46" s="1715" t="s">
        <v>3615</v>
      </c>
      <c r="L46" s="1715"/>
      <c r="M46" s="1715"/>
      <c r="N46" s="3603"/>
      <c r="O46" s="2300"/>
      <c r="P46" s="2300"/>
      <c r="Q46" s="2300"/>
      <c r="R46" s="1585"/>
      <c r="S46" s="1503"/>
      <c r="T46" s="2282" t="s">
        <v>6614</v>
      </c>
      <c r="U46" s="1793" t="s">
        <v>5929</v>
      </c>
    </row>
    <row r="47" spans="1:21" ht="12.75" x14ac:dyDescent="0.35">
      <c r="A47" s="1342">
        <v>5</v>
      </c>
      <c r="B47" s="1708" t="str">
        <f t="shared" si="10"/>
        <v/>
      </c>
      <c r="C47" s="1580" t="s">
        <v>1151</v>
      </c>
      <c r="D47" s="1712" t="s">
        <v>5953</v>
      </c>
      <c r="E47" s="1715"/>
      <c r="F47" s="1715" t="s">
        <v>1389</v>
      </c>
      <c r="G47" s="1715" t="s">
        <v>1390</v>
      </c>
      <c r="H47" s="1715"/>
      <c r="I47" s="1715"/>
      <c r="J47" s="1715"/>
      <c r="K47" s="1715" t="s">
        <v>3616</v>
      </c>
      <c r="L47" s="1715"/>
      <c r="M47" s="1715"/>
      <c r="N47" s="3603"/>
      <c r="O47" s="2300"/>
      <c r="P47" s="2300"/>
      <c r="Q47" s="2300"/>
      <c r="R47" s="1585"/>
      <c r="S47" s="1503"/>
      <c r="T47" s="2282" t="s">
        <v>6614</v>
      </c>
      <c r="U47" s="1795" t="s">
        <v>5930</v>
      </c>
    </row>
    <row r="48" spans="1:21" ht="12.75" x14ac:dyDescent="0.35">
      <c r="A48" s="1342">
        <v>6</v>
      </c>
      <c r="B48" s="1708" t="str">
        <f t="shared" si="10"/>
        <v/>
      </c>
      <c r="C48" s="1580" t="s">
        <v>1152</v>
      </c>
      <c r="D48" s="1712" t="s">
        <v>5896</v>
      </c>
      <c r="E48" s="1715"/>
      <c r="F48" s="1717"/>
      <c r="G48" s="1717"/>
      <c r="H48" s="1717"/>
      <c r="I48" s="1717"/>
      <c r="J48" s="1717"/>
      <c r="K48" s="1717"/>
      <c r="L48" s="1717"/>
      <c r="M48" s="1717"/>
      <c r="N48" s="3604"/>
      <c r="O48" s="2301"/>
      <c r="P48" s="2301"/>
      <c r="Q48" s="2301"/>
      <c r="R48" s="2302"/>
      <c r="S48" s="1503"/>
      <c r="T48" s="2282" t="s">
        <v>6620</v>
      </c>
      <c r="U48" s="1795"/>
    </row>
    <row r="49" spans="1:21" ht="12.75" x14ac:dyDescent="0.35">
      <c r="A49" s="1342">
        <v>7</v>
      </c>
      <c r="B49" s="1708" t="str">
        <f t="shared" si="10"/>
        <v/>
      </c>
      <c r="C49" s="1580" t="s">
        <v>1153</v>
      </c>
      <c r="D49" s="1712" t="s">
        <v>5954</v>
      </c>
      <c r="E49" s="1719"/>
      <c r="F49" s="1720"/>
      <c r="G49" s="1720"/>
      <c r="H49" s="1724" t="str">
        <f>"06/04/"&amp;Tax_year_start</f>
        <v>06/04/2017</v>
      </c>
      <c r="I49" s="1720"/>
      <c r="J49" s="1720"/>
      <c r="K49" s="1720"/>
      <c r="L49" s="1720"/>
      <c r="M49" s="1720"/>
      <c r="N49" s="3605"/>
      <c r="O49" s="2303"/>
      <c r="P49" s="2303"/>
      <c r="Q49" s="2303"/>
      <c r="R49" s="2304"/>
      <c r="S49" s="1503"/>
      <c r="T49" s="2282" t="s">
        <v>6656</v>
      </c>
      <c r="U49" s="1795" t="s">
        <v>5931</v>
      </c>
    </row>
    <row r="50" spans="1:21" ht="30.75" x14ac:dyDescent="0.35">
      <c r="A50" s="1342">
        <v>8</v>
      </c>
      <c r="B50" s="1708" t="str">
        <f t="shared" si="10"/>
        <v/>
      </c>
      <c r="C50" s="1580" t="s">
        <v>1154</v>
      </c>
      <c r="D50" s="1712" t="s">
        <v>5955</v>
      </c>
      <c r="E50" s="1719"/>
      <c r="F50" s="1720"/>
      <c r="G50" s="1724" t="str">
        <f>"31/08/"&amp;Tax_year_start</f>
        <v>31/08/2017</v>
      </c>
      <c r="H50" s="1720"/>
      <c r="I50" s="1720"/>
      <c r="J50" s="1720"/>
      <c r="K50" s="1720"/>
      <c r="L50" s="1720"/>
      <c r="M50" s="1720"/>
      <c r="N50" s="3605"/>
      <c r="O50" s="2303"/>
      <c r="P50" s="2303"/>
      <c r="Q50" s="2303"/>
      <c r="R50" s="2304"/>
      <c r="S50" s="1503"/>
      <c r="T50" s="2282" t="s">
        <v>6656</v>
      </c>
      <c r="U50" s="1796" t="s">
        <v>5932</v>
      </c>
    </row>
    <row r="51" spans="1:21" ht="12.75" x14ac:dyDescent="0.35">
      <c r="A51" s="1342">
        <v>9</v>
      </c>
      <c r="B51" s="1708" t="str">
        <f t="shared" si="10"/>
        <v/>
      </c>
      <c r="C51" s="1580" t="s">
        <v>1155</v>
      </c>
      <c r="D51" s="1712" t="s">
        <v>5956</v>
      </c>
      <c r="E51" s="1724" t="str">
        <f>"06/04/"&amp;Tax_year_start</f>
        <v>06/04/2017</v>
      </c>
      <c r="F51" s="1724" t="str">
        <f>"01/11/"&amp;Tax_year_start-1</f>
        <v>01/11/2016</v>
      </c>
      <c r="G51" s="1724" t="str">
        <f>"01/01/"&amp;Tax_year_start</f>
        <v>01/01/2017</v>
      </c>
      <c r="H51" s="1724" t="str">
        <f t="shared" ref="H51:R51" si="11">"06/04/"&amp;Tax_year_start</f>
        <v>06/04/2017</v>
      </c>
      <c r="I51" s="1724" t="str">
        <f t="shared" si="11"/>
        <v>06/04/2017</v>
      </c>
      <c r="J51" s="1724" t="str">
        <f t="shared" si="11"/>
        <v>06/04/2017</v>
      </c>
      <c r="K51" s="1724" t="str">
        <f t="shared" si="11"/>
        <v>06/04/2017</v>
      </c>
      <c r="L51" s="1724" t="str">
        <f t="shared" si="11"/>
        <v>06/04/2017</v>
      </c>
      <c r="M51" s="1724" t="str">
        <f t="shared" si="11"/>
        <v>06/04/2017</v>
      </c>
      <c r="N51" s="3605" t="str">
        <f t="shared" ref="N51" si="12">"06/04/"&amp;Tax_year_start</f>
        <v>06/04/2017</v>
      </c>
      <c r="O51" s="2303" t="str">
        <f t="shared" si="11"/>
        <v>06/04/2017</v>
      </c>
      <c r="P51" s="2303" t="str">
        <f t="shared" si="11"/>
        <v>06/04/2017</v>
      </c>
      <c r="Q51" s="2303" t="str">
        <f t="shared" si="11"/>
        <v>06/04/2017</v>
      </c>
      <c r="R51" s="2304" t="str">
        <f t="shared" si="11"/>
        <v>06/04/2017</v>
      </c>
      <c r="S51" s="1503"/>
      <c r="T51" s="2282" t="s">
        <v>6656</v>
      </c>
      <c r="U51" s="1793"/>
    </row>
    <row r="52" spans="1:21" ht="40.5" x14ac:dyDescent="0.35">
      <c r="A52" s="1342">
        <v>10</v>
      </c>
      <c r="B52" s="1708" t="str">
        <f t="shared" si="10"/>
        <v/>
      </c>
      <c r="C52" s="1580" t="s">
        <v>1156</v>
      </c>
      <c r="D52" s="1712" t="s">
        <v>5900</v>
      </c>
      <c r="E52" s="1724" t="str">
        <f>"05/04/"&amp;Tax_year_end</f>
        <v>05/04/2018</v>
      </c>
      <c r="F52" s="1724" t="str">
        <f>"31/10/"&amp;Tax_year_start</f>
        <v>31/10/2017</v>
      </c>
      <c r="G52" s="1724" t="str">
        <f>"31/08/"&amp;Tax_year_start</f>
        <v>31/08/2017</v>
      </c>
      <c r="H52" s="1724" t="str">
        <f>"05/04/"&amp;Tax_year_end</f>
        <v>05/04/2018</v>
      </c>
      <c r="I52" s="1724" t="str">
        <f>"30/12/"&amp;Tax_year_start</f>
        <v>30/12/2017</v>
      </c>
      <c r="J52" s="1724" t="str">
        <f t="shared" ref="J52:R52" si="13">"05/04/"&amp;Tax_year_end</f>
        <v>05/04/2018</v>
      </c>
      <c r="K52" s="1724" t="str">
        <f t="shared" si="13"/>
        <v>05/04/2018</v>
      </c>
      <c r="L52" s="1724" t="str">
        <f t="shared" si="13"/>
        <v>05/04/2018</v>
      </c>
      <c r="M52" s="1724" t="str">
        <f t="shared" si="13"/>
        <v>05/04/2018</v>
      </c>
      <c r="N52" s="3605" t="str">
        <f t="shared" ref="N52" si="14">"05/04/"&amp;Tax_year_end</f>
        <v>05/04/2018</v>
      </c>
      <c r="O52" s="2303" t="str">
        <f t="shared" si="13"/>
        <v>05/04/2018</v>
      </c>
      <c r="P52" s="2303" t="str">
        <f t="shared" si="13"/>
        <v>05/04/2018</v>
      </c>
      <c r="Q52" s="2303" t="str">
        <f t="shared" si="13"/>
        <v>05/04/2018</v>
      </c>
      <c r="R52" s="2304" t="str">
        <f t="shared" si="13"/>
        <v>05/04/2018</v>
      </c>
      <c r="S52" s="1503"/>
      <c r="T52" s="2282" t="s">
        <v>6656</v>
      </c>
      <c r="U52" s="1793" t="s">
        <v>5933</v>
      </c>
    </row>
    <row r="53" spans="1:21" ht="12.75" x14ac:dyDescent="0.35">
      <c r="A53" s="1342">
        <v>11</v>
      </c>
      <c r="B53" s="1708" t="str">
        <f t="shared" si="10"/>
        <v/>
      </c>
      <c r="C53" s="1580" t="s">
        <v>1157</v>
      </c>
      <c r="D53" s="1712" t="s">
        <v>5337</v>
      </c>
      <c r="E53" s="1716" t="s">
        <v>1237</v>
      </c>
      <c r="F53" s="1716" t="s">
        <v>1237</v>
      </c>
      <c r="G53" s="1716" t="s">
        <v>1237</v>
      </c>
      <c r="H53" s="1716" t="s">
        <v>1237</v>
      </c>
      <c r="I53" s="1722" t="s">
        <v>1237</v>
      </c>
      <c r="J53" s="1722" t="s">
        <v>1237</v>
      </c>
      <c r="K53" s="1722" t="s">
        <v>1237</v>
      </c>
      <c r="L53" s="1722" t="s">
        <v>583</v>
      </c>
      <c r="M53" s="1722" t="s">
        <v>1237</v>
      </c>
      <c r="N53" s="3606" t="s">
        <v>1237</v>
      </c>
      <c r="O53" s="2311"/>
      <c r="P53" s="2311"/>
      <c r="Q53" s="2311"/>
      <c r="R53" s="2312"/>
      <c r="S53" s="1503"/>
      <c r="T53" s="2282" t="s">
        <v>6620</v>
      </c>
      <c r="U53" s="1793"/>
    </row>
    <row r="54" spans="1:21" ht="12.75" x14ac:dyDescent="0.35">
      <c r="A54" s="1342">
        <v>12</v>
      </c>
      <c r="B54" s="1708" t="str">
        <f t="shared" si="10"/>
        <v/>
      </c>
      <c r="C54" s="1580" t="s">
        <v>1158</v>
      </c>
      <c r="D54" s="1712" t="s">
        <v>5957</v>
      </c>
      <c r="E54" s="1716" t="s">
        <v>1237</v>
      </c>
      <c r="F54" s="1716" t="s">
        <v>1237</v>
      </c>
      <c r="G54" s="1716" t="s">
        <v>1237</v>
      </c>
      <c r="H54" s="1716" t="s">
        <v>1237</v>
      </c>
      <c r="I54" s="1722" t="s">
        <v>1237</v>
      </c>
      <c r="J54" s="1722" t="s">
        <v>1237</v>
      </c>
      <c r="K54" s="1722" t="s">
        <v>1237</v>
      </c>
      <c r="L54" s="1722" t="s">
        <v>1237</v>
      </c>
      <c r="M54" s="1722" t="s">
        <v>1237</v>
      </c>
      <c r="N54" s="3606" t="s">
        <v>1237</v>
      </c>
      <c r="O54" s="2311"/>
      <c r="P54" s="2311"/>
      <c r="Q54" s="2311"/>
      <c r="R54" s="2312"/>
      <c r="S54" s="1503"/>
      <c r="T54" s="2282" t="s">
        <v>6620</v>
      </c>
      <c r="U54" s="1793"/>
    </row>
    <row r="55" spans="1:21" ht="12.75" x14ac:dyDescent="0.35">
      <c r="A55" s="1342">
        <v>13</v>
      </c>
      <c r="B55" s="1708" t="str">
        <f t="shared" si="10"/>
        <v/>
      </c>
      <c r="C55" s="1580" t="s">
        <v>1159</v>
      </c>
      <c r="D55" s="1712" t="s">
        <v>5958</v>
      </c>
      <c r="E55" s="1716" t="s">
        <v>1237</v>
      </c>
      <c r="F55" s="1716" t="s">
        <v>1237</v>
      </c>
      <c r="G55" s="1716" t="s">
        <v>1237</v>
      </c>
      <c r="H55" s="1716" t="s">
        <v>1237</v>
      </c>
      <c r="I55" s="1722" t="s">
        <v>1237</v>
      </c>
      <c r="J55" s="1722" t="s">
        <v>1237</v>
      </c>
      <c r="K55" s="1722" t="s">
        <v>1237</v>
      </c>
      <c r="L55" s="1722" t="s">
        <v>1237</v>
      </c>
      <c r="M55" s="1722" t="s">
        <v>1237</v>
      </c>
      <c r="N55" s="3606" t="s">
        <v>1237</v>
      </c>
      <c r="O55" s="2311"/>
      <c r="P55" s="2311"/>
      <c r="Q55" s="2311"/>
      <c r="R55" s="2312"/>
      <c r="S55" s="1503"/>
      <c r="T55" s="2282" t="s">
        <v>6620</v>
      </c>
      <c r="U55" s="1793"/>
    </row>
    <row r="56" spans="1:21" ht="12.75" x14ac:dyDescent="0.35">
      <c r="A56" s="1342">
        <v>14</v>
      </c>
      <c r="B56" s="1708" t="str">
        <f t="shared" si="10"/>
        <v/>
      </c>
      <c r="C56" s="1580" t="s">
        <v>1160</v>
      </c>
      <c r="D56" s="1712" t="s">
        <v>5340</v>
      </c>
      <c r="E56" s="1716" t="s">
        <v>1237</v>
      </c>
      <c r="F56" s="1716" t="s">
        <v>1237</v>
      </c>
      <c r="G56" s="1716" t="s">
        <v>1237</v>
      </c>
      <c r="H56" s="1716" t="s">
        <v>1237</v>
      </c>
      <c r="I56" s="1722" t="s">
        <v>1237</v>
      </c>
      <c r="J56" s="1722" t="s">
        <v>583</v>
      </c>
      <c r="K56" s="1722" t="s">
        <v>1237</v>
      </c>
      <c r="L56" s="1722" t="s">
        <v>1237</v>
      </c>
      <c r="M56" s="1722" t="s">
        <v>1237</v>
      </c>
      <c r="N56" s="3606" t="s">
        <v>1237</v>
      </c>
      <c r="O56" s="2311"/>
      <c r="P56" s="2311"/>
      <c r="Q56" s="2311"/>
      <c r="R56" s="2312"/>
      <c r="S56" s="1503"/>
      <c r="T56" s="2282" t="s">
        <v>6620</v>
      </c>
      <c r="U56" s="1793"/>
    </row>
    <row r="57" spans="1:21" ht="13.15" x14ac:dyDescent="0.35">
      <c r="A57" s="1342">
        <v>15</v>
      </c>
      <c r="B57" s="1708" t="str">
        <f t="shared" si="10"/>
        <v/>
      </c>
      <c r="C57" s="1580" t="s">
        <v>1163</v>
      </c>
      <c r="D57" s="1712" t="s">
        <v>5960</v>
      </c>
      <c r="E57" s="1716" t="s">
        <v>1237</v>
      </c>
      <c r="F57" s="1716" t="s">
        <v>1237</v>
      </c>
      <c r="G57" s="1716" t="s">
        <v>1237</v>
      </c>
      <c r="H57" s="1716" t="s">
        <v>1237</v>
      </c>
      <c r="I57" s="1722" t="s">
        <v>1237</v>
      </c>
      <c r="J57" s="1722" t="s">
        <v>1237</v>
      </c>
      <c r="K57" s="1722" t="s">
        <v>1237</v>
      </c>
      <c r="L57" s="1722" t="s">
        <v>1237</v>
      </c>
      <c r="M57" s="1722" t="s">
        <v>1237</v>
      </c>
      <c r="N57" s="3606" t="s">
        <v>1237</v>
      </c>
      <c r="O57" s="2311"/>
      <c r="P57" s="2311"/>
      <c r="Q57" s="2311"/>
      <c r="R57" s="2312"/>
      <c r="S57" s="1503"/>
      <c r="T57" s="2282" t="s">
        <v>6620</v>
      </c>
      <c r="U57" s="1502"/>
    </row>
    <row r="58" spans="1:21" ht="13.15" x14ac:dyDescent="0.35">
      <c r="A58" s="1342">
        <v>16</v>
      </c>
      <c r="B58" s="1708" t="str">
        <f t="shared" si="10"/>
        <v/>
      </c>
      <c r="C58" s="1580" t="s">
        <v>1164</v>
      </c>
      <c r="D58" s="1712" t="s">
        <v>5902</v>
      </c>
      <c r="E58" s="2438">
        <v>82959</v>
      </c>
      <c r="F58" s="2438">
        <v>328938</v>
      </c>
      <c r="G58" s="2438">
        <v>67088</v>
      </c>
      <c r="H58" s="2438">
        <v>73250</v>
      </c>
      <c r="I58" s="2438">
        <v>74900</v>
      </c>
      <c r="J58" s="2438">
        <v>175264</v>
      </c>
      <c r="K58" s="2438">
        <v>69203</v>
      </c>
      <c r="L58" s="2438">
        <v>70000</v>
      </c>
      <c r="M58" s="2438">
        <v>155000</v>
      </c>
      <c r="N58" s="3607">
        <v>37491</v>
      </c>
      <c r="O58" s="2439"/>
      <c r="P58" s="2439"/>
      <c r="Q58" s="2439"/>
      <c r="R58" s="2440"/>
      <c r="S58" s="1503"/>
      <c r="T58" s="2282" t="s">
        <v>6654</v>
      </c>
      <c r="U58" s="1502"/>
    </row>
    <row r="59" spans="1:21" ht="20.25" x14ac:dyDescent="0.35">
      <c r="A59" s="1342">
        <v>17</v>
      </c>
      <c r="B59" s="1708" t="str">
        <f t="shared" si="10"/>
        <v/>
      </c>
      <c r="C59" s="1580" t="s">
        <v>1165</v>
      </c>
      <c r="D59" s="1712" t="s">
        <v>5903</v>
      </c>
      <c r="E59" s="2438"/>
      <c r="F59" s="2438"/>
      <c r="G59" s="2438"/>
      <c r="H59" s="2438"/>
      <c r="I59" s="2438"/>
      <c r="J59" s="2438">
        <v>5460</v>
      </c>
      <c r="K59" s="2438"/>
      <c r="L59" s="2438"/>
      <c r="M59" s="2438"/>
      <c r="N59" s="3607"/>
      <c r="O59" s="2439"/>
      <c r="P59" s="2439"/>
      <c r="Q59" s="2439"/>
      <c r="R59" s="2440"/>
      <c r="S59" s="1503"/>
      <c r="T59" s="2282" t="s">
        <v>6617</v>
      </c>
      <c r="U59" s="1793" t="s">
        <v>5934</v>
      </c>
    </row>
    <row r="60" spans="1:21" ht="40.5" x14ac:dyDescent="0.35">
      <c r="A60" s="2744">
        <v>18</v>
      </c>
      <c r="B60" s="3814" t="str">
        <f t="shared" ref="B60:B123" si="15">IF(SE_B_IND&gt;1,IF(HLOOKUP(SE_B_IND-1,FSE_RANGE,A60)="","",HLOOKUP(SE_B_IND-1,FSE_RANGE,A60)),"")</f>
        <v/>
      </c>
      <c r="C60" s="3817" t="s">
        <v>8446</v>
      </c>
      <c r="D60" s="2156" t="s">
        <v>8443</v>
      </c>
      <c r="E60" s="3577"/>
      <c r="F60" s="3577"/>
      <c r="G60" s="3577"/>
      <c r="H60" s="3577"/>
      <c r="I60" s="3577"/>
      <c r="J60" s="3577"/>
      <c r="K60" s="3577"/>
      <c r="L60" s="3577"/>
      <c r="M60" s="3577"/>
      <c r="N60" s="3607"/>
      <c r="O60" s="3577"/>
      <c r="P60" s="3577"/>
      <c r="Q60" s="3577"/>
      <c r="R60" s="3816"/>
      <c r="S60" s="2795"/>
      <c r="T60" s="2796" t="s">
        <v>6617</v>
      </c>
      <c r="U60" s="1798" t="s">
        <v>8447</v>
      </c>
    </row>
    <row r="61" spans="1:21" ht="12.75" x14ac:dyDescent="0.35">
      <c r="A61" s="1342">
        <v>19</v>
      </c>
      <c r="B61" s="1708" t="str">
        <f t="shared" si="15"/>
        <v/>
      </c>
      <c r="C61" s="1580" t="s">
        <v>1166</v>
      </c>
      <c r="D61" s="1712" t="s">
        <v>5904</v>
      </c>
      <c r="E61" s="2438">
        <v>19144</v>
      </c>
      <c r="F61" s="2438">
        <v>75512</v>
      </c>
      <c r="G61" s="2456"/>
      <c r="H61" s="2438">
        <v>23569</v>
      </c>
      <c r="I61" s="2438">
        <v>25000</v>
      </c>
      <c r="J61" s="2438"/>
      <c r="K61" s="2438"/>
      <c r="L61" s="2438">
        <v>2577</v>
      </c>
      <c r="M61" s="2438"/>
      <c r="N61" s="3607"/>
      <c r="O61" s="2439"/>
      <c r="P61" s="2439"/>
      <c r="Q61" s="2439"/>
      <c r="R61" s="2440"/>
      <c r="S61" s="1503"/>
      <c r="T61" s="2282" t="s">
        <v>6657</v>
      </c>
      <c r="U61" s="1793"/>
    </row>
    <row r="62" spans="1:21" ht="12.75" x14ac:dyDescent="0.35">
      <c r="A62" s="1342">
        <v>20</v>
      </c>
      <c r="B62" s="1708" t="str">
        <f t="shared" si="15"/>
        <v/>
      </c>
      <c r="C62" s="1580" t="s">
        <v>1167</v>
      </c>
      <c r="D62" s="1712" t="s">
        <v>5961</v>
      </c>
      <c r="E62" s="2438"/>
      <c r="F62" s="2438"/>
      <c r="G62" s="2438">
        <v>300</v>
      </c>
      <c r="H62" s="2438"/>
      <c r="I62" s="2438"/>
      <c r="J62" s="2438"/>
      <c r="K62" s="2438"/>
      <c r="L62" s="2438"/>
      <c r="M62" s="2438"/>
      <c r="N62" s="3607"/>
      <c r="O62" s="2439"/>
      <c r="P62" s="2439"/>
      <c r="Q62" s="2439"/>
      <c r="R62" s="2440"/>
      <c r="S62" s="1503"/>
      <c r="T62" s="2282" t="s">
        <v>6617</v>
      </c>
      <c r="U62" s="1793"/>
    </row>
    <row r="63" spans="1:21" ht="12.75" x14ac:dyDescent="0.35">
      <c r="A63" s="1342">
        <v>21</v>
      </c>
      <c r="B63" s="1708" t="str">
        <f t="shared" si="15"/>
        <v/>
      </c>
      <c r="C63" s="1580" t="s">
        <v>2998</v>
      </c>
      <c r="D63" s="1712" t="s">
        <v>5906</v>
      </c>
      <c r="E63" s="2438">
        <v>3780</v>
      </c>
      <c r="F63" s="2438">
        <v>99532</v>
      </c>
      <c r="G63" s="2438">
        <v>1500</v>
      </c>
      <c r="H63" s="2438">
        <v>22000</v>
      </c>
      <c r="I63" s="2438">
        <v>2000</v>
      </c>
      <c r="J63" s="2438">
        <v>10640</v>
      </c>
      <c r="K63" s="2438">
        <v>15430</v>
      </c>
      <c r="L63" s="2438">
        <v>25337</v>
      </c>
      <c r="M63" s="2438">
        <v>28750</v>
      </c>
      <c r="N63" s="3607"/>
      <c r="O63" s="2439"/>
      <c r="P63" s="2439"/>
      <c r="Q63" s="2439"/>
      <c r="R63" s="2440"/>
      <c r="S63" s="1503"/>
      <c r="T63" s="2282" t="s">
        <v>6617</v>
      </c>
      <c r="U63" s="1793"/>
    </row>
    <row r="64" spans="1:21" ht="12.75" x14ac:dyDescent="0.35">
      <c r="A64" s="1342">
        <v>22</v>
      </c>
      <c r="B64" s="1708" t="str">
        <f t="shared" si="15"/>
        <v/>
      </c>
      <c r="C64" s="1580" t="s">
        <v>2999</v>
      </c>
      <c r="D64" s="1712" t="s">
        <v>5905</v>
      </c>
      <c r="E64" s="2438"/>
      <c r="F64" s="2438">
        <v>3747</v>
      </c>
      <c r="G64" s="2438">
        <v>3678</v>
      </c>
      <c r="H64" s="2438">
        <v>16200</v>
      </c>
      <c r="I64" s="2438">
        <v>12000</v>
      </c>
      <c r="J64" s="2438">
        <v>2421</v>
      </c>
      <c r="K64" s="2438">
        <v>12688</v>
      </c>
      <c r="L64" s="2438">
        <v>11799</v>
      </c>
      <c r="M64" s="2438">
        <v>17900</v>
      </c>
      <c r="N64" s="3607"/>
      <c r="O64" s="2439"/>
      <c r="P64" s="2439"/>
      <c r="Q64" s="2439"/>
      <c r="R64" s="2440"/>
      <c r="S64" s="1503"/>
      <c r="T64" s="2282" t="s">
        <v>6617</v>
      </c>
      <c r="U64" s="1793"/>
    </row>
    <row r="65" spans="1:21" ht="12.75" x14ac:dyDescent="0.35">
      <c r="A65" s="1342">
        <v>23</v>
      </c>
      <c r="B65" s="1708" t="str">
        <f t="shared" si="15"/>
        <v/>
      </c>
      <c r="C65" s="1580" t="s">
        <v>3000</v>
      </c>
      <c r="D65" s="1712" t="s">
        <v>5907</v>
      </c>
      <c r="E65" s="2438"/>
      <c r="F65" s="2438">
        <v>16128</v>
      </c>
      <c r="G65" s="2438">
        <v>1252</v>
      </c>
      <c r="H65" s="2438">
        <v>15600</v>
      </c>
      <c r="I65" s="2438">
        <v>10800</v>
      </c>
      <c r="J65" s="2438">
        <v>25623</v>
      </c>
      <c r="K65" s="2438">
        <v>13211</v>
      </c>
      <c r="L65" s="2438">
        <v>13980</v>
      </c>
      <c r="M65" s="2438">
        <v>11876</v>
      </c>
      <c r="N65" s="3607"/>
      <c r="O65" s="2439"/>
      <c r="P65" s="2439"/>
      <c r="Q65" s="2439"/>
      <c r="R65" s="2440"/>
      <c r="S65" s="1503"/>
      <c r="T65" s="2282" t="s">
        <v>6657</v>
      </c>
      <c r="U65" s="1793"/>
    </row>
    <row r="66" spans="1:21" ht="12.75" x14ac:dyDescent="0.35">
      <c r="A66" s="1342">
        <v>24</v>
      </c>
      <c r="B66" s="1708" t="str">
        <f t="shared" si="15"/>
        <v/>
      </c>
      <c r="C66" s="1580" t="s">
        <v>3001</v>
      </c>
      <c r="D66" s="1712" t="s">
        <v>5908</v>
      </c>
      <c r="E66" s="2438">
        <v>4203</v>
      </c>
      <c r="F66" s="2438"/>
      <c r="G66" s="2438"/>
      <c r="H66" s="2438"/>
      <c r="I66" s="2438"/>
      <c r="J66" s="2438"/>
      <c r="K66" s="2438">
        <v>3256</v>
      </c>
      <c r="L66" s="2438">
        <v>5920</v>
      </c>
      <c r="M66" s="2438">
        <v>3679</v>
      </c>
      <c r="N66" s="3607"/>
      <c r="O66" s="2439"/>
      <c r="P66" s="2439"/>
      <c r="Q66" s="2439"/>
      <c r="R66" s="2440"/>
      <c r="S66" s="1503"/>
      <c r="T66" s="2282" t="s">
        <v>6657</v>
      </c>
      <c r="U66" s="1793"/>
    </row>
    <row r="67" spans="1:21" ht="12.75" x14ac:dyDescent="0.35">
      <c r="A67" s="1342">
        <v>25</v>
      </c>
      <c r="B67" s="1708" t="str">
        <f t="shared" si="15"/>
        <v/>
      </c>
      <c r="C67" s="1580" t="s">
        <v>3002</v>
      </c>
      <c r="D67" s="1712" t="s">
        <v>5911</v>
      </c>
      <c r="E67" s="2438"/>
      <c r="F67" s="2438">
        <v>6040</v>
      </c>
      <c r="G67" s="2438">
        <v>961</v>
      </c>
      <c r="H67" s="2438"/>
      <c r="I67" s="2438"/>
      <c r="J67" s="2438">
        <v>640</v>
      </c>
      <c r="K67" s="2438">
        <v>158</v>
      </c>
      <c r="L67" s="2438"/>
      <c r="M67" s="2438">
        <v>1250</v>
      </c>
      <c r="N67" s="3607"/>
      <c r="O67" s="2439"/>
      <c r="P67" s="2439"/>
      <c r="Q67" s="2439"/>
      <c r="R67" s="2440"/>
      <c r="S67" s="1503"/>
      <c r="T67" s="2282" t="s">
        <v>6617</v>
      </c>
      <c r="U67" s="1793"/>
    </row>
    <row r="68" spans="1:21" ht="12.75" x14ac:dyDescent="0.35">
      <c r="A68" s="1342">
        <v>26</v>
      </c>
      <c r="B68" s="1708" t="str">
        <f t="shared" si="15"/>
        <v/>
      </c>
      <c r="C68" s="1580" t="s">
        <v>3003</v>
      </c>
      <c r="D68" s="1712" t="s">
        <v>5962</v>
      </c>
      <c r="E68" s="2438"/>
      <c r="F68" s="2438">
        <v>764</v>
      </c>
      <c r="G68" s="2438"/>
      <c r="H68" s="2438"/>
      <c r="I68" s="2438">
        <v>1400</v>
      </c>
      <c r="J68" s="2438"/>
      <c r="K68" s="2438">
        <v>2219</v>
      </c>
      <c r="L68" s="2438">
        <v>3256</v>
      </c>
      <c r="M68" s="2438">
        <v>500</v>
      </c>
      <c r="N68" s="3607"/>
      <c r="O68" s="2439"/>
      <c r="P68" s="2439"/>
      <c r="Q68" s="2439"/>
      <c r="R68" s="2440"/>
      <c r="S68" s="1503"/>
      <c r="T68" s="2282" t="s">
        <v>6617</v>
      </c>
      <c r="U68" s="1793"/>
    </row>
    <row r="69" spans="1:21" ht="12.75" x14ac:dyDescent="0.35">
      <c r="A69" s="1342">
        <v>27</v>
      </c>
      <c r="B69" s="1708" t="str">
        <f t="shared" si="15"/>
        <v/>
      </c>
      <c r="C69" s="1580" t="s">
        <v>3004</v>
      </c>
      <c r="D69" s="1712" t="s">
        <v>5963</v>
      </c>
      <c r="E69" s="2438"/>
      <c r="F69" s="2438">
        <v>9523</v>
      </c>
      <c r="G69" s="2438"/>
      <c r="H69" s="2438"/>
      <c r="I69" s="2438">
        <v>5800</v>
      </c>
      <c r="J69" s="2438"/>
      <c r="K69" s="2438">
        <v>1931</v>
      </c>
      <c r="L69" s="2438">
        <v>4556</v>
      </c>
      <c r="M69" s="2438">
        <v>78000</v>
      </c>
      <c r="N69" s="3607"/>
      <c r="O69" s="2439"/>
      <c r="P69" s="2439"/>
      <c r="Q69" s="2439"/>
      <c r="R69" s="2440"/>
      <c r="S69" s="1503"/>
      <c r="T69" s="2282" t="s">
        <v>6657</v>
      </c>
      <c r="U69" s="1793"/>
    </row>
    <row r="70" spans="1:21" ht="12.75" x14ac:dyDescent="0.35">
      <c r="A70" s="1342">
        <v>28</v>
      </c>
      <c r="B70" s="1708" t="str">
        <f t="shared" si="15"/>
        <v/>
      </c>
      <c r="C70" s="1580" t="s">
        <v>3005</v>
      </c>
      <c r="D70" s="1712" t="s">
        <v>5910</v>
      </c>
      <c r="E70" s="2438">
        <v>216</v>
      </c>
      <c r="F70" s="2438">
        <v>2719</v>
      </c>
      <c r="G70" s="2438"/>
      <c r="H70" s="2438"/>
      <c r="I70" s="2438">
        <v>1500</v>
      </c>
      <c r="J70" s="2438"/>
      <c r="K70" s="2438">
        <v>287</v>
      </c>
      <c r="L70" s="2438">
        <v>240</v>
      </c>
      <c r="M70" s="2438"/>
      <c r="N70" s="3607"/>
      <c r="O70" s="2439"/>
      <c r="P70" s="2439"/>
      <c r="Q70" s="2439"/>
      <c r="R70" s="2440"/>
      <c r="S70" s="1503"/>
      <c r="T70" s="2282" t="s">
        <v>6657</v>
      </c>
      <c r="U70" s="1793"/>
    </row>
    <row r="71" spans="1:21" ht="12.75" x14ac:dyDescent="0.35">
      <c r="A71" s="1342">
        <v>29</v>
      </c>
      <c r="B71" s="1708" t="str">
        <f t="shared" si="15"/>
        <v/>
      </c>
      <c r="C71" s="1580" t="s">
        <v>3006</v>
      </c>
      <c r="D71" s="1712" t="s">
        <v>5964</v>
      </c>
      <c r="E71" s="2438">
        <v>1317</v>
      </c>
      <c r="F71" s="2438">
        <v>798</v>
      </c>
      <c r="G71" s="2438"/>
      <c r="H71" s="2438"/>
      <c r="I71" s="2438"/>
      <c r="J71" s="2438"/>
      <c r="K71" s="2438"/>
      <c r="L71" s="2438">
        <v>3326</v>
      </c>
      <c r="M71" s="2438">
        <v>45000</v>
      </c>
      <c r="N71" s="3607"/>
      <c r="O71" s="2439"/>
      <c r="P71" s="2439"/>
      <c r="Q71" s="2439"/>
      <c r="R71" s="2440"/>
      <c r="S71" s="1503"/>
      <c r="T71" s="2282" t="s">
        <v>6657</v>
      </c>
      <c r="U71" s="1793"/>
    </row>
    <row r="72" spans="1:21" ht="12.75" x14ac:dyDescent="0.35">
      <c r="A72" s="1342">
        <v>30</v>
      </c>
      <c r="B72" s="1708" t="str">
        <f t="shared" si="15"/>
        <v/>
      </c>
      <c r="C72" s="1580" t="s">
        <v>3007</v>
      </c>
      <c r="D72" s="1712" t="s">
        <v>5909</v>
      </c>
      <c r="E72" s="2438"/>
      <c r="F72" s="2438">
        <v>6284</v>
      </c>
      <c r="G72" s="2438">
        <v>2150</v>
      </c>
      <c r="H72" s="2438">
        <v>659</v>
      </c>
      <c r="I72" s="2438"/>
      <c r="J72" s="2438">
        <v>1562</v>
      </c>
      <c r="K72" s="2438"/>
      <c r="L72" s="2438">
        <v>2169</v>
      </c>
      <c r="M72" s="2438">
        <v>17948</v>
      </c>
      <c r="N72" s="3607"/>
      <c r="O72" s="2439"/>
      <c r="P72" s="2439"/>
      <c r="Q72" s="2439"/>
      <c r="R72" s="2440"/>
      <c r="S72" s="1503"/>
      <c r="T72" s="2282" t="s">
        <v>6657</v>
      </c>
      <c r="U72" s="1793"/>
    </row>
    <row r="73" spans="1:21" ht="12.75" x14ac:dyDescent="0.35">
      <c r="A73" s="1342">
        <v>31</v>
      </c>
      <c r="B73" s="1708" t="str">
        <f t="shared" si="15"/>
        <v/>
      </c>
      <c r="C73" s="1580" t="s">
        <v>3008</v>
      </c>
      <c r="D73" s="1712" t="s">
        <v>5965</v>
      </c>
      <c r="E73" s="2438"/>
      <c r="F73" s="2438">
        <v>8592</v>
      </c>
      <c r="G73" s="2438"/>
      <c r="H73" s="2438"/>
      <c r="I73" s="2438"/>
      <c r="J73" s="2438"/>
      <c r="K73" s="2438"/>
      <c r="L73" s="2438"/>
      <c r="M73" s="2438">
        <v>2000</v>
      </c>
      <c r="N73" s="3607"/>
      <c r="O73" s="2439"/>
      <c r="P73" s="2439"/>
      <c r="Q73" s="2439"/>
      <c r="R73" s="2440"/>
      <c r="S73" s="1503"/>
      <c r="T73" s="2282" t="s">
        <v>6657</v>
      </c>
      <c r="U73" s="1793"/>
    </row>
    <row r="74" spans="1:21" ht="12.75" x14ac:dyDescent="0.35">
      <c r="A74" s="1342">
        <v>32</v>
      </c>
      <c r="B74" s="1708" t="str">
        <f t="shared" si="15"/>
        <v/>
      </c>
      <c r="C74" s="1580" t="s">
        <v>3009</v>
      </c>
      <c r="D74" s="1712" t="s">
        <v>1971</v>
      </c>
      <c r="E74" s="2438"/>
      <c r="F74" s="2438">
        <v>627</v>
      </c>
      <c r="G74" s="2438">
        <v>59</v>
      </c>
      <c r="H74" s="2438">
        <v>223</v>
      </c>
      <c r="I74" s="2438">
        <v>1500</v>
      </c>
      <c r="J74" s="2438"/>
      <c r="K74" s="2438"/>
      <c r="L74" s="2438">
        <v>1840</v>
      </c>
      <c r="M74" s="2438">
        <v>860</v>
      </c>
      <c r="N74" s="3607"/>
      <c r="O74" s="2439"/>
      <c r="P74" s="2439"/>
      <c r="Q74" s="2439"/>
      <c r="R74" s="2440"/>
      <c r="S74" s="1503"/>
      <c r="T74" s="2282" t="s">
        <v>6657</v>
      </c>
      <c r="U74" s="1793"/>
    </row>
    <row r="75" spans="1:21" ht="40.5" x14ac:dyDescent="0.35">
      <c r="A75" s="1342">
        <v>33</v>
      </c>
      <c r="B75" s="1708" t="str">
        <f t="shared" si="15"/>
        <v/>
      </c>
      <c r="C75" s="1580" t="s">
        <v>3010</v>
      </c>
      <c r="D75" s="1712" t="s">
        <v>5912</v>
      </c>
      <c r="E75" s="2442">
        <f>E61+E62+E63+E64+E65+E66+E67+E68+E69+E70+E71+E72+E73+E74</f>
        <v>28660</v>
      </c>
      <c r="F75" s="2442">
        <f t="shared" ref="F75:R75" si="16">F61+F62+F63+F64+F65+F66+F67+F68+F69+F70+F71+F72+F73+F74</f>
        <v>230266</v>
      </c>
      <c r="G75" s="2442">
        <f>G61+G62+G63+G64+G65+G66+G67+G68+G69+G70+G71+G72+G73+G74</f>
        <v>9900</v>
      </c>
      <c r="H75" s="2442">
        <f t="shared" si="16"/>
        <v>78251</v>
      </c>
      <c r="I75" s="2442">
        <f t="shared" si="16"/>
        <v>60000</v>
      </c>
      <c r="J75" s="2442">
        <f t="shared" si="16"/>
        <v>40886</v>
      </c>
      <c r="K75" s="2442">
        <f t="shared" si="16"/>
        <v>49180</v>
      </c>
      <c r="L75" s="2442">
        <f t="shared" si="16"/>
        <v>75000</v>
      </c>
      <c r="M75" s="2442">
        <f t="shared" si="16"/>
        <v>207763</v>
      </c>
      <c r="N75" s="3608">
        <v>625</v>
      </c>
      <c r="O75" s="2442">
        <f t="shared" si="16"/>
        <v>0</v>
      </c>
      <c r="P75" s="2442">
        <f t="shared" si="16"/>
        <v>0</v>
      </c>
      <c r="Q75" s="2442">
        <f t="shared" si="16"/>
        <v>0</v>
      </c>
      <c r="R75" s="2457">
        <f t="shared" si="16"/>
        <v>0</v>
      </c>
      <c r="S75" s="1503"/>
      <c r="T75" s="2282" t="s">
        <v>6619</v>
      </c>
      <c r="U75" s="1793" t="s">
        <v>5935</v>
      </c>
    </row>
    <row r="76" spans="1:21" ht="12.75" x14ac:dyDescent="0.35">
      <c r="A76" s="1342">
        <v>34</v>
      </c>
      <c r="B76" s="1708" t="str">
        <f t="shared" si="15"/>
        <v/>
      </c>
      <c r="C76" s="1580" t="s">
        <v>3011</v>
      </c>
      <c r="D76" s="1712" t="s">
        <v>5966</v>
      </c>
      <c r="E76" s="2438"/>
      <c r="F76" s="2438"/>
      <c r="G76" s="2438"/>
      <c r="H76" s="2438"/>
      <c r="I76" s="2438"/>
      <c r="J76" s="2438"/>
      <c r="K76" s="2438"/>
      <c r="L76" s="2438"/>
      <c r="M76" s="2438"/>
      <c r="N76" s="3607"/>
      <c r="O76" s="2439"/>
      <c r="P76" s="2439"/>
      <c r="Q76" s="2439"/>
      <c r="R76" s="2440"/>
      <c r="S76" s="1503"/>
      <c r="T76" s="2282" t="s">
        <v>6657</v>
      </c>
      <c r="U76" s="1793"/>
    </row>
    <row r="77" spans="1:21" ht="12.75" x14ac:dyDescent="0.35">
      <c r="A77" s="1342">
        <v>35</v>
      </c>
      <c r="B77" s="1708" t="str">
        <f t="shared" si="15"/>
        <v/>
      </c>
      <c r="C77" s="1580" t="s">
        <v>3012</v>
      </c>
      <c r="D77" s="1712" t="s">
        <v>5967</v>
      </c>
      <c r="E77" s="2438"/>
      <c r="F77" s="2438"/>
      <c r="G77" s="2438">
        <v>270</v>
      </c>
      <c r="H77" s="2438"/>
      <c r="I77" s="2438"/>
      <c r="J77" s="2438"/>
      <c r="K77" s="2438"/>
      <c r="L77" s="2438"/>
      <c r="M77" s="2438"/>
      <c r="N77" s="3607"/>
      <c r="O77" s="2439"/>
      <c r="P77" s="2439"/>
      <c r="Q77" s="2439"/>
      <c r="R77" s="2440"/>
      <c r="S77" s="1503"/>
      <c r="T77" s="2282" t="s">
        <v>6617</v>
      </c>
      <c r="U77" s="1793"/>
    </row>
    <row r="78" spans="1:21" ht="12.75" x14ac:dyDescent="0.35">
      <c r="A78" s="1342">
        <v>36</v>
      </c>
      <c r="B78" s="1708" t="str">
        <f t="shared" si="15"/>
        <v/>
      </c>
      <c r="C78" s="1580" t="s">
        <v>2280</v>
      </c>
      <c r="D78" s="1712" t="s">
        <v>5968</v>
      </c>
      <c r="E78" s="2438"/>
      <c r="F78" s="2438"/>
      <c r="G78" s="2438">
        <v>212</v>
      </c>
      <c r="H78" s="2438"/>
      <c r="I78" s="2438"/>
      <c r="J78" s="2438"/>
      <c r="K78" s="2438"/>
      <c r="L78" s="2438"/>
      <c r="M78" s="2438"/>
      <c r="N78" s="3607"/>
      <c r="O78" s="2439"/>
      <c r="P78" s="2439"/>
      <c r="Q78" s="2439"/>
      <c r="R78" s="2440"/>
      <c r="S78" s="1503"/>
      <c r="T78" s="2282" t="s">
        <v>6617</v>
      </c>
      <c r="U78" s="1793"/>
    </row>
    <row r="79" spans="1:21" ht="12.75" x14ac:dyDescent="0.35">
      <c r="A79" s="1342">
        <v>37</v>
      </c>
      <c r="B79" s="1708" t="str">
        <f t="shared" si="15"/>
        <v/>
      </c>
      <c r="C79" s="1580" t="s">
        <v>2281</v>
      </c>
      <c r="D79" s="1712" t="s">
        <v>5969</v>
      </c>
      <c r="E79" s="2438"/>
      <c r="F79" s="2438">
        <v>199</v>
      </c>
      <c r="G79" s="2438">
        <v>205</v>
      </c>
      <c r="H79" s="2438"/>
      <c r="I79" s="2438"/>
      <c r="J79" s="2438">
        <v>561</v>
      </c>
      <c r="K79" s="2438"/>
      <c r="L79" s="2438"/>
      <c r="M79" s="2438"/>
      <c r="N79" s="3607"/>
      <c r="O79" s="2439"/>
      <c r="P79" s="2439"/>
      <c r="Q79" s="2439"/>
      <c r="R79" s="2440"/>
      <c r="S79" s="1503"/>
      <c r="T79" s="2282" t="s">
        <v>6617</v>
      </c>
      <c r="U79" s="1793"/>
    </row>
    <row r="80" spans="1:21" ht="12.75" x14ac:dyDescent="0.35">
      <c r="A80" s="1342">
        <v>38</v>
      </c>
      <c r="B80" s="1708" t="str">
        <f t="shared" si="15"/>
        <v/>
      </c>
      <c r="C80" s="1580" t="s">
        <v>3783</v>
      </c>
      <c r="D80" s="1712" t="s">
        <v>5970</v>
      </c>
      <c r="E80" s="2438"/>
      <c r="F80" s="2438"/>
      <c r="G80" s="2438"/>
      <c r="H80" s="2438"/>
      <c r="I80" s="2438"/>
      <c r="J80" s="2438">
        <v>2135</v>
      </c>
      <c r="K80" s="2438"/>
      <c r="L80" s="2438"/>
      <c r="M80" s="2438"/>
      <c r="N80" s="3607"/>
      <c r="O80" s="2439"/>
      <c r="P80" s="2439"/>
      <c r="Q80" s="2439"/>
      <c r="R80" s="2440"/>
      <c r="S80" s="1503"/>
      <c r="T80" s="2282" t="s">
        <v>6657</v>
      </c>
      <c r="U80" s="1793"/>
    </row>
    <row r="81" spans="1:21" ht="12.75" x14ac:dyDescent="0.35">
      <c r="A81" s="1342">
        <v>39</v>
      </c>
      <c r="B81" s="1708" t="str">
        <f t="shared" si="15"/>
        <v/>
      </c>
      <c r="C81" s="1580" t="s">
        <v>3784</v>
      </c>
      <c r="D81" s="1712" t="s">
        <v>5971</v>
      </c>
      <c r="E81" s="2438"/>
      <c r="F81" s="2438"/>
      <c r="G81" s="2438"/>
      <c r="H81" s="2438"/>
      <c r="I81" s="2438"/>
      <c r="J81" s="2438"/>
      <c r="K81" s="2438"/>
      <c r="L81" s="2438"/>
      <c r="M81" s="2438"/>
      <c r="N81" s="3607"/>
      <c r="O81" s="2439"/>
      <c r="P81" s="2439"/>
      <c r="Q81" s="2439"/>
      <c r="R81" s="2440"/>
      <c r="S81" s="1503"/>
      <c r="T81" s="2282" t="s">
        <v>6657</v>
      </c>
      <c r="U81" s="1793"/>
    </row>
    <row r="82" spans="1:21" ht="12.75" x14ac:dyDescent="0.35">
      <c r="A82" s="1342">
        <v>40</v>
      </c>
      <c r="B82" s="1708" t="str">
        <f t="shared" si="15"/>
        <v/>
      </c>
      <c r="C82" s="1580" t="s">
        <v>3785</v>
      </c>
      <c r="D82" s="1712" t="s">
        <v>5972</v>
      </c>
      <c r="E82" s="2438"/>
      <c r="F82" s="2438"/>
      <c r="G82" s="2438"/>
      <c r="H82" s="2438"/>
      <c r="I82" s="2438"/>
      <c r="J82" s="2438"/>
      <c r="K82" s="2438"/>
      <c r="L82" s="2438"/>
      <c r="M82" s="2438"/>
      <c r="N82" s="3607"/>
      <c r="O82" s="2439"/>
      <c r="P82" s="2439"/>
      <c r="Q82" s="2439"/>
      <c r="R82" s="2440"/>
      <c r="S82" s="1503"/>
      <c r="T82" s="2282" t="s">
        <v>6617</v>
      </c>
      <c r="U82" s="1793"/>
    </row>
    <row r="83" spans="1:21" ht="12.75" x14ac:dyDescent="0.35">
      <c r="A83" s="1342">
        <v>41</v>
      </c>
      <c r="B83" s="1708" t="str">
        <f t="shared" si="15"/>
        <v/>
      </c>
      <c r="C83" s="1580" t="s">
        <v>2849</v>
      </c>
      <c r="D83" s="1712" t="s">
        <v>5973</v>
      </c>
      <c r="E83" s="2438"/>
      <c r="F83" s="2438"/>
      <c r="G83" s="2438"/>
      <c r="H83" s="2438"/>
      <c r="I83" s="2438"/>
      <c r="J83" s="2438"/>
      <c r="K83" s="2438"/>
      <c r="L83" s="2438"/>
      <c r="M83" s="2438"/>
      <c r="N83" s="3607"/>
      <c r="O83" s="2439"/>
      <c r="P83" s="2439"/>
      <c r="Q83" s="2439"/>
      <c r="R83" s="2440"/>
      <c r="S83" s="1503"/>
      <c r="T83" s="2282" t="s">
        <v>6617</v>
      </c>
      <c r="U83" s="1793"/>
    </row>
    <row r="84" spans="1:21" ht="12.75" x14ac:dyDescent="0.35">
      <c r="A84" s="1342">
        <v>42</v>
      </c>
      <c r="B84" s="1708" t="str">
        <f t="shared" si="15"/>
        <v/>
      </c>
      <c r="C84" s="1580" t="s">
        <v>2850</v>
      </c>
      <c r="D84" s="1712" t="s">
        <v>5974</v>
      </c>
      <c r="E84" s="2438"/>
      <c r="F84" s="2438"/>
      <c r="G84" s="2438"/>
      <c r="H84" s="2438"/>
      <c r="I84" s="2438"/>
      <c r="J84" s="2438"/>
      <c r="K84" s="2438"/>
      <c r="L84" s="2438"/>
      <c r="M84" s="2438"/>
      <c r="N84" s="3607"/>
      <c r="O84" s="2439"/>
      <c r="P84" s="2439"/>
      <c r="Q84" s="2439"/>
      <c r="R84" s="2440"/>
      <c r="S84" s="1503"/>
      <c r="T84" s="2282" t="s">
        <v>6657</v>
      </c>
      <c r="U84" s="1793"/>
    </row>
    <row r="85" spans="1:21" ht="12.75" x14ac:dyDescent="0.35">
      <c r="A85" s="1342">
        <v>43</v>
      </c>
      <c r="B85" s="1708" t="str">
        <f t="shared" si="15"/>
        <v/>
      </c>
      <c r="C85" s="1580" t="s">
        <v>2851</v>
      </c>
      <c r="D85" s="1712" t="s">
        <v>5975</v>
      </c>
      <c r="E85" s="2438"/>
      <c r="F85" s="2438"/>
      <c r="G85" s="2438"/>
      <c r="H85" s="2438"/>
      <c r="I85" s="2438"/>
      <c r="J85" s="2438"/>
      <c r="K85" s="2438"/>
      <c r="L85" s="2438"/>
      <c r="M85" s="2438"/>
      <c r="N85" s="3607"/>
      <c r="O85" s="2439"/>
      <c r="P85" s="2439"/>
      <c r="Q85" s="2439"/>
      <c r="R85" s="2440"/>
      <c r="S85" s="1503"/>
      <c r="T85" s="2282" t="s">
        <v>6657</v>
      </c>
      <c r="U85" s="1793"/>
    </row>
    <row r="86" spans="1:21" ht="12.75" x14ac:dyDescent="0.35">
      <c r="A86" s="1342">
        <v>44</v>
      </c>
      <c r="B86" s="1708" t="str">
        <f t="shared" si="15"/>
        <v/>
      </c>
      <c r="C86" s="1580" t="s">
        <v>2852</v>
      </c>
      <c r="D86" s="1712" t="s">
        <v>5976</v>
      </c>
      <c r="E86" s="2438"/>
      <c r="F86" s="2438"/>
      <c r="G86" s="2438"/>
      <c r="H86" s="2438"/>
      <c r="I86" s="2438"/>
      <c r="J86" s="2438"/>
      <c r="K86" s="2438"/>
      <c r="L86" s="2438"/>
      <c r="M86" s="2438"/>
      <c r="N86" s="3607"/>
      <c r="O86" s="2439"/>
      <c r="P86" s="2439"/>
      <c r="Q86" s="2439"/>
      <c r="R86" s="2440"/>
      <c r="S86" s="1503"/>
      <c r="T86" s="2282" t="s">
        <v>6657</v>
      </c>
      <c r="U86" s="1793"/>
    </row>
    <row r="87" spans="1:21" ht="12.75" x14ac:dyDescent="0.35">
      <c r="A87" s="1342">
        <v>45</v>
      </c>
      <c r="B87" s="1708" t="str">
        <f t="shared" si="15"/>
        <v/>
      </c>
      <c r="C87" s="1580" t="s">
        <v>2853</v>
      </c>
      <c r="D87" s="1712" t="s">
        <v>5977</v>
      </c>
      <c r="E87" s="2438"/>
      <c r="F87" s="2438"/>
      <c r="G87" s="2438"/>
      <c r="H87" s="2438"/>
      <c r="I87" s="2438"/>
      <c r="J87" s="2438"/>
      <c r="K87" s="2438"/>
      <c r="L87" s="2438"/>
      <c r="M87" s="2438"/>
      <c r="N87" s="3607"/>
      <c r="O87" s="2439"/>
      <c r="P87" s="2439"/>
      <c r="Q87" s="2439"/>
      <c r="R87" s="2440"/>
      <c r="S87" s="1503"/>
      <c r="T87" s="2282" t="s">
        <v>6617</v>
      </c>
      <c r="U87" s="1793"/>
    </row>
    <row r="88" spans="1:21" ht="12.75" x14ac:dyDescent="0.35">
      <c r="A88" s="1342">
        <v>46</v>
      </c>
      <c r="B88" s="1708" t="str">
        <f t="shared" si="15"/>
        <v/>
      </c>
      <c r="C88" s="1580" t="s">
        <v>2854</v>
      </c>
      <c r="D88" s="1712" t="s">
        <v>5978</v>
      </c>
      <c r="E88" s="2438"/>
      <c r="F88" s="2438">
        <v>8592</v>
      </c>
      <c r="G88" s="2438"/>
      <c r="H88" s="2438"/>
      <c r="I88" s="2438"/>
      <c r="J88" s="2438"/>
      <c r="K88" s="2438"/>
      <c r="L88" s="2438"/>
      <c r="M88" s="2438"/>
      <c r="N88" s="3607"/>
      <c r="O88" s="2439"/>
      <c r="P88" s="2439"/>
      <c r="Q88" s="2439"/>
      <c r="R88" s="2440"/>
      <c r="S88" s="1503"/>
      <c r="T88" s="2282" t="s">
        <v>6657</v>
      </c>
      <c r="U88" s="1793"/>
    </row>
    <row r="89" spans="1:21" ht="12.75" x14ac:dyDescent="0.35">
      <c r="A89" s="1342">
        <v>47</v>
      </c>
      <c r="B89" s="1708" t="str">
        <f t="shared" si="15"/>
        <v/>
      </c>
      <c r="C89" s="1580" t="s">
        <v>2855</v>
      </c>
      <c r="D89" s="1712" t="s">
        <v>5979</v>
      </c>
      <c r="E89" s="2438"/>
      <c r="F89" s="2438"/>
      <c r="G89" s="2438"/>
      <c r="H89" s="2438"/>
      <c r="I89" s="2438"/>
      <c r="J89" s="2438"/>
      <c r="K89" s="2438"/>
      <c r="L89" s="2438"/>
      <c r="M89" s="2438"/>
      <c r="N89" s="3607"/>
      <c r="O89" s="2439"/>
      <c r="P89" s="2439"/>
      <c r="Q89" s="2439"/>
      <c r="R89" s="2440"/>
      <c r="S89" s="1503"/>
      <c r="T89" s="2282" t="s">
        <v>6657</v>
      </c>
      <c r="U89" s="1793"/>
    </row>
    <row r="90" spans="1:21" ht="60.75" x14ac:dyDescent="0.35">
      <c r="A90" s="1342">
        <v>48</v>
      </c>
      <c r="B90" s="1708" t="str">
        <f t="shared" si="15"/>
        <v/>
      </c>
      <c r="C90" s="1580" t="s">
        <v>2856</v>
      </c>
      <c r="D90" s="1712" t="s">
        <v>5980</v>
      </c>
      <c r="E90" s="2441"/>
      <c r="F90" s="2442">
        <f>F76+F77+F78+F79+F80+F81+F82+F83+F84+F85+F86+F87+F88+F89</f>
        <v>8791</v>
      </c>
      <c r="G90" s="2442">
        <f>G76+G77+G78+G79+G80+G81+G82+G83+G84+G85+G86+G87+G88+G89</f>
        <v>687</v>
      </c>
      <c r="H90" s="2441"/>
      <c r="I90" s="2441"/>
      <c r="J90" s="2442">
        <f>J76+J77+J78+J79+J80+J81+J82+J83+J84+J85+J86+J87+J88+J89</f>
        <v>2696</v>
      </c>
      <c r="K90" s="2441"/>
      <c r="L90" s="2441"/>
      <c r="M90" s="2441"/>
      <c r="N90" s="3608"/>
      <c r="O90" s="2443"/>
      <c r="P90" s="2443"/>
      <c r="Q90" s="2443"/>
      <c r="R90" s="2444"/>
      <c r="S90" s="1503"/>
      <c r="T90" s="2282" t="s">
        <v>6619</v>
      </c>
      <c r="U90" s="1798" t="s">
        <v>8448</v>
      </c>
    </row>
    <row r="91" spans="1:21" ht="30.4" x14ac:dyDescent="0.35">
      <c r="A91" s="1342">
        <v>49</v>
      </c>
      <c r="B91" s="1708" t="str">
        <f t="shared" si="15"/>
        <v/>
      </c>
      <c r="C91" s="1580" t="s">
        <v>2857</v>
      </c>
      <c r="D91" s="1712" t="s">
        <v>5913</v>
      </c>
      <c r="E91" s="2442">
        <f>MAX(0,E58+E59-E75)</f>
        <v>54299</v>
      </c>
      <c r="F91" s="2442">
        <f t="shared" ref="F91:R91" si="17">MAX(0,F58+F59-F75)</f>
        <v>98672</v>
      </c>
      <c r="G91" s="2442">
        <f t="shared" si="17"/>
        <v>57188</v>
      </c>
      <c r="H91" s="2442">
        <f t="shared" si="17"/>
        <v>0</v>
      </c>
      <c r="I91" s="2442">
        <f t="shared" si="17"/>
        <v>14900</v>
      </c>
      <c r="J91" s="2442">
        <f t="shared" si="17"/>
        <v>139838</v>
      </c>
      <c r="K91" s="2442">
        <f t="shared" si="17"/>
        <v>20023</v>
      </c>
      <c r="L91" s="2442">
        <f t="shared" si="17"/>
        <v>0</v>
      </c>
      <c r="M91" s="2442">
        <f t="shared" si="17"/>
        <v>0</v>
      </c>
      <c r="N91" s="3608">
        <f t="shared" si="17"/>
        <v>36866</v>
      </c>
      <c r="O91" s="2442">
        <f t="shared" si="17"/>
        <v>0</v>
      </c>
      <c r="P91" s="2442">
        <f t="shared" si="17"/>
        <v>0</v>
      </c>
      <c r="Q91" s="2442">
        <f t="shared" si="17"/>
        <v>0</v>
      </c>
      <c r="R91" s="2457">
        <f t="shared" si="17"/>
        <v>0</v>
      </c>
      <c r="S91" s="1503"/>
      <c r="T91" s="2282" t="s">
        <v>6654</v>
      </c>
      <c r="U91" s="1793" t="s">
        <v>5936</v>
      </c>
    </row>
    <row r="92" spans="1:21" ht="30.4" x14ac:dyDescent="0.35">
      <c r="A92" s="1342">
        <v>50</v>
      </c>
      <c r="B92" s="1708" t="str">
        <f t="shared" si="15"/>
        <v/>
      </c>
      <c r="C92" s="1580" t="s">
        <v>2858</v>
      </c>
      <c r="D92" s="1712" t="s">
        <v>5914</v>
      </c>
      <c r="E92" s="2442">
        <f t="shared" ref="E92:R92" si="18">MAX(0,E75-(E58+E59))</f>
        <v>0</v>
      </c>
      <c r="F92" s="2442">
        <f t="shared" si="18"/>
        <v>0</v>
      </c>
      <c r="G92" s="2442">
        <f t="shared" si="18"/>
        <v>0</v>
      </c>
      <c r="H92" s="2442">
        <f t="shared" si="18"/>
        <v>5001</v>
      </c>
      <c r="I92" s="2442">
        <f t="shared" si="18"/>
        <v>0</v>
      </c>
      <c r="J92" s="2442">
        <f t="shared" si="18"/>
        <v>0</v>
      </c>
      <c r="K92" s="2442">
        <f t="shared" si="18"/>
        <v>0</v>
      </c>
      <c r="L92" s="2442">
        <f t="shared" si="18"/>
        <v>5000</v>
      </c>
      <c r="M92" s="2442">
        <f t="shared" si="18"/>
        <v>52763</v>
      </c>
      <c r="N92" s="3608">
        <f t="shared" si="18"/>
        <v>0</v>
      </c>
      <c r="O92" s="2442">
        <f t="shared" si="18"/>
        <v>0</v>
      </c>
      <c r="P92" s="2442">
        <f t="shared" si="18"/>
        <v>0</v>
      </c>
      <c r="Q92" s="2442">
        <f t="shared" si="18"/>
        <v>0</v>
      </c>
      <c r="R92" s="2457">
        <f t="shared" si="18"/>
        <v>0</v>
      </c>
      <c r="S92" s="1503"/>
      <c r="T92" s="2282" t="s">
        <v>6654</v>
      </c>
      <c r="U92" s="1793" t="s">
        <v>5937</v>
      </c>
    </row>
    <row r="93" spans="1:21" ht="12.75" x14ac:dyDescent="0.35">
      <c r="A93" s="1342">
        <v>51</v>
      </c>
      <c r="B93" s="1708" t="str">
        <f t="shared" si="15"/>
        <v/>
      </c>
      <c r="C93" s="1580" t="s">
        <v>2859</v>
      </c>
      <c r="D93" s="1712" t="s">
        <v>5915</v>
      </c>
      <c r="E93" s="2438">
        <v>6350</v>
      </c>
      <c r="F93" s="2438"/>
      <c r="G93" s="2438"/>
      <c r="H93" s="2438">
        <v>5000</v>
      </c>
      <c r="I93" s="2438"/>
      <c r="J93" s="2438"/>
      <c r="K93" s="2438">
        <v>1000</v>
      </c>
      <c r="L93" s="2438"/>
      <c r="M93" s="2438"/>
      <c r="N93" s="3607"/>
      <c r="O93" s="2439"/>
      <c r="P93" s="2439"/>
      <c r="Q93" s="2439"/>
      <c r="R93" s="2440"/>
      <c r="S93" s="1503"/>
      <c r="T93" s="2282" t="s">
        <v>6617</v>
      </c>
      <c r="U93" s="1793" t="s">
        <v>5888</v>
      </c>
    </row>
    <row r="94" spans="1:21" ht="12.75" x14ac:dyDescent="0.35">
      <c r="A94" s="1342">
        <v>52</v>
      </c>
      <c r="B94" s="1708" t="str">
        <f t="shared" si="15"/>
        <v/>
      </c>
      <c r="C94" s="1580" t="s">
        <v>2860</v>
      </c>
      <c r="D94" s="1712" t="s">
        <v>5981</v>
      </c>
      <c r="E94" s="2438"/>
      <c r="F94" s="2438"/>
      <c r="G94" s="2438">
        <v>1161</v>
      </c>
      <c r="H94" s="2438">
        <v>2750</v>
      </c>
      <c r="I94" s="2438"/>
      <c r="J94" s="2438"/>
      <c r="K94" s="2438"/>
      <c r="L94" s="2438"/>
      <c r="M94" s="2438"/>
      <c r="N94" s="3607"/>
      <c r="O94" s="2439"/>
      <c r="P94" s="2439"/>
      <c r="Q94" s="2439"/>
      <c r="R94" s="2440"/>
      <c r="S94" s="1503"/>
      <c r="T94" s="2282" t="s">
        <v>6617</v>
      </c>
      <c r="U94" s="1793"/>
    </row>
    <row r="95" spans="1:21" ht="12.75" x14ac:dyDescent="0.35">
      <c r="A95" s="1342">
        <v>53</v>
      </c>
      <c r="B95" s="1708" t="str">
        <f t="shared" si="15"/>
        <v/>
      </c>
      <c r="C95" s="1580" t="s">
        <v>2861</v>
      </c>
      <c r="D95" s="1712" t="s">
        <v>5982</v>
      </c>
      <c r="E95" s="2438"/>
      <c r="F95" s="2438">
        <v>1800</v>
      </c>
      <c r="G95" s="2438"/>
      <c r="H95" s="2438"/>
      <c r="I95" s="2438"/>
      <c r="J95" s="2438"/>
      <c r="K95" s="2438">
        <v>2000</v>
      </c>
      <c r="L95" s="2438"/>
      <c r="M95" s="2438">
        <v>5000</v>
      </c>
      <c r="N95" s="3607"/>
      <c r="O95" s="2439"/>
      <c r="P95" s="2439"/>
      <c r="Q95" s="2439"/>
      <c r="R95" s="2440"/>
      <c r="S95" s="1503"/>
      <c r="T95" s="2282" t="s">
        <v>6617</v>
      </c>
      <c r="U95" s="1793"/>
    </row>
    <row r="96" spans="1:21" ht="12.75" x14ac:dyDescent="0.35">
      <c r="A96" s="1342">
        <v>54</v>
      </c>
      <c r="B96" s="1708" t="str">
        <f t="shared" si="15"/>
        <v/>
      </c>
      <c r="C96" s="1580" t="s">
        <v>2862</v>
      </c>
      <c r="D96" s="1712" t="s">
        <v>5983</v>
      </c>
      <c r="E96" s="2438"/>
      <c r="F96" s="2438"/>
      <c r="G96" s="2438"/>
      <c r="H96" s="2438"/>
      <c r="I96" s="2438"/>
      <c r="J96" s="2438">
        <v>4500</v>
      </c>
      <c r="K96" s="2438">
        <v>3000</v>
      </c>
      <c r="L96" s="2438"/>
      <c r="M96" s="2438"/>
      <c r="N96" s="3607"/>
      <c r="O96" s="2439"/>
      <c r="P96" s="2439"/>
      <c r="Q96" s="2439"/>
      <c r="R96" s="2440"/>
      <c r="S96" s="1503"/>
      <c r="T96" s="2375" t="s">
        <v>6617</v>
      </c>
      <c r="U96" s="1793"/>
    </row>
    <row r="97" spans="1:21" ht="12.75" x14ac:dyDescent="0.35">
      <c r="A97" s="1342">
        <v>55</v>
      </c>
      <c r="B97" s="1708" t="str">
        <f t="shared" si="15"/>
        <v/>
      </c>
      <c r="C97" s="1580" t="s">
        <v>2863</v>
      </c>
      <c r="D97" s="1712" t="s">
        <v>5229</v>
      </c>
      <c r="E97" s="2458"/>
      <c r="F97" s="2458"/>
      <c r="G97" s="2458"/>
      <c r="H97" s="2458"/>
      <c r="I97" s="2458"/>
      <c r="J97" s="2458"/>
      <c r="K97" s="2458"/>
      <c r="L97" s="2458"/>
      <c r="M97" s="2458"/>
      <c r="N97" s="3777"/>
      <c r="O97" s="2458"/>
      <c r="P97" s="2458"/>
      <c r="Q97" s="2458"/>
      <c r="R97" s="3778"/>
      <c r="S97" s="1503"/>
      <c r="T97" s="2282"/>
      <c r="U97" s="1793"/>
    </row>
    <row r="98" spans="1:21" ht="12.75" x14ac:dyDescent="0.35">
      <c r="A98" s="1342">
        <v>56</v>
      </c>
      <c r="B98" s="1708" t="str">
        <f t="shared" si="15"/>
        <v/>
      </c>
      <c r="C98" s="3409" t="s">
        <v>2864</v>
      </c>
      <c r="D98" s="3410" t="s">
        <v>3965</v>
      </c>
      <c r="E98" s="3779"/>
      <c r="F98" s="3779"/>
      <c r="G98" s="3779"/>
      <c r="H98" s="3779"/>
      <c r="I98" s="3779"/>
      <c r="J98" s="3779"/>
      <c r="K98" s="3779"/>
      <c r="L98" s="3779"/>
      <c r="M98" s="3779"/>
      <c r="N98" s="3780"/>
      <c r="O98" s="3779"/>
      <c r="P98" s="3779"/>
      <c r="Q98" s="3779"/>
      <c r="R98" s="3781"/>
      <c r="S98" s="3335"/>
      <c r="T98" s="3411" t="s">
        <v>6654</v>
      </c>
      <c r="U98" s="3412"/>
    </row>
    <row r="99" spans="1:21" ht="12.75" x14ac:dyDescent="0.35">
      <c r="A99" s="1342">
        <v>57</v>
      </c>
      <c r="B99" s="1708" t="str">
        <f t="shared" si="15"/>
        <v/>
      </c>
      <c r="C99" s="1580" t="s">
        <v>2865</v>
      </c>
      <c r="D99" s="1712" t="s">
        <v>5984</v>
      </c>
      <c r="E99" s="2438"/>
      <c r="F99" s="2438">
        <v>1200</v>
      </c>
      <c r="G99" s="2438"/>
      <c r="H99" s="2438"/>
      <c r="I99" s="2438"/>
      <c r="J99" s="2438"/>
      <c r="K99" s="2438"/>
      <c r="L99" s="2438"/>
      <c r="M99" s="2438"/>
      <c r="N99" s="3607"/>
      <c r="O99" s="2439"/>
      <c r="P99" s="2439"/>
      <c r="Q99" s="2439"/>
      <c r="R99" s="2440"/>
      <c r="S99" s="1503"/>
      <c r="T99" s="2282" t="s">
        <v>6617</v>
      </c>
      <c r="U99" s="1793"/>
    </row>
    <row r="100" spans="1:21" ht="12.75" x14ac:dyDescent="0.35">
      <c r="A100" s="1342">
        <v>58</v>
      </c>
      <c r="B100" s="1708" t="str">
        <f t="shared" si="15"/>
        <v/>
      </c>
      <c r="C100" s="1580" t="s">
        <v>2866</v>
      </c>
      <c r="D100" s="1712" t="s">
        <v>5985</v>
      </c>
      <c r="E100" s="2438"/>
      <c r="F100" s="2438">
        <v>165</v>
      </c>
      <c r="G100" s="2438"/>
      <c r="H100" s="2438"/>
      <c r="I100" s="2438"/>
      <c r="J100" s="2438"/>
      <c r="K100" s="2438"/>
      <c r="L100" s="2438"/>
      <c r="M100" s="2438"/>
      <c r="N100" s="3607"/>
      <c r="O100" s="2439"/>
      <c r="P100" s="2439"/>
      <c r="Q100" s="2439"/>
      <c r="R100" s="2440"/>
      <c r="S100" s="1503"/>
      <c r="T100" s="2282" t="s">
        <v>6617</v>
      </c>
      <c r="U100" s="1793"/>
    </row>
    <row r="101" spans="1:21" ht="40.5" x14ac:dyDescent="0.35">
      <c r="A101" s="1342">
        <v>59</v>
      </c>
      <c r="B101" s="1708" t="str">
        <f t="shared" si="15"/>
        <v/>
      </c>
      <c r="C101" s="1580" t="s">
        <v>2867</v>
      </c>
      <c r="D101" s="1712" t="s">
        <v>5986</v>
      </c>
      <c r="E101" s="3576">
        <f>IF(E93+E94+E95+E96+E99+E100&gt;0,E93+E94+E95+E96+E99+E100,"")</f>
        <v>6350</v>
      </c>
      <c r="F101" s="3576">
        <f t="shared" ref="F101:H101" si="19">IF(F93+F94+F95+F96+F99+F100&gt;0,F93+F94+F95+F96+F99+F100,"")</f>
        <v>3165</v>
      </c>
      <c r="G101" s="3576">
        <f t="shared" si="19"/>
        <v>1161</v>
      </c>
      <c r="H101" s="3576">
        <f t="shared" si="19"/>
        <v>7750</v>
      </c>
      <c r="I101" s="2442" t="str">
        <f t="shared" ref="I101:R101" si="20">IF(I93+I94+I95+I96+I98+I99+I100&gt;0,I93+I94+I95+I96+I98+I99+I100,"")</f>
        <v/>
      </c>
      <c r="J101" s="3576">
        <f t="shared" ref="J101" si="21">IF(J93+J94+J95+J96+J99+J100&gt;0,J93+J94+J95+J96+J99+J100,"")</f>
        <v>4500</v>
      </c>
      <c r="K101" s="3576">
        <f t="shared" ref="K101" si="22">IF(K93+K94+K95+K96+K99+K100&gt;0,K93+K94+K95+K96+K99+K100,"")</f>
        <v>6000</v>
      </c>
      <c r="L101" s="2442" t="str">
        <f t="shared" si="20"/>
        <v/>
      </c>
      <c r="M101" s="3576">
        <f t="shared" ref="M101:N101" si="23">IF(M93+M94+M95+M96+M99+M100&gt;0,M93+M94+M95+M96+M99+M100,"")</f>
        <v>5000</v>
      </c>
      <c r="N101" s="3608" t="str">
        <f t="shared" si="23"/>
        <v/>
      </c>
      <c r="O101" s="2442" t="str">
        <f t="shared" si="20"/>
        <v/>
      </c>
      <c r="P101" s="2442" t="str">
        <f t="shared" si="20"/>
        <v/>
      </c>
      <c r="Q101" s="2442" t="str">
        <f t="shared" si="20"/>
        <v/>
      </c>
      <c r="R101" s="2457" t="str">
        <f t="shared" si="20"/>
        <v/>
      </c>
      <c r="S101" s="1503"/>
      <c r="T101" s="2282" t="s">
        <v>6617</v>
      </c>
      <c r="U101" s="1798" t="s">
        <v>8449</v>
      </c>
    </row>
    <row r="102" spans="1:21" ht="12.75" x14ac:dyDescent="0.35">
      <c r="A102" s="1342">
        <v>60</v>
      </c>
      <c r="B102" s="1708" t="str">
        <f t="shared" si="15"/>
        <v/>
      </c>
      <c r="C102" s="1580" t="s">
        <v>2868</v>
      </c>
      <c r="D102" s="1712" t="s">
        <v>5987</v>
      </c>
      <c r="E102" s="2438"/>
      <c r="F102" s="2438"/>
      <c r="G102" s="2438"/>
      <c r="H102" s="2438"/>
      <c r="I102" s="2438"/>
      <c r="J102" s="2438"/>
      <c r="K102" s="3851"/>
      <c r="L102" s="2459"/>
      <c r="M102" s="2438"/>
      <c r="N102" s="3607"/>
      <c r="O102" s="2439"/>
      <c r="P102" s="2439"/>
      <c r="Q102" s="2439"/>
      <c r="R102" s="2440"/>
      <c r="S102" s="1503"/>
      <c r="T102" s="2282" t="s">
        <v>6654</v>
      </c>
      <c r="U102" s="1793"/>
    </row>
    <row r="103" spans="1:21" ht="12.75" x14ac:dyDescent="0.35">
      <c r="A103" s="1342">
        <v>61</v>
      </c>
      <c r="B103" s="1708" t="str">
        <f t="shared" si="15"/>
        <v/>
      </c>
      <c r="C103" s="1580" t="s">
        <v>1854</v>
      </c>
      <c r="D103" s="1712" t="s">
        <v>5988</v>
      </c>
      <c r="E103" s="2438"/>
      <c r="F103" s="2438"/>
      <c r="G103" s="2438"/>
      <c r="H103" s="2438"/>
      <c r="I103" s="2438"/>
      <c r="J103" s="2438">
        <v>620</v>
      </c>
      <c r="K103" s="2438"/>
      <c r="L103" s="2459"/>
      <c r="M103" s="2438"/>
      <c r="N103" s="3607"/>
      <c r="O103" s="2439"/>
      <c r="P103" s="2439"/>
      <c r="Q103" s="2439"/>
      <c r="R103" s="2440"/>
      <c r="S103" s="1503"/>
      <c r="T103" s="2282" t="s">
        <v>6617</v>
      </c>
      <c r="U103" s="1793"/>
    </row>
    <row r="104" spans="1:21" ht="12.75" x14ac:dyDescent="0.35">
      <c r="A104" s="1342">
        <v>62</v>
      </c>
      <c r="B104" s="1708" t="str">
        <f t="shared" si="15"/>
        <v/>
      </c>
      <c r="C104" s="1580" t="s">
        <v>2879</v>
      </c>
      <c r="D104" s="1712" t="s">
        <v>5919</v>
      </c>
      <c r="E104" s="2438"/>
      <c r="F104" s="2438">
        <v>921</v>
      </c>
      <c r="G104" s="2438"/>
      <c r="H104" s="2438">
        <v>361</v>
      </c>
      <c r="I104" s="2438"/>
      <c r="J104" s="2438"/>
      <c r="K104" s="2438"/>
      <c r="L104" s="2459"/>
      <c r="M104" s="2438"/>
      <c r="N104" s="3607"/>
      <c r="O104" s="2439"/>
      <c r="P104" s="2439"/>
      <c r="Q104" s="2439"/>
      <c r="R104" s="2440"/>
      <c r="S104" s="1503"/>
      <c r="T104" s="2282" t="s">
        <v>6617</v>
      </c>
      <c r="U104" s="1793"/>
    </row>
    <row r="105" spans="1:21" ht="12.75" x14ac:dyDescent="0.35">
      <c r="A105" s="1342">
        <v>63</v>
      </c>
      <c r="B105" s="1708" t="str">
        <f t="shared" si="15"/>
        <v/>
      </c>
      <c r="C105" s="1580" t="s">
        <v>2880</v>
      </c>
      <c r="D105" s="1712" t="s">
        <v>5989</v>
      </c>
      <c r="E105" s="2442">
        <f>E90+E102+E103+E104</f>
        <v>0</v>
      </c>
      <c r="F105" s="2442">
        <f t="shared" ref="F105:J105" si="24">F90+F102+F103+F104</f>
        <v>9712</v>
      </c>
      <c r="G105" s="2442">
        <f t="shared" si="24"/>
        <v>687</v>
      </c>
      <c r="H105" s="2442">
        <f t="shared" si="24"/>
        <v>361</v>
      </c>
      <c r="I105" s="2441"/>
      <c r="J105" s="2442">
        <f t="shared" si="24"/>
        <v>3316</v>
      </c>
      <c r="K105" s="3576">
        <f>K90+K103+K104</f>
        <v>0</v>
      </c>
      <c r="L105" s="2441"/>
      <c r="M105" s="2441"/>
      <c r="N105" s="3608"/>
      <c r="O105" s="2443"/>
      <c r="P105" s="2443"/>
      <c r="Q105" s="2443"/>
      <c r="R105" s="2444"/>
      <c r="S105" s="1503"/>
      <c r="T105" s="2282" t="s">
        <v>6658</v>
      </c>
      <c r="U105" s="3575" t="s">
        <v>8206</v>
      </c>
    </row>
    <row r="106" spans="1:21" ht="12.75" x14ac:dyDescent="0.35">
      <c r="A106" s="1342">
        <v>64</v>
      </c>
      <c r="B106" s="1708" t="str">
        <f t="shared" si="15"/>
        <v/>
      </c>
      <c r="C106" s="1580" t="s">
        <v>2881</v>
      </c>
      <c r="D106" s="1712" t="s">
        <v>5990</v>
      </c>
      <c r="E106" s="2438"/>
      <c r="F106" s="2438">
        <v>921</v>
      </c>
      <c r="G106" s="2438"/>
      <c r="H106" s="2438"/>
      <c r="I106" s="2459"/>
      <c r="J106" s="2438"/>
      <c r="K106" s="2438"/>
      <c r="L106" s="2459"/>
      <c r="M106" s="2438"/>
      <c r="N106" s="3607"/>
      <c r="O106" s="2439"/>
      <c r="P106" s="2439"/>
      <c r="Q106" s="2439"/>
      <c r="R106" s="2440"/>
      <c r="S106" s="1503"/>
      <c r="T106" s="2282" t="s">
        <v>6617</v>
      </c>
      <c r="U106" s="1793"/>
    </row>
    <row r="107" spans="1:21" ht="12.75" x14ac:dyDescent="0.35">
      <c r="A107" s="1342">
        <v>65</v>
      </c>
      <c r="B107" s="1708" t="str">
        <f t="shared" si="15"/>
        <v/>
      </c>
      <c r="C107" s="1580" t="s">
        <v>1365</v>
      </c>
      <c r="D107" s="1712" t="s">
        <v>5991</v>
      </c>
      <c r="E107" s="2442">
        <f>E101+E106</f>
        <v>6350</v>
      </c>
      <c r="F107" s="2442">
        <f t="shared" ref="F107:M107" si="25">F101+F106</f>
        <v>4086</v>
      </c>
      <c r="G107" s="2442">
        <f t="shared" si="25"/>
        <v>1161</v>
      </c>
      <c r="H107" s="2442">
        <f t="shared" si="25"/>
        <v>7750</v>
      </c>
      <c r="I107" s="2441"/>
      <c r="J107" s="2442">
        <f t="shared" si="25"/>
        <v>4500</v>
      </c>
      <c r="K107" s="3576">
        <f t="shared" si="25"/>
        <v>6000</v>
      </c>
      <c r="L107" s="2441"/>
      <c r="M107" s="2442">
        <f t="shared" si="25"/>
        <v>5000</v>
      </c>
      <c r="N107" s="3608"/>
      <c r="O107" s="2443"/>
      <c r="P107" s="2443"/>
      <c r="Q107" s="2443"/>
      <c r="R107" s="2444"/>
      <c r="S107" s="1503"/>
      <c r="T107" s="2282" t="s">
        <v>6617</v>
      </c>
      <c r="U107" s="1793" t="s">
        <v>5938</v>
      </c>
    </row>
    <row r="108" spans="1:21" ht="30.4" x14ac:dyDescent="0.35">
      <c r="A108" s="1342">
        <v>66</v>
      </c>
      <c r="B108" s="1708" t="str">
        <f t="shared" si="15"/>
        <v/>
      </c>
      <c r="C108" s="1580" t="s">
        <v>3757</v>
      </c>
      <c r="D108" s="1712" t="s">
        <v>5992</v>
      </c>
      <c r="E108" s="2442">
        <f>MAX(0,(E91+E105)-(E92+E107))</f>
        <v>47949</v>
      </c>
      <c r="F108" s="2442">
        <f t="shared" ref="F108:K108" si="26">MAX(0,(F91+F105)-(F92+F107))</f>
        <v>104298</v>
      </c>
      <c r="G108" s="2442">
        <f t="shared" si="26"/>
        <v>56714</v>
      </c>
      <c r="H108" s="2441"/>
      <c r="I108" s="2442">
        <f t="shared" si="26"/>
        <v>14900</v>
      </c>
      <c r="J108" s="2442">
        <f t="shared" si="26"/>
        <v>138654</v>
      </c>
      <c r="K108" s="3576">
        <f t="shared" si="26"/>
        <v>14023</v>
      </c>
      <c r="L108" s="2441"/>
      <c r="M108" s="2441"/>
      <c r="N108" s="3608">
        <f t="shared" ref="N108" si="27">MAX(0,(N91+N105)-(N92+N107))</f>
        <v>36866</v>
      </c>
      <c r="O108" s="2443"/>
      <c r="P108" s="2443"/>
      <c r="Q108" s="2443"/>
      <c r="R108" s="2444"/>
      <c r="S108" s="1503"/>
      <c r="T108" s="2282" t="s">
        <v>6654</v>
      </c>
      <c r="U108" s="1793" t="s">
        <v>5939</v>
      </c>
    </row>
    <row r="109" spans="1:21" ht="40.5" x14ac:dyDescent="0.35">
      <c r="A109" s="1342">
        <v>67</v>
      </c>
      <c r="B109" s="1708" t="str">
        <f t="shared" si="15"/>
        <v/>
      </c>
      <c r="C109" s="1580" t="s">
        <v>3758</v>
      </c>
      <c r="D109" s="1712" t="s">
        <v>5338</v>
      </c>
      <c r="E109" s="2441"/>
      <c r="F109" s="2441"/>
      <c r="G109" s="2441"/>
      <c r="H109" s="2442">
        <f t="shared" ref="H109:N109" si="28">MAX(0,(H92+H107)-(H91+H105))</f>
        <v>12390</v>
      </c>
      <c r="I109" s="2441"/>
      <c r="J109" s="2441"/>
      <c r="K109" s="2441"/>
      <c r="L109" s="2442">
        <f t="shared" si="28"/>
        <v>5000</v>
      </c>
      <c r="M109" s="2442">
        <f t="shared" si="28"/>
        <v>57763</v>
      </c>
      <c r="N109" s="3608">
        <f t="shared" si="28"/>
        <v>0</v>
      </c>
      <c r="O109" s="2443"/>
      <c r="P109" s="2443"/>
      <c r="Q109" s="2443"/>
      <c r="R109" s="2444"/>
      <c r="S109" s="1503"/>
      <c r="T109" s="2282" t="s">
        <v>6654</v>
      </c>
      <c r="U109" s="1793" t="s">
        <v>5940</v>
      </c>
    </row>
    <row r="110" spans="1:21" ht="12.75" x14ac:dyDescent="0.35">
      <c r="A110" s="1342">
        <v>68</v>
      </c>
      <c r="B110" s="1708" t="str">
        <f t="shared" si="15"/>
        <v/>
      </c>
      <c r="C110" s="1580" t="s">
        <v>3759</v>
      </c>
      <c r="D110" s="1712" t="s">
        <v>5993</v>
      </c>
      <c r="E110" s="1724" t="str">
        <f>"06/04/"&amp;Tax_year_start</f>
        <v>06/04/2017</v>
      </c>
      <c r="F110" s="1724" t="str">
        <f>"01/11/"&amp;Tax_year_start-1</f>
        <v>01/11/2016</v>
      </c>
      <c r="G110" s="1724" t="str">
        <f>"01/01/"&amp;Tax_year_start</f>
        <v>01/01/2017</v>
      </c>
      <c r="H110" s="1724" t="str">
        <f>"06/06/"&amp;Tax_year_start</f>
        <v>06/06/2017</v>
      </c>
      <c r="I110" s="1724" t="str">
        <f t="shared" ref="I110:R110" si="29">"06/04/"&amp;Tax_year_start</f>
        <v>06/04/2017</v>
      </c>
      <c r="J110" s="1724" t="str">
        <f t="shared" si="29"/>
        <v>06/04/2017</v>
      </c>
      <c r="K110" s="1724" t="str">
        <f t="shared" si="29"/>
        <v>06/04/2017</v>
      </c>
      <c r="L110" s="1724" t="str">
        <f t="shared" si="29"/>
        <v>06/04/2017</v>
      </c>
      <c r="M110" s="1724" t="str">
        <f t="shared" si="29"/>
        <v>06/04/2017</v>
      </c>
      <c r="N110" s="3605" t="str">
        <f t="shared" ref="N110" si="30">"06/04/"&amp;Tax_year_start</f>
        <v>06/04/2017</v>
      </c>
      <c r="O110" s="2303" t="str">
        <f t="shared" si="29"/>
        <v>06/04/2017</v>
      </c>
      <c r="P110" s="2303" t="str">
        <f t="shared" si="29"/>
        <v>06/04/2017</v>
      </c>
      <c r="Q110" s="2303" t="str">
        <f t="shared" si="29"/>
        <v>06/04/2017</v>
      </c>
      <c r="R110" s="2304" t="str">
        <f t="shared" si="29"/>
        <v>06/04/2017</v>
      </c>
      <c r="S110" s="1503"/>
      <c r="T110" s="2282" t="s">
        <v>6656</v>
      </c>
      <c r="U110" s="1793"/>
    </row>
    <row r="111" spans="1:21" ht="30.4" x14ac:dyDescent="0.35">
      <c r="A111" s="1342">
        <v>69</v>
      </c>
      <c r="B111" s="1708" t="str">
        <f t="shared" si="15"/>
        <v/>
      </c>
      <c r="C111" s="1580" t="s">
        <v>3760</v>
      </c>
      <c r="D111" s="1712" t="s">
        <v>5994</v>
      </c>
      <c r="E111" s="1724" t="str">
        <f>"05/04/"&amp;Tax_year_end</f>
        <v>05/04/2018</v>
      </c>
      <c r="F111" s="1724" t="str">
        <f>"31/10/"&amp;Tax_year_start</f>
        <v>31/10/2017</v>
      </c>
      <c r="G111" s="1724" t="str">
        <f>"31/08/"&amp;Tax_year_start</f>
        <v>31/08/2017</v>
      </c>
      <c r="H111" s="1724" t="str">
        <f t="shared" ref="H111:R111" si="31">"05/04/"&amp;Tax_year_end</f>
        <v>05/04/2018</v>
      </c>
      <c r="I111" s="1724" t="str">
        <f t="shared" si="31"/>
        <v>05/04/2018</v>
      </c>
      <c r="J111" s="1724" t="str">
        <f t="shared" si="31"/>
        <v>05/04/2018</v>
      </c>
      <c r="K111" s="1724" t="str">
        <f t="shared" si="31"/>
        <v>05/04/2018</v>
      </c>
      <c r="L111" s="1724" t="str">
        <f t="shared" si="31"/>
        <v>05/04/2018</v>
      </c>
      <c r="M111" s="1724" t="str">
        <f t="shared" si="31"/>
        <v>05/04/2018</v>
      </c>
      <c r="N111" s="3605" t="str">
        <f t="shared" ref="N111" si="32">"05/04/"&amp;Tax_year_end</f>
        <v>05/04/2018</v>
      </c>
      <c r="O111" s="2303" t="str">
        <f t="shared" si="31"/>
        <v>05/04/2018</v>
      </c>
      <c r="P111" s="2303" t="str">
        <f t="shared" si="31"/>
        <v>05/04/2018</v>
      </c>
      <c r="Q111" s="2303" t="str">
        <f t="shared" si="31"/>
        <v>05/04/2018</v>
      </c>
      <c r="R111" s="2304" t="str">
        <f t="shared" si="31"/>
        <v>05/04/2018</v>
      </c>
      <c r="S111" s="1503"/>
      <c r="T111" s="2282" t="s">
        <v>6656</v>
      </c>
      <c r="U111" s="1793" t="s">
        <v>5941</v>
      </c>
    </row>
    <row r="112" spans="1:21" ht="12.75" x14ac:dyDescent="0.35">
      <c r="A112" s="1342">
        <v>70</v>
      </c>
      <c r="B112" s="1708" t="str">
        <f t="shared" si="15"/>
        <v/>
      </c>
      <c r="C112" s="1580" t="s">
        <v>3761</v>
      </c>
      <c r="D112" s="1712" t="s">
        <v>5995</v>
      </c>
      <c r="E112" s="2405"/>
      <c r="F112" s="2404"/>
      <c r="G112" s="2404"/>
      <c r="H112" s="2404"/>
      <c r="I112" s="2404">
        <v>-1010</v>
      </c>
      <c r="J112" s="2404"/>
      <c r="K112" s="2404"/>
      <c r="L112" s="2404"/>
      <c r="M112" s="2404"/>
      <c r="N112" s="3610"/>
      <c r="O112" s="2422"/>
      <c r="P112" s="2422"/>
      <c r="Q112" s="2422"/>
      <c r="R112" s="2423"/>
      <c r="S112" s="1503"/>
      <c r="T112" s="2282" t="s">
        <v>6657</v>
      </c>
      <c r="U112" s="1793"/>
    </row>
    <row r="113" spans="1:21" ht="12.75" x14ac:dyDescent="0.35">
      <c r="A113" s="1342">
        <v>71</v>
      </c>
      <c r="B113" s="1708" t="str">
        <f t="shared" si="15"/>
        <v/>
      </c>
      <c r="C113" s="1580" t="s">
        <v>3762</v>
      </c>
      <c r="D113" s="1712" t="s">
        <v>5996</v>
      </c>
      <c r="E113" s="2406"/>
      <c r="F113" s="2406"/>
      <c r="G113" s="2406">
        <v>1982</v>
      </c>
      <c r="H113" s="2406"/>
      <c r="I113" s="2406"/>
      <c r="J113" s="2406"/>
      <c r="K113" s="2406"/>
      <c r="L113" s="2406"/>
      <c r="M113" s="2406">
        <v>9000</v>
      </c>
      <c r="N113" s="3611"/>
      <c r="O113" s="2426"/>
      <c r="P113" s="2426"/>
      <c r="Q113" s="2426"/>
      <c r="R113" s="2427"/>
      <c r="S113" s="1503"/>
      <c r="T113" s="2282" t="s">
        <v>6617</v>
      </c>
      <c r="U113" s="1793"/>
    </row>
    <row r="114" spans="1:21" ht="20.25" x14ac:dyDescent="0.35">
      <c r="A114" s="1342">
        <v>72</v>
      </c>
      <c r="B114" s="1708" t="str">
        <f t="shared" si="15"/>
        <v/>
      </c>
      <c r="C114" s="1580" t="s">
        <v>3763</v>
      </c>
      <c r="D114" s="1712" t="s">
        <v>5997</v>
      </c>
      <c r="E114" s="2404"/>
      <c r="F114" s="2404"/>
      <c r="G114" s="2404"/>
      <c r="H114" s="2404"/>
      <c r="I114" s="2404"/>
      <c r="J114" s="2404"/>
      <c r="K114" s="2404"/>
      <c r="L114" s="2404"/>
      <c r="M114" s="2404"/>
      <c r="N114" s="3610"/>
      <c r="O114" s="2422"/>
      <c r="P114" s="2422"/>
      <c r="Q114" s="2422"/>
      <c r="R114" s="2423"/>
      <c r="S114" s="1503"/>
      <c r="T114" s="2282" t="s">
        <v>6617</v>
      </c>
      <c r="U114" s="3575" t="s">
        <v>8450</v>
      </c>
    </row>
    <row r="115" spans="1:21" ht="12.75" x14ac:dyDescent="0.35">
      <c r="A115" s="1342">
        <v>73</v>
      </c>
      <c r="B115" s="1708" t="str">
        <f t="shared" si="15"/>
        <v/>
      </c>
      <c r="C115" s="1580" t="s">
        <v>3726</v>
      </c>
      <c r="D115" s="1712" t="s">
        <v>5998</v>
      </c>
      <c r="E115" s="2404"/>
      <c r="F115" s="2404"/>
      <c r="G115" s="2404"/>
      <c r="H115" s="2404"/>
      <c r="I115" s="2404"/>
      <c r="J115" s="2404">
        <v>15200</v>
      </c>
      <c r="K115" s="2404"/>
      <c r="L115" s="2404"/>
      <c r="M115" s="2404"/>
      <c r="N115" s="3610"/>
      <c r="O115" s="2422"/>
      <c r="P115" s="2422"/>
      <c r="Q115" s="2422"/>
      <c r="R115" s="2423"/>
      <c r="S115" s="1503"/>
      <c r="T115" s="2282" t="s">
        <v>6617</v>
      </c>
      <c r="U115" s="1793"/>
    </row>
    <row r="116" spans="1:21" ht="12.75" x14ac:dyDescent="0.35">
      <c r="A116" s="1342">
        <v>74</v>
      </c>
      <c r="B116" s="1708" t="str">
        <f t="shared" si="15"/>
        <v/>
      </c>
      <c r="C116" s="1580" t="s">
        <v>3515</v>
      </c>
      <c r="D116" s="1712" t="s">
        <v>5999</v>
      </c>
      <c r="E116" s="2404">
        <v>3000</v>
      </c>
      <c r="F116" s="2404"/>
      <c r="G116" s="2404"/>
      <c r="H116" s="2404"/>
      <c r="I116" s="2404"/>
      <c r="J116" s="2404"/>
      <c r="K116" s="2404"/>
      <c r="L116" s="2404"/>
      <c r="M116" s="2404"/>
      <c r="N116" s="3610"/>
      <c r="O116" s="2422"/>
      <c r="P116" s="2422"/>
      <c r="Q116" s="2422"/>
      <c r="R116" s="2423"/>
      <c r="S116" s="1503"/>
      <c r="T116" s="2282" t="s">
        <v>6657</v>
      </c>
      <c r="U116" s="1793"/>
    </row>
    <row r="117" spans="1:21" ht="70.900000000000006" x14ac:dyDescent="0.35">
      <c r="A117" s="1342">
        <v>75</v>
      </c>
      <c r="B117" s="1708" t="str">
        <f t="shared" si="15"/>
        <v/>
      </c>
      <c r="C117" s="1580" t="s">
        <v>3516</v>
      </c>
      <c r="D117" s="1712" t="s">
        <v>6000</v>
      </c>
      <c r="E117" s="2411">
        <f>IF(E108+E112+E115-(E109+E113)&gt;0,E108+E112+E115+E116-(E109+E113),E116)</f>
        <v>50949</v>
      </c>
      <c r="F117" s="2411">
        <f t="shared" ref="F117:N117" si="33">IF(F108+F112+F115-(F109+F113)&gt;0,F108+F112+F115+F116-(F109+F113),F116)</f>
        <v>104298</v>
      </c>
      <c r="G117" s="2411">
        <f t="shared" si="33"/>
        <v>54732</v>
      </c>
      <c r="H117" s="2411">
        <f t="shared" si="33"/>
        <v>0</v>
      </c>
      <c r="I117" s="2411">
        <f t="shared" si="33"/>
        <v>13890</v>
      </c>
      <c r="J117" s="2411">
        <f t="shared" si="33"/>
        <v>153854</v>
      </c>
      <c r="K117" s="3579">
        <f t="shared" si="33"/>
        <v>14023</v>
      </c>
      <c r="L117" s="2411">
        <f t="shared" si="33"/>
        <v>0</v>
      </c>
      <c r="M117" s="2411">
        <f t="shared" si="33"/>
        <v>0</v>
      </c>
      <c r="N117" s="3612">
        <f t="shared" si="33"/>
        <v>36866</v>
      </c>
      <c r="O117" s="2432"/>
      <c r="P117" s="2432"/>
      <c r="Q117" s="2432"/>
      <c r="R117" s="2433"/>
      <c r="S117" s="1503"/>
      <c r="T117" s="2282" t="s">
        <v>6654</v>
      </c>
      <c r="U117" s="1793" t="s">
        <v>5942</v>
      </c>
    </row>
    <row r="118" spans="1:21" ht="20.25" x14ac:dyDescent="0.35">
      <c r="A118" s="1342">
        <v>76</v>
      </c>
      <c r="B118" s="1708" t="str">
        <f t="shared" si="15"/>
        <v/>
      </c>
      <c r="C118" s="1580" t="s">
        <v>3517</v>
      </c>
      <c r="D118" s="1712" t="s">
        <v>5921</v>
      </c>
      <c r="E118" s="2406"/>
      <c r="F118" s="2406">
        <v>7295</v>
      </c>
      <c r="G118" s="2406"/>
      <c r="H118" s="2406"/>
      <c r="I118" s="2406"/>
      <c r="J118" s="2406">
        <v>5692</v>
      </c>
      <c r="K118" s="2406"/>
      <c r="L118" s="2406"/>
      <c r="M118" s="2406"/>
      <c r="N118" s="3611"/>
      <c r="O118" s="2426"/>
      <c r="P118" s="2426"/>
      <c r="Q118" s="2426"/>
      <c r="R118" s="2427"/>
      <c r="S118" s="1503"/>
      <c r="T118" s="2282" t="s">
        <v>6617</v>
      </c>
      <c r="U118" s="1793" t="s">
        <v>5943</v>
      </c>
    </row>
    <row r="119" spans="1:21" ht="12.75" x14ac:dyDescent="0.35">
      <c r="A119" s="1342">
        <v>77</v>
      </c>
      <c r="B119" s="1708" t="str">
        <f t="shared" si="15"/>
        <v/>
      </c>
      <c r="C119" s="1580" t="s">
        <v>3518</v>
      </c>
      <c r="D119" s="1712" t="s">
        <v>5922</v>
      </c>
      <c r="E119" s="2404"/>
      <c r="F119" s="2404"/>
      <c r="G119" s="2404"/>
      <c r="H119" s="2404"/>
      <c r="I119" s="2404">
        <v>300</v>
      </c>
      <c r="J119" s="2404"/>
      <c r="K119" s="2404"/>
      <c r="L119" s="2404"/>
      <c r="M119" s="2404"/>
      <c r="N119" s="3610"/>
      <c r="O119" s="2422"/>
      <c r="P119" s="2422"/>
      <c r="Q119" s="2422"/>
      <c r="R119" s="2423"/>
      <c r="S119" s="1503"/>
      <c r="T119" s="2282" t="s">
        <v>6617</v>
      </c>
      <c r="U119" s="1793"/>
    </row>
    <row r="120" spans="1:21" ht="12.75" x14ac:dyDescent="0.35">
      <c r="A120" s="1342">
        <v>78</v>
      </c>
      <c r="B120" s="1708" t="str">
        <f t="shared" si="15"/>
        <v/>
      </c>
      <c r="C120" s="1580" t="s">
        <v>3519</v>
      </c>
      <c r="D120" s="1712" t="s">
        <v>5923</v>
      </c>
      <c r="E120" s="2413">
        <f t="shared" ref="E120:N120" si="34">MAX(0,E117+E119-E118)</f>
        <v>50949</v>
      </c>
      <c r="F120" s="2413">
        <f t="shared" si="34"/>
        <v>97003</v>
      </c>
      <c r="G120" s="2413">
        <f t="shared" si="34"/>
        <v>54732</v>
      </c>
      <c r="H120" s="2413">
        <f t="shared" si="34"/>
        <v>0</v>
      </c>
      <c r="I120" s="2413">
        <f t="shared" si="34"/>
        <v>14190</v>
      </c>
      <c r="J120" s="2413">
        <f t="shared" si="34"/>
        <v>148162</v>
      </c>
      <c r="K120" s="3580">
        <f>MAX(0,K117+K119-K118)</f>
        <v>14023</v>
      </c>
      <c r="L120" s="2413">
        <f t="shared" si="34"/>
        <v>0</v>
      </c>
      <c r="M120" s="2413">
        <f t="shared" si="34"/>
        <v>0</v>
      </c>
      <c r="N120" s="3613">
        <f t="shared" si="34"/>
        <v>36866</v>
      </c>
      <c r="O120" s="2434"/>
      <c r="P120" s="2434"/>
      <c r="Q120" s="2434"/>
      <c r="R120" s="2435"/>
      <c r="S120" s="1503"/>
      <c r="T120" s="2282" t="s">
        <v>6654</v>
      </c>
      <c r="U120" s="1793" t="s">
        <v>5944</v>
      </c>
    </row>
    <row r="121" spans="1:21" ht="60.75" x14ac:dyDescent="0.35">
      <c r="A121" s="1342">
        <v>79</v>
      </c>
      <c r="B121" s="1708" t="str">
        <f t="shared" si="15"/>
        <v/>
      </c>
      <c r="C121" s="1580" t="s">
        <v>3520</v>
      </c>
      <c r="D121" s="1712" t="str">
        <f>"Adjusted loss for "&amp;tax_year</f>
        <v>Adjusted loss for 2017-18</v>
      </c>
      <c r="E121" s="2412"/>
      <c r="F121" s="2412"/>
      <c r="G121" s="2412"/>
      <c r="H121" s="2411">
        <f t="shared" ref="H121:N121" si="35">MAX(0,(H109+H113)-(H108+H112+H115))</f>
        <v>12390</v>
      </c>
      <c r="I121" s="2412"/>
      <c r="J121" s="2412"/>
      <c r="K121" s="2412"/>
      <c r="L121" s="2411">
        <f t="shared" si="35"/>
        <v>5000</v>
      </c>
      <c r="M121" s="2411">
        <f t="shared" si="35"/>
        <v>66763</v>
      </c>
      <c r="N121" s="3612">
        <f t="shared" si="35"/>
        <v>0</v>
      </c>
      <c r="O121" s="2432"/>
      <c r="P121" s="2432"/>
      <c r="Q121" s="2432"/>
      <c r="R121" s="2433"/>
      <c r="S121" s="1503"/>
      <c r="T121" s="2282" t="s">
        <v>6654</v>
      </c>
      <c r="U121" s="1793" t="s">
        <v>5945</v>
      </c>
    </row>
    <row r="122" spans="1:21" ht="20.25" x14ac:dyDescent="0.35">
      <c r="A122" s="1342">
        <v>80</v>
      </c>
      <c r="B122" s="1708" t="str">
        <f t="shared" si="15"/>
        <v/>
      </c>
      <c r="C122" s="1580" t="s">
        <v>3521</v>
      </c>
      <c r="D122" s="1712" t="str">
        <f>"Loss from this tax year set off against other income for "&amp;tax_year</f>
        <v>Loss from this tax year set off against other income for 2017-18</v>
      </c>
      <c r="E122" s="2406"/>
      <c r="F122" s="2406"/>
      <c r="G122" s="2406"/>
      <c r="H122" s="2406">
        <v>12390</v>
      </c>
      <c r="I122" s="2406"/>
      <c r="J122" s="2406"/>
      <c r="K122" s="2406"/>
      <c r="L122" s="2409"/>
      <c r="M122" s="3613">
        <v>66763</v>
      </c>
      <c r="N122" s="3611"/>
      <c r="O122" s="2426"/>
      <c r="P122" s="2426"/>
      <c r="Q122" s="2426"/>
      <c r="R122" s="2427"/>
      <c r="S122" s="1503"/>
      <c r="T122" s="2282" t="s">
        <v>6654</v>
      </c>
      <c r="U122" s="1793" t="s">
        <v>5946</v>
      </c>
    </row>
    <row r="123" spans="1:21" ht="20.25" x14ac:dyDescent="0.35">
      <c r="A123" s="1342">
        <v>81</v>
      </c>
      <c r="B123" s="1708" t="str">
        <f t="shared" si="15"/>
        <v/>
      </c>
      <c r="C123" s="1580" t="s">
        <v>3522</v>
      </c>
      <c r="D123" s="1712" t="s">
        <v>6001</v>
      </c>
      <c r="E123" s="2404"/>
      <c r="F123" s="2404"/>
      <c r="G123" s="2404"/>
      <c r="H123" s="2404"/>
      <c r="I123" s="2404"/>
      <c r="J123" s="2404"/>
      <c r="K123" s="2404"/>
      <c r="L123" s="2404"/>
      <c r="M123" s="2404"/>
      <c r="N123" s="3610"/>
      <c r="O123" s="2422"/>
      <c r="P123" s="2422"/>
      <c r="Q123" s="2422"/>
      <c r="R123" s="2423"/>
      <c r="S123" s="1503"/>
      <c r="T123" s="2282" t="s">
        <v>6617</v>
      </c>
      <c r="U123" s="1793" t="s">
        <v>5947</v>
      </c>
    </row>
    <row r="124" spans="1:21" ht="12.75" x14ac:dyDescent="0.35">
      <c r="A124" s="1342">
        <v>82</v>
      </c>
      <c r="B124" s="1708" t="str">
        <f t="shared" ref="B124:B147" si="36">IF(SE_B_IND&gt;1,IF(HLOOKUP(SE_B_IND-1,FSE_RANGE,A124)="","",HLOOKUP(SE_B_IND-1,FSE_RANGE,A124)),"")</f>
        <v/>
      </c>
      <c r="C124" s="1580" t="s">
        <v>3523</v>
      </c>
      <c r="D124" s="1712" t="s">
        <v>6002</v>
      </c>
      <c r="E124" s="2404"/>
      <c r="F124" s="2404"/>
      <c r="G124" s="2404"/>
      <c r="H124" s="2404"/>
      <c r="I124" s="2404"/>
      <c r="J124" s="2404"/>
      <c r="K124" s="2404"/>
      <c r="L124" s="2404"/>
      <c r="M124" s="2404"/>
      <c r="N124" s="3610"/>
      <c r="O124" s="2422"/>
      <c r="P124" s="2422"/>
      <c r="Q124" s="2422"/>
      <c r="R124" s="2423"/>
      <c r="S124" s="1503"/>
      <c r="T124" s="2282" t="s">
        <v>6617</v>
      </c>
      <c r="U124" s="1793"/>
    </row>
    <row r="125" spans="1:21" ht="12.75" x14ac:dyDescent="0.35">
      <c r="A125" s="1342">
        <v>83</v>
      </c>
      <c r="B125" s="1708" t="str">
        <f t="shared" si="36"/>
        <v/>
      </c>
      <c r="C125" s="1580" t="s">
        <v>1690</v>
      </c>
      <c r="D125" s="1712" t="s">
        <v>5928</v>
      </c>
      <c r="E125" s="2406"/>
      <c r="F125" s="2406"/>
      <c r="G125" s="2406">
        <v>12065</v>
      </c>
      <c r="H125" s="2406"/>
      <c r="I125" s="2406"/>
      <c r="J125" s="2406"/>
      <c r="K125" s="2406"/>
      <c r="L125" s="2406"/>
      <c r="M125" s="2406"/>
      <c r="N125" s="3611"/>
      <c r="O125" s="2426"/>
      <c r="P125" s="2426"/>
      <c r="Q125" s="2426"/>
      <c r="R125" s="2427"/>
      <c r="S125" s="1503"/>
      <c r="T125" s="2282" t="s">
        <v>6617</v>
      </c>
      <c r="U125" s="1793"/>
    </row>
    <row r="126" spans="1:21" ht="12.75" x14ac:dyDescent="0.35">
      <c r="A126" s="1342">
        <v>84</v>
      </c>
      <c r="B126" s="1708" t="str">
        <f t="shared" si="36"/>
        <v/>
      </c>
      <c r="C126" s="1580" t="s">
        <v>1691</v>
      </c>
      <c r="D126" s="1712" t="s">
        <v>6003</v>
      </c>
      <c r="E126" s="2406"/>
      <c r="F126" s="2406"/>
      <c r="G126" s="2406"/>
      <c r="H126" s="2406"/>
      <c r="I126" s="2406"/>
      <c r="J126" s="2406"/>
      <c r="K126" s="2406"/>
      <c r="L126" s="2406"/>
      <c r="M126" s="2406"/>
      <c r="N126" s="3611"/>
      <c r="O126" s="2426"/>
      <c r="P126" s="2426"/>
      <c r="Q126" s="2426"/>
      <c r="R126" s="2427"/>
      <c r="S126" s="1503"/>
      <c r="T126" s="2282" t="s">
        <v>6617</v>
      </c>
      <c r="U126" s="1793"/>
    </row>
    <row r="127" spans="1:21" ht="12.75" x14ac:dyDescent="0.35">
      <c r="A127" s="1342">
        <v>85</v>
      </c>
      <c r="B127" s="1708" t="str">
        <f t="shared" si="36"/>
        <v/>
      </c>
      <c r="C127" s="1580" t="s">
        <v>1973</v>
      </c>
      <c r="D127" s="1712" t="s">
        <v>6004</v>
      </c>
      <c r="E127" s="2404"/>
      <c r="F127" s="2404">
        <v>23400</v>
      </c>
      <c r="G127" s="2404"/>
      <c r="H127" s="2404"/>
      <c r="I127" s="2404"/>
      <c r="J127" s="2404"/>
      <c r="K127" s="2404"/>
      <c r="L127" s="2404"/>
      <c r="M127" s="2404"/>
      <c r="N127" s="3610"/>
      <c r="O127" s="2422"/>
      <c r="P127" s="2422"/>
      <c r="Q127" s="2422"/>
      <c r="R127" s="2423"/>
      <c r="S127" s="1503"/>
      <c r="T127" s="2282" t="s">
        <v>6617</v>
      </c>
      <c r="U127" s="1793"/>
    </row>
    <row r="128" spans="1:21" ht="12.75" x14ac:dyDescent="0.35">
      <c r="A128" s="1342">
        <v>86</v>
      </c>
      <c r="B128" s="1708" t="str">
        <f t="shared" si="36"/>
        <v/>
      </c>
      <c r="C128" s="1580" t="s">
        <v>1974</v>
      </c>
      <c r="D128" s="1712" t="s">
        <v>6005</v>
      </c>
      <c r="E128" s="2404"/>
      <c r="F128" s="2404">
        <v>269992</v>
      </c>
      <c r="G128" s="2404"/>
      <c r="H128" s="2404"/>
      <c r="I128" s="2404"/>
      <c r="J128" s="2404"/>
      <c r="K128" s="2404"/>
      <c r="L128" s="2404"/>
      <c r="M128" s="2404"/>
      <c r="N128" s="3610"/>
      <c r="O128" s="2422"/>
      <c r="P128" s="2422"/>
      <c r="Q128" s="2422"/>
      <c r="R128" s="2423"/>
      <c r="S128" s="1503"/>
      <c r="T128" s="2282" t="s">
        <v>6617</v>
      </c>
      <c r="U128" s="1793"/>
    </row>
    <row r="129" spans="1:21" ht="12.75" x14ac:dyDescent="0.35">
      <c r="A129" s="1342">
        <v>87</v>
      </c>
      <c r="B129" s="1708" t="str">
        <f t="shared" si="36"/>
        <v/>
      </c>
      <c r="C129" s="1580" t="s">
        <v>1975</v>
      </c>
      <c r="D129" s="1712" t="s">
        <v>6006</v>
      </c>
      <c r="E129" s="2404"/>
      <c r="F129" s="2404">
        <v>6464</v>
      </c>
      <c r="G129" s="2404">
        <v>3250</v>
      </c>
      <c r="H129" s="2404"/>
      <c r="I129" s="2404"/>
      <c r="J129" s="2404"/>
      <c r="K129" s="2404"/>
      <c r="L129" s="2404"/>
      <c r="M129" s="2404"/>
      <c r="N129" s="3610"/>
      <c r="O129" s="2422"/>
      <c r="P129" s="2422"/>
      <c r="Q129" s="2422"/>
      <c r="R129" s="2423"/>
      <c r="S129" s="1503"/>
      <c r="T129" s="2282" t="s">
        <v>6617</v>
      </c>
      <c r="U129" s="1793"/>
    </row>
    <row r="130" spans="1:21" ht="12.75" x14ac:dyDescent="0.35">
      <c r="A130" s="1342">
        <v>88</v>
      </c>
      <c r="B130" s="1708" t="str">
        <f t="shared" si="36"/>
        <v/>
      </c>
      <c r="C130" s="1580" t="s">
        <v>1976</v>
      </c>
      <c r="D130" s="1712" t="s">
        <v>6007</v>
      </c>
      <c r="E130" s="2404"/>
      <c r="F130" s="2404">
        <v>2746</v>
      </c>
      <c r="G130" s="2404"/>
      <c r="H130" s="2404"/>
      <c r="I130" s="2404"/>
      <c r="J130" s="2404"/>
      <c r="K130" s="2404"/>
      <c r="L130" s="2404"/>
      <c r="M130" s="2404"/>
      <c r="N130" s="3610"/>
      <c r="O130" s="2422"/>
      <c r="P130" s="2422"/>
      <c r="Q130" s="2422"/>
      <c r="R130" s="2423"/>
      <c r="S130" s="1503"/>
      <c r="T130" s="2282" t="s">
        <v>6617</v>
      </c>
      <c r="U130" s="1793"/>
    </row>
    <row r="131" spans="1:21" ht="12.75" x14ac:dyDescent="0.35">
      <c r="A131" s="1342">
        <v>89</v>
      </c>
      <c r="B131" s="1708" t="str">
        <f t="shared" si="36"/>
        <v/>
      </c>
      <c r="C131" s="1580" t="s">
        <v>1977</v>
      </c>
      <c r="D131" s="1712" t="s">
        <v>6008</v>
      </c>
      <c r="E131" s="2404"/>
      <c r="F131" s="2404">
        <v>72645</v>
      </c>
      <c r="G131" s="2404">
        <v>12591</v>
      </c>
      <c r="H131" s="2404"/>
      <c r="I131" s="2404"/>
      <c r="J131" s="2404"/>
      <c r="K131" s="2404"/>
      <c r="L131" s="2404"/>
      <c r="M131" s="2404"/>
      <c r="N131" s="3610"/>
      <c r="O131" s="2422"/>
      <c r="P131" s="2422"/>
      <c r="Q131" s="2422"/>
      <c r="R131" s="2423"/>
      <c r="S131" s="1503"/>
      <c r="T131" s="2282" t="s">
        <v>6617</v>
      </c>
      <c r="U131" s="1793"/>
    </row>
    <row r="132" spans="1:21" ht="12.75" x14ac:dyDescent="0.35">
      <c r="A132" s="1342">
        <v>90</v>
      </c>
      <c r="B132" s="1708" t="str">
        <f t="shared" si="36"/>
        <v/>
      </c>
      <c r="C132" s="1580" t="s">
        <v>1978</v>
      </c>
      <c r="D132" s="1712" t="s">
        <v>6009</v>
      </c>
      <c r="E132" s="2404"/>
      <c r="F132" s="2404">
        <v>2000</v>
      </c>
      <c r="G132" s="2404"/>
      <c r="H132" s="2404"/>
      <c r="I132" s="2404"/>
      <c r="J132" s="2404"/>
      <c r="K132" s="2404"/>
      <c r="L132" s="2404"/>
      <c r="M132" s="2404"/>
      <c r="N132" s="3610"/>
      <c r="O132" s="2422"/>
      <c r="P132" s="2422"/>
      <c r="Q132" s="2422"/>
      <c r="R132" s="2423"/>
      <c r="S132" s="1503"/>
      <c r="T132" s="2282" t="s">
        <v>6617</v>
      </c>
      <c r="U132" s="1793"/>
    </row>
    <row r="133" spans="1:21" ht="12.75" x14ac:dyDescent="0.35">
      <c r="A133" s="1342">
        <v>91</v>
      </c>
      <c r="B133" s="1708" t="str">
        <f t="shared" si="36"/>
        <v/>
      </c>
      <c r="C133" s="1580" t="s">
        <v>1979</v>
      </c>
      <c r="D133" s="1712" t="s">
        <v>6010</v>
      </c>
      <c r="E133" s="2404"/>
      <c r="F133" s="2404">
        <v>252</v>
      </c>
      <c r="G133" s="2404"/>
      <c r="H133" s="2404"/>
      <c r="I133" s="2404"/>
      <c r="J133" s="2404"/>
      <c r="K133" s="2404"/>
      <c r="L133" s="2404"/>
      <c r="M133" s="2404"/>
      <c r="N133" s="3610"/>
      <c r="O133" s="2422"/>
      <c r="P133" s="2422"/>
      <c r="Q133" s="2422"/>
      <c r="R133" s="2423"/>
      <c r="S133" s="1503"/>
      <c r="T133" s="2282" t="s">
        <v>6617</v>
      </c>
      <c r="U133" s="1793"/>
    </row>
    <row r="134" spans="1:21" ht="20.25" x14ac:dyDescent="0.35">
      <c r="A134" s="1342">
        <v>92</v>
      </c>
      <c r="B134" s="1708" t="str">
        <f t="shared" si="36"/>
        <v/>
      </c>
      <c r="C134" s="1580" t="s">
        <v>2529</v>
      </c>
      <c r="D134" s="1712" t="s">
        <v>6011</v>
      </c>
      <c r="E134" s="2460"/>
      <c r="F134" s="2461">
        <f>F127+F128+F129+F130+F131+F132+F133</f>
        <v>377499</v>
      </c>
      <c r="G134" s="2461">
        <f>G127+G128+G129+G130+G131+G132+G133</f>
        <v>15841</v>
      </c>
      <c r="H134" s="2460"/>
      <c r="I134" s="2460"/>
      <c r="J134" s="2460"/>
      <c r="K134" s="2460"/>
      <c r="L134" s="2460"/>
      <c r="M134" s="2460"/>
      <c r="N134" s="3614"/>
      <c r="O134" s="2462"/>
      <c r="P134" s="2462"/>
      <c r="Q134" s="2462"/>
      <c r="R134" s="2463"/>
      <c r="S134" s="1503"/>
      <c r="T134" s="2282" t="s">
        <v>6617</v>
      </c>
      <c r="U134" s="1793" t="s">
        <v>5948</v>
      </c>
    </row>
    <row r="135" spans="1:21" ht="12.75" x14ac:dyDescent="0.35">
      <c r="A135" s="1342">
        <v>93</v>
      </c>
      <c r="B135" s="1708" t="str">
        <f t="shared" si="36"/>
        <v/>
      </c>
      <c r="C135" s="1580" t="s">
        <v>2530</v>
      </c>
      <c r="D135" s="1712" t="s">
        <v>6012</v>
      </c>
      <c r="E135" s="2404"/>
      <c r="F135" s="2404">
        <v>14864</v>
      </c>
      <c r="G135" s="2404"/>
      <c r="H135" s="2404"/>
      <c r="I135" s="2404"/>
      <c r="J135" s="2404"/>
      <c r="K135" s="2404"/>
      <c r="L135" s="2404"/>
      <c r="M135" s="2404"/>
      <c r="N135" s="3610"/>
      <c r="O135" s="2422"/>
      <c r="P135" s="2422"/>
      <c r="Q135" s="2422"/>
      <c r="R135" s="2423"/>
      <c r="S135" s="1503"/>
      <c r="T135" s="2282" t="s">
        <v>6617</v>
      </c>
      <c r="U135" s="1793"/>
    </row>
    <row r="136" spans="1:21" ht="12.75" x14ac:dyDescent="0.35">
      <c r="A136" s="1342">
        <v>94</v>
      </c>
      <c r="B136" s="1708" t="str">
        <f t="shared" si="36"/>
        <v/>
      </c>
      <c r="C136" s="1580" t="s">
        <v>2531</v>
      </c>
      <c r="D136" s="1712" t="s">
        <v>6013</v>
      </c>
      <c r="E136" s="2404"/>
      <c r="F136" s="2404">
        <v>93551</v>
      </c>
      <c r="G136" s="2404"/>
      <c r="H136" s="2404"/>
      <c r="I136" s="2404"/>
      <c r="J136" s="2404"/>
      <c r="K136" s="2404"/>
      <c r="L136" s="2404"/>
      <c r="M136" s="2404"/>
      <c r="N136" s="3610"/>
      <c r="O136" s="2422"/>
      <c r="P136" s="2422"/>
      <c r="Q136" s="2422"/>
      <c r="R136" s="2423"/>
      <c r="S136" s="1503"/>
      <c r="T136" s="2282" t="s">
        <v>6617</v>
      </c>
      <c r="U136" s="1793" t="s">
        <v>15</v>
      </c>
    </row>
    <row r="137" spans="1:21" ht="12.75" x14ac:dyDescent="0.35">
      <c r="A137" s="1342">
        <v>95</v>
      </c>
      <c r="B137" s="1708" t="str">
        <f t="shared" si="36"/>
        <v/>
      </c>
      <c r="C137" s="1580" t="s">
        <v>2532</v>
      </c>
      <c r="D137" s="1712" t="s">
        <v>6014</v>
      </c>
      <c r="E137" s="2404"/>
      <c r="F137" s="2404">
        <v>108416</v>
      </c>
      <c r="G137" s="2404"/>
      <c r="H137" s="2404"/>
      <c r="I137" s="2404"/>
      <c r="J137" s="2404"/>
      <c r="K137" s="2404"/>
      <c r="L137" s="2404"/>
      <c r="M137" s="2404"/>
      <c r="N137" s="3610"/>
      <c r="O137" s="2422"/>
      <c r="P137" s="2422"/>
      <c r="Q137" s="2422"/>
      <c r="R137" s="2423"/>
      <c r="S137" s="1503"/>
      <c r="T137" s="2282" t="s">
        <v>6617</v>
      </c>
      <c r="U137" s="1793"/>
    </row>
    <row r="138" spans="1:21" ht="12.75" x14ac:dyDescent="0.35">
      <c r="A138" s="1342">
        <v>96</v>
      </c>
      <c r="B138" s="1708" t="str">
        <f t="shared" si="36"/>
        <v/>
      </c>
      <c r="C138" s="1580" t="s">
        <v>2533</v>
      </c>
      <c r="D138" s="1712" t="s">
        <v>6015</v>
      </c>
      <c r="E138" s="2460"/>
      <c r="F138" s="2461">
        <f>F134-(F135+F136+F137)</f>
        <v>160668</v>
      </c>
      <c r="G138" s="2461">
        <f>G134-(G135+G136+G137)</f>
        <v>15841</v>
      </c>
      <c r="H138" s="2460"/>
      <c r="I138" s="2460"/>
      <c r="J138" s="2460"/>
      <c r="K138" s="2460"/>
      <c r="L138" s="2460"/>
      <c r="M138" s="2460"/>
      <c r="N138" s="3614"/>
      <c r="O138" s="2462"/>
      <c r="P138" s="2462"/>
      <c r="Q138" s="2462"/>
      <c r="R138" s="2463"/>
      <c r="S138" s="1503"/>
      <c r="T138" s="2282" t="s">
        <v>6619</v>
      </c>
      <c r="U138" s="1793" t="s">
        <v>5949</v>
      </c>
    </row>
    <row r="139" spans="1:21" ht="12.75" x14ac:dyDescent="0.35">
      <c r="A139" s="1342">
        <v>97</v>
      </c>
      <c r="B139" s="1708" t="str">
        <f t="shared" si="36"/>
        <v/>
      </c>
      <c r="C139" s="1580" t="s">
        <v>2534</v>
      </c>
      <c r="D139" s="1712" t="s">
        <v>6016</v>
      </c>
      <c r="E139" s="2404">
        <v>-76900</v>
      </c>
      <c r="F139" s="2404">
        <v>132680</v>
      </c>
      <c r="G139" s="2404">
        <v>2403</v>
      </c>
      <c r="H139" s="2404"/>
      <c r="I139" s="2404">
        <v>2600</v>
      </c>
      <c r="J139" s="2404">
        <v>15000</v>
      </c>
      <c r="K139" s="2404">
        <v>-12908</v>
      </c>
      <c r="L139" s="2404">
        <v>3782</v>
      </c>
      <c r="M139" s="2404"/>
      <c r="N139" s="3610"/>
      <c r="O139" s="2422"/>
      <c r="P139" s="2422"/>
      <c r="Q139" s="2422"/>
      <c r="R139" s="2423"/>
      <c r="S139" s="1503"/>
      <c r="T139" s="2282" t="s">
        <v>6657</v>
      </c>
      <c r="U139" s="1793"/>
    </row>
    <row r="140" spans="1:21" ht="60.75" x14ac:dyDescent="0.35">
      <c r="A140" s="1342">
        <v>98</v>
      </c>
      <c r="B140" s="1708" t="str">
        <f t="shared" si="36"/>
        <v/>
      </c>
      <c r="C140" s="1580" t="s">
        <v>2535</v>
      </c>
      <c r="D140" s="1712" t="s">
        <v>5339</v>
      </c>
      <c r="E140" s="2464">
        <f>IF(E91&gt;0,E91,(-1*E92))</f>
        <v>54299</v>
      </c>
      <c r="F140" s="2464">
        <f t="shared" ref="F140:M140" si="37">IF(F91&gt;0,F91,(-1*F92))</f>
        <v>98672</v>
      </c>
      <c r="G140" s="2464">
        <f t="shared" si="37"/>
        <v>57188</v>
      </c>
      <c r="H140" s="2464">
        <f t="shared" si="37"/>
        <v>-5001</v>
      </c>
      <c r="I140" s="2464">
        <f t="shared" si="37"/>
        <v>14900</v>
      </c>
      <c r="J140" s="2464">
        <f t="shared" si="37"/>
        <v>139838</v>
      </c>
      <c r="K140" s="2464">
        <f t="shared" si="37"/>
        <v>20023</v>
      </c>
      <c r="L140" s="2464">
        <f t="shared" si="37"/>
        <v>-5000</v>
      </c>
      <c r="M140" s="2464">
        <f t="shared" si="37"/>
        <v>-52763</v>
      </c>
      <c r="N140" s="3841">
        <f t="shared" ref="N140" si="38">IF(N91&gt;0,N91,(-1*N92))</f>
        <v>36866</v>
      </c>
      <c r="O140" s="2465"/>
      <c r="P140" s="2465"/>
      <c r="Q140" s="2465"/>
      <c r="R140" s="2466"/>
      <c r="S140" s="1503"/>
      <c r="T140" s="2282" t="s">
        <v>6619</v>
      </c>
      <c r="U140" s="1793" t="s">
        <v>5950</v>
      </c>
    </row>
    <row r="141" spans="1:21" ht="12.75" x14ac:dyDescent="0.35">
      <c r="A141" s="1342">
        <v>99</v>
      </c>
      <c r="B141" s="1708" t="str">
        <f t="shared" si="36"/>
        <v/>
      </c>
      <c r="C141" s="1580" t="s">
        <v>2536</v>
      </c>
      <c r="D141" s="1712" t="s">
        <v>6017</v>
      </c>
      <c r="E141" s="2404"/>
      <c r="F141" s="2404"/>
      <c r="G141" s="2404"/>
      <c r="H141" s="2404"/>
      <c r="I141" s="2404"/>
      <c r="J141" s="2404"/>
      <c r="K141" s="2404"/>
      <c r="L141" s="2404">
        <v>1000</v>
      </c>
      <c r="M141" s="2404"/>
      <c r="N141" s="3842"/>
      <c r="O141" s="2422"/>
      <c r="P141" s="2422"/>
      <c r="Q141" s="2422"/>
      <c r="R141" s="2423"/>
      <c r="S141" s="1503"/>
      <c r="T141" s="2282" t="s">
        <v>6617</v>
      </c>
      <c r="U141" s="1793"/>
    </row>
    <row r="142" spans="1:21" ht="12.75" x14ac:dyDescent="0.35">
      <c r="A142" s="1342">
        <v>100</v>
      </c>
      <c r="B142" s="1708" t="str">
        <f t="shared" si="36"/>
        <v/>
      </c>
      <c r="C142" s="1580" t="s">
        <v>2537</v>
      </c>
      <c r="D142" s="1712" t="s">
        <v>6018</v>
      </c>
      <c r="E142" s="2404"/>
      <c r="F142" s="2404">
        <v>71605</v>
      </c>
      <c r="G142" s="2404">
        <v>56750</v>
      </c>
      <c r="H142" s="2404"/>
      <c r="I142" s="2404"/>
      <c r="J142" s="2404"/>
      <c r="K142" s="2404"/>
      <c r="L142" s="2404"/>
      <c r="M142" s="2404"/>
      <c r="N142" s="3842"/>
      <c r="O142" s="2422"/>
      <c r="P142" s="2422"/>
      <c r="Q142" s="2422"/>
      <c r="R142" s="2423"/>
      <c r="S142" s="1503"/>
      <c r="T142" s="2282" t="s">
        <v>6617</v>
      </c>
      <c r="U142" s="1793"/>
    </row>
    <row r="143" spans="1:21" ht="12.75" x14ac:dyDescent="0.35">
      <c r="A143" s="1342">
        <v>101</v>
      </c>
      <c r="B143" s="1708" t="str">
        <f t="shared" si="36"/>
        <v/>
      </c>
      <c r="C143" s="1580" t="s">
        <v>2538</v>
      </c>
      <c r="D143" s="1712" t="s">
        <v>6019</v>
      </c>
      <c r="E143" s="2464">
        <f>E139+E140+E141-E142</f>
        <v>-22601</v>
      </c>
      <c r="F143" s="2464">
        <f t="shared" ref="F143:M143" si="39">F139+F140+F141-F142</f>
        <v>159747</v>
      </c>
      <c r="G143" s="2464">
        <f t="shared" si="39"/>
        <v>2841</v>
      </c>
      <c r="H143" s="2464">
        <f t="shared" si="39"/>
        <v>-5001</v>
      </c>
      <c r="I143" s="2464">
        <f t="shared" si="39"/>
        <v>17500</v>
      </c>
      <c r="J143" s="2464">
        <f t="shared" si="39"/>
        <v>154838</v>
      </c>
      <c r="K143" s="2464">
        <f t="shared" si="39"/>
        <v>7115</v>
      </c>
      <c r="L143" s="2464">
        <f t="shared" si="39"/>
        <v>-218</v>
      </c>
      <c r="M143" s="2464">
        <f t="shared" si="39"/>
        <v>-52763</v>
      </c>
      <c r="N143" s="3841">
        <f t="shared" ref="N143" si="40">N139+N140+N141-N142</f>
        <v>36866</v>
      </c>
      <c r="O143" s="2465"/>
      <c r="P143" s="2465"/>
      <c r="Q143" s="2465"/>
      <c r="R143" s="2466"/>
      <c r="S143" s="1503"/>
      <c r="T143" s="2282" t="s">
        <v>6619</v>
      </c>
      <c r="U143" s="1793" t="s">
        <v>5951</v>
      </c>
    </row>
    <row r="144" spans="1:21" ht="13.15" x14ac:dyDescent="0.35">
      <c r="A144" s="1342">
        <v>102</v>
      </c>
      <c r="B144" s="1708" t="str">
        <f t="shared" si="36"/>
        <v/>
      </c>
      <c r="C144" s="1580" t="s">
        <v>2539</v>
      </c>
      <c r="D144" s="1712" t="str">
        <f>"If your total profits for "&amp;tax_year&amp;" are less than "&amp;DOLLAR(NIC2_SPT,0)&amp;" and you choose to pay Class 2 NICs voluntarily, put 'X' in the box"</f>
        <v>If your total profits for 2017-18 are less than £6,025 and you choose to pay Class 2 NICs voluntarily, put 'X' in the box</v>
      </c>
      <c r="E144" s="2005" t="str">
        <f t="shared" ref="E144:M144" si="41">IF(SE_B_IND&gt;1,IF(SE_A_IND&gt;1,"",IF(LUN_IND&gt;1,"",IF(PS_A_IND&gt;1,"",IF(PS_B_IND&gt;1,"",IF(AND(E120&lt;NIC2_SPT,NIC2_Vol,NIC_exempt=FALSE),"Y","N"))))),"")</f>
        <v/>
      </c>
      <c r="F144" s="2005" t="str">
        <f t="shared" si="41"/>
        <v/>
      </c>
      <c r="G144" s="2005" t="str">
        <f t="shared" si="41"/>
        <v/>
      </c>
      <c r="H144" s="2005" t="str">
        <f t="shared" si="41"/>
        <v/>
      </c>
      <c r="I144" s="2005" t="str">
        <f t="shared" si="41"/>
        <v/>
      </c>
      <c r="J144" s="2005" t="str">
        <f t="shared" si="41"/>
        <v/>
      </c>
      <c r="K144" s="2005" t="str">
        <f t="shared" si="41"/>
        <v/>
      </c>
      <c r="L144" s="2005" t="str">
        <f t="shared" si="41"/>
        <v/>
      </c>
      <c r="M144" s="2005" t="str">
        <f t="shared" si="41"/>
        <v/>
      </c>
      <c r="N144" s="3843" t="str">
        <f t="shared" ref="N144" si="42">IF(SE_B_IND&gt;1,IF(SE_A_IND&gt;1,"",IF(LUN_IND&gt;1,"",IF(PS_A_IND&gt;1,"",IF(PS_B_IND&gt;1,"",IF(AND(N120&lt;NIC2_SPT,NIC2_Vol,NIC_exempt=FALSE),"Y","N"))))),"")</f>
        <v/>
      </c>
      <c r="O144" s="2309"/>
      <c r="P144" s="2309"/>
      <c r="Q144" s="2309"/>
      <c r="R144" s="2310"/>
      <c r="S144" s="1503"/>
      <c r="T144" s="2282" t="s">
        <v>6620</v>
      </c>
      <c r="U144" s="1502"/>
    </row>
    <row r="145" spans="1:21" ht="13.15" x14ac:dyDescent="0.35">
      <c r="A145" s="1342">
        <v>103</v>
      </c>
      <c r="B145" s="1708" t="str">
        <f t="shared" si="36"/>
        <v/>
      </c>
      <c r="C145" s="1580" t="s">
        <v>4076</v>
      </c>
      <c r="D145" s="1712" t="s">
        <v>5230</v>
      </c>
      <c r="E145" s="2005" t="str">
        <f>IF(SE_B_IND&gt;1,IF(SE_A_IND&gt;1,"",IF(NIC_exempt,"Y","N")),"")</f>
        <v/>
      </c>
      <c r="F145" s="2005" t="str">
        <f t="shared" ref="F145:N145" si="43">IF(SE_B_IND&gt;1,IF(SE_A_IND&gt;1,"",IF(NIC_exempt,"Y","N")),"")</f>
        <v/>
      </c>
      <c r="G145" s="2005" t="str">
        <f t="shared" si="43"/>
        <v/>
      </c>
      <c r="H145" s="2005" t="str">
        <f t="shared" si="43"/>
        <v/>
      </c>
      <c r="I145" s="2005" t="str">
        <f t="shared" si="43"/>
        <v/>
      </c>
      <c r="J145" s="2005" t="str">
        <f t="shared" si="43"/>
        <v/>
      </c>
      <c r="K145" s="2005" t="str">
        <f t="shared" si="43"/>
        <v/>
      </c>
      <c r="L145" s="2005" t="str">
        <f t="shared" si="43"/>
        <v/>
      </c>
      <c r="M145" s="2005" t="str">
        <f t="shared" si="43"/>
        <v/>
      </c>
      <c r="N145" s="3843" t="str">
        <f t="shared" si="43"/>
        <v/>
      </c>
      <c r="O145" s="2309"/>
      <c r="P145" s="2309"/>
      <c r="Q145" s="2309"/>
      <c r="R145" s="2310"/>
      <c r="S145" s="1503"/>
      <c r="T145" s="2282" t="s">
        <v>6620</v>
      </c>
      <c r="U145" s="1502"/>
    </row>
    <row r="146" spans="1:21" ht="12.75" x14ac:dyDescent="0.35">
      <c r="A146" s="1342">
        <v>104</v>
      </c>
      <c r="B146" s="1708" t="str">
        <f t="shared" si="36"/>
        <v/>
      </c>
      <c r="C146" s="1580" t="s">
        <v>810</v>
      </c>
      <c r="D146" s="1712" t="s">
        <v>5231</v>
      </c>
      <c r="E146" s="2409"/>
      <c r="F146" s="2409"/>
      <c r="G146" s="2409"/>
      <c r="H146" s="2409"/>
      <c r="I146" s="2409"/>
      <c r="J146" s="2467">
        <f>J115</f>
        <v>15200</v>
      </c>
      <c r="K146" s="2409"/>
      <c r="L146" s="2409"/>
      <c r="M146" s="2409"/>
      <c r="N146" s="3611"/>
      <c r="O146" s="2426"/>
      <c r="P146" s="2426"/>
      <c r="Q146" s="2426"/>
      <c r="R146" s="2427"/>
      <c r="S146" s="1503"/>
      <c r="T146" s="2282" t="s">
        <v>6617</v>
      </c>
      <c r="U146" s="1793" t="s">
        <v>5959</v>
      </c>
    </row>
    <row r="147" spans="1:21" ht="13.5" thickBot="1" x14ac:dyDescent="0.4">
      <c r="A147" s="1342">
        <v>105</v>
      </c>
      <c r="B147" s="1708" t="str">
        <f t="shared" si="36"/>
        <v/>
      </c>
      <c r="C147" s="1586" t="s">
        <v>791</v>
      </c>
      <c r="D147" s="1728" t="s">
        <v>5232</v>
      </c>
      <c r="E147" s="1546"/>
      <c r="F147" s="1546"/>
      <c r="G147" s="1546"/>
      <c r="H147" s="1546"/>
      <c r="I147" s="1546"/>
      <c r="J147" s="1546"/>
      <c r="K147" s="1546"/>
      <c r="L147" s="1546"/>
      <c r="M147" s="1546"/>
      <c r="N147" s="3615"/>
      <c r="O147" s="2313"/>
      <c r="P147" s="2313"/>
      <c r="Q147" s="2313"/>
      <c r="R147" s="2314"/>
      <c r="S147" s="1503"/>
      <c r="T147" s="2282" t="s">
        <v>6621</v>
      </c>
      <c r="U147" s="1502"/>
    </row>
    <row r="148" spans="1:21" ht="12" thickBot="1" x14ac:dyDescent="0.4"/>
    <row r="149" spans="1:21" ht="13.15" x14ac:dyDescent="0.4">
      <c r="A149" s="1342" t="s">
        <v>4845</v>
      </c>
      <c r="B149" s="676" t="s">
        <v>4210</v>
      </c>
      <c r="C149" s="1776" t="s">
        <v>3927</v>
      </c>
      <c r="D149" s="1729"/>
      <c r="E149" s="1348">
        <v>1</v>
      </c>
      <c r="F149" s="1348">
        <v>2</v>
      </c>
      <c r="G149" s="1348">
        <v>3</v>
      </c>
      <c r="H149" s="1348">
        <v>4</v>
      </c>
      <c r="I149" s="1348">
        <v>5</v>
      </c>
      <c r="J149" s="1348">
        <v>6</v>
      </c>
      <c r="K149" s="1348">
        <v>7</v>
      </c>
      <c r="L149" s="1348">
        <v>8</v>
      </c>
      <c r="M149" s="1348">
        <v>9</v>
      </c>
      <c r="N149" s="1348">
        <v>10</v>
      </c>
      <c r="O149" s="1348">
        <v>11</v>
      </c>
      <c r="P149" s="1348">
        <v>12</v>
      </c>
      <c r="Q149" s="1348">
        <v>13</v>
      </c>
      <c r="R149" s="1349">
        <v>14</v>
      </c>
      <c r="S149" s="1503"/>
      <c r="T149" s="2374" t="s">
        <v>6613</v>
      </c>
      <c r="U149" s="1502" t="s">
        <v>5460</v>
      </c>
    </row>
    <row r="150" spans="1:21" ht="13.15" x14ac:dyDescent="0.35">
      <c r="A150" s="1342">
        <v>2</v>
      </c>
      <c r="B150" s="1708" t="str">
        <f t="shared" ref="B150:B181" si="44">IF(LUN_IND&gt;1,IF(HLOOKUP(LUN_IND-1,LUN_RANGE,A150)="","",HLOOKUP(LUN_IND-1,LUN_RANGE,A150)),"")</f>
        <v/>
      </c>
      <c r="C150" s="1580" t="s">
        <v>3403</v>
      </c>
      <c r="D150" s="1712" t="s">
        <v>5675</v>
      </c>
      <c r="E150" s="2438">
        <v>213</v>
      </c>
      <c r="F150" s="2438">
        <v>38</v>
      </c>
      <c r="G150" s="2438">
        <v>266</v>
      </c>
      <c r="H150" s="2468">
        <v>195</v>
      </c>
      <c r="I150" s="2468">
        <v>1520</v>
      </c>
      <c r="J150" s="2468">
        <v>780</v>
      </c>
      <c r="K150" s="2468">
        <v>64703</v>
      </c>
      <c r="L150" s="2428"/>
      <c r="M150" s="2428"/>
      <c r="N150" s="2428"/>
      <c r="O150" s="2428"/>
      <c r="P150" s="2428"/>
      <c r="Q150" s="2428"/>
      <c r="R150" s="2429"/>
      <c r="S150" s="1503"/>
      <c r="T150" s="2282" t="s">
        <v>6654</v>
      </c>
      <c r="U150" s="1502"/>
    </row>
    <row r="151" spans="1:21" ht="13.15" x14ac:dyDescent="0.35">
      <c r="A151" s="1342">
        <v>3</v>
      </c>
      <c r="B151" s="1708" t="str">
        <f t="shared" si="44"/>
        <v/>
      </c>
      <c r="C151" s="1580" t="s">
        <v>4205</v>
      </c>
      <c r="D151" s="1712" t="s">
        <v>5676</v>
      </c>
      <c r="E151" s="2438"/>
      <c r="F151" s="2438"/>
      <c r="G151" s="2438"/>
      <c r="H151" s="2468"/>
      <c r="I151" s="2468"/>
      <c r="J151" s="2468"/>
      <c r="K151" s="2468"/>
      <c r="L151" s="2428"/>
      <c r="M151" s="2428"/>
      <c r="N151" s="2428"/>
      <c r="O151" s="2428"/>
      <c r="P151" s="2428"/>
      <c r="Q151" s="2428"/>
      <c r="R151" s="2429"/>
      <c r="S151" s="1503"/>
      <c r="T151" s="2282" t="s">
        <v>6654</v>
      </c>
      <c r="U151" s="1502"/>
    </row>
    <row r="152" spans="1:21" ht="13.15" x14ac:dyDescent="0.35">
      <c r="A152" s="1342">
        <v>4</v>
      </c>
      <c r="B152" s="1708" t="str">
        <f t="shared" si="44"/>
        <v/>
      </c>
      <c r="C152" s="1580" t="s">
        <v>1233</v>
      </c>
      <c r="D152" s="1712" t="s">
        <v>5677</v>
      </c>
      <c r="E152" s="2438">
        <v>328</v>
      </c>
      <c r="F152" s="2438">
        <v>513</v>
      </c>
      <c r="G152" s="2438">
        <v>596</v>
      </c>
      <c r="H152" s="2468">
        <v>338</v>
      </c>
      <c r="I152" s="2468"/>
      <c r="J152" s="2468">
        <v>10</v>
      </c>
      <c r="K152" s="2468"/>
      <c r="L152" s="2428"/>
      <c r="M152" s="2428"/>
      <c r="N152" s="2428"/>
      <c r="O152" s="2428"/>
      <c r="P152" s="2428"/>
      <c r="Q152" s="2428"/>
      <c r="R152" s="2429"/>
      <c r="S152" s="1503"/>
      <c r="T152" s="2282" t="s">
        <v>6654</v>
      </c>
      <c r="U152" s="1502"/>
    </row>
    <row r="153" spans="1:21" ht="12.75" x14ac:dyDescent="0.35">
      <c r="A153" s="1342">
        <v>5</v>
      </c>
      <c r="B153" s="1708" t="str">
        <f t="shared" si="44"/>
        <v/>
      </c>
      <c r="C153" s="1991" t="s">
        <v>1234</v>
      </c>
      <c r="D153" s="1712" t="s">
        <v>1575</v>
      </c>
      <c r="E153" s="2448">
        <f>TRUNC((E152*savings_gross*BR_rate)+0.99,0)</f>
        <v>82</v>
      </c>
      <c r="F153" s="2448">
        <f>TRUNC((F152*savings_gross*BR_rate)+0.99,0)</f>
        <v>129</v>
      </c>
      <c r="G153" s="2448">
        <f>TRUNC((G152*savings_gross*BR_rate)+0.99,0)</f>
        <v>149</v>
      </c>
      <c r="H153" s="2448">
        <f>TRUNC((H152*savings_gross*BR_rate)+0.99,0)</f>
        <v>85</v>
      </c>
      <c r="I153" s="2449"/>
      <c r="J153" s="2449">
        <v>2</v>
      </c>
      <c r="K153" s="2449"/>
      <c r="L153" s="2450"/>
      <c r="M153" s="2450"/>
      <c r="N153" s="2450"/>
      <c r="O153" s="2450"/>
      <c r="P153" s="2450"/>
      <c r="Q153" s="2450"/>
      <c r="R153" s="2451"/>
      <c r="S153" s="1503"/>
      <c r="T153" s="2282" t="s">
        <v>6654</v>
      </c>
      <c r="U153" s="1795" t="s">
        <v>6020</v>
      </c>
    </row>
    <row r="154" spans="1:21" ht="12.75" x14ac:dyDescent="0.35">
      <c r="A154" s="1342">
        <v>6</v>
      </c>
      <c r="B154" s="1708" t="str">
        <f t="shared" si="44"/>
        <v/>
      </c>
      <c r="C154" s="1580" t="s">
        <v>1235</v>
      </c>
      <c r="D154" s="1712" t="s">
        <v>5678</v>
      </c>
      <c r="E154" s="2442">
        <f t="shared" ref="E154:K154" si="45">E150+E151+E152+E153</f>
        <v>623</v>
      </c>
      <c r="F154" s="2442">
        <f t="shared" si="45"/>
        <v>680</v>
      </c>
      <c r="G154" s="2442">
        <f t="shared" si="45"/>
        <v>1011</v>
      </c>
      <c r="H154" s="2442">
        <f t="shared" si="45"/>
        <v>618</v>
      </c>
      <c r="I154" s="2442">
        <f t="shared" si="45"/>
        <v>1520</v>
      </c>
      <c r="J154" s="2442">
        <f t="shared" si="45"/>
        <v>792</v>
      </c>
      <c r="K154" s="2442">
        <f t="shared" si="45"/>
        <v>64703</v>
      </c>
      <c r="L154" s="2443"/>
      <c r="M154" s="2443"/>
      <c r="N154" s="2443"/>
      <c r="O154" s="2443"/>
      <c r="P154" s="2443"/>
      <c r="Q154" s="2443"/>
      <c r="R154" s="2444"/>
      <c r="S154" s="1503"/>
      <c r="T154" s="2282" t="s">
        <v>6654</v>
      </c>
      <c r="U154" s="1795" t="s">
        <v>6021</v>
      </c>
    </row>
    <row r="155" spans="1:21" ht="12.75" x14ac:dyDescent="0.35">
      <c r="A155" s="1342">
        <v>7</v>
      </c>
      <c r="B155" s="1708" t="str">
        <f t="shared" si="44"/>
        <v/>
      </c>
      <c r="C155" s="1991" t="s">
        <v>3753</v>
      </c>
      <c r="D155" s="1712" t="s">
        <v>5679</v>
      </c>
      <c r="E155" s="2445"/>
      <c r="F155" s="2445">
        <v>1908</v>
      </c>
      <c r="G155" s="2445">
        <v>2986</v>
      </c>
      <c r="H155" s="2469"/>
      <c r="I155" s="2469"/>
      <c r="J155" s="2469"/>
      <c r="K155" s="2469"/>
      <c r="L155" s="2430"/>
      <c r="M155" s="2430"/>
      <c r="N155" s="2430"/>
      <c r="O155" s="2430"/>
      <c r="P155" s="2430"/>
      <c r="Q155" s="2430"/>
      <c r="R155" s="2431"/>
      <c r="S155" s="1503"/>
      <c r="T155" s="2282" t="s">
        <v>6617</v>
      </c>
      <c r="U155" s="1795"/>
    </row>
    <row r="156" spans="1:21" ht="12.75" x14ac:dyDescent="0.35">
      <c r="A156" s="3407">
        <v>8</v>
      </c>
      <c r="B156" s="3408"/>
      <c r="C156" s="3445" t="s">
        <v>3754</v>
      </c>
      <c r="D156" s="3410" t="s">
        <v>5680</v>
      </c>
      <c r="E156" s="3728"/>
      <c r="F156" s="3728"/>
      <c r="G156" s="3728"/>
      <c r="H156" s="3729"/>
      <c r="I156" s="3729"/>
      <c r="J156" s="3729"/>
      <c r="K156" s="3729"/>
      <c r="L156" s="3729"/>
      <c r="M156" s="3729"/>
      <c r="N156" s="3729"/>
      <c r="O156" s="3729"/>
      <c r="P156" s="3729"/>
      <c r="Q156" s="3729"/>
      <c r="R156" s="3730"/>
      <c r="S156" s="3335"/>
      <c r="T156" s="3411" t="s">
        <v>6654</v>
      </c>
      <c r="U156" s="3412" t="s">
        <v>6022</v>
      </c>
    </row>
    <row r="157" spans="1:21" ht="12.75" x14ac:dyDescent="0.35">
      <c r="A157" s="1342">
        <v>9</v>
      </c>
      <c r="B157" s="1708" t="str">
        <f t="shared" si="44"/>
        <v/>
      </c>
      <c r="C157" s="1991" t="s">
        <v>3524</v>
      </c>
      <c r="D157" s="1712" t="s">
        <v>5681</v>
      </c>
      <c r="E157" s="2445"/>
      <c r="F157" s="2445"/>
      <c r="G157" s="2445">
        <v>670</v>
      </c>
      <c r="H157" s="2469"/>
      <c r="I157" s="2469"/>
      <c r="J157" s="2469"/>
      <c r="K157" s="2469"/>
      <c r="L157" s="2430"/>
      <c r="M157" s="2430"/>
      <c r="N157" s="2430"/>
      <c r="O157" s="2430"/>
      <c r="P157" s="2430"/>
      <c r="Q157" s="2430"/>
      <c r="R157" s="2431"/>
      <c r="S157" s="1503"/>
      <c r="T157" s="2282" t="s">
        <v>6617</v>
      </c>
      <c r="U157" s="1793"/>
    </row>
    <row r="158" spans="1:21" ht="12.75" x14ac:dyDescent="0.35">
      <c r="A158" s="1342">
        <v>10</v>
      </c>
      <c r="B158" s="1708" t="str">
        <f t="shared" si="44"/>
        <v/>
      </c>
      <c r="C158" s="1991" t="s">
        <v>3525</v>
      </c>
      <c r="D158" s="1712" t="s">
        <v>5682</v>
      </c>
      <c r="E158" s="2445"/>
      <c r="F158" s="2445">
        <v>912</v>
      </c>
      <c r="G158" s="2445"/>
      <c r="H158" s="2469">
        <v>678</v>
      </c>
      <c r="I158" s="2469">
        <v>1264</v>
      </c>
      <c r="J158" s="2469">
        <v>5635</v>
      </c>
      <c r="K158" s="2469"/>
      <c r="L158" s="2430"/>
      <c r="M158" s="2430"/>
      <c r="N158" s="2430"/>
      <c r="O158" s="2430"/>
      <c r="P158" s="2430"/>
      <c r="Q158" s="2430"/>
      <c r="R158" s="2431"/>
      <c r="S158" s="1503"/>
      <c r="T158" s="2282" t="s">
        <v>6617</v>
      </c>
      <c r="U158" s="1793"/>
    </row>
    <row r="159" spans="1:21" ht="12.75" x14ac:dyDescent="0.35">
      <c r="A159" s="3407">
        <v>11</v>
      </c>
      <c r="B159" s="3408"/>
      <c r="C159" s="3445" t="s">
        <v>3526</v>
      </c>
      <c r="D159" s="3410" t="s">
        <v>5683</v>
      </c>
      <c r="E159" s="3728"/>
      <c r="F159" s="3728"/>
      <c r="G159" s="3728"/>
      <c r="H159" s="3729"/>
      <c r="I159" s="3729"/>
      <c r="J159" s="3729"/>
      <c r="K159" s="3729"/>
      <c r="L159" s="3729"/>
      <c r="M159" s="3729"/>
      <c r="N159" s="3729"/>
      <c r="O159" s="3729"/>
      <c r="P159" s="3729"/>
      <c r="Q159" s="3729"/>
      <c r="R159" s="3730"/>
      <c r="S159" s="3335"/>
      <c r="T159" s="3411" t="s">
        <v>6654</v>
      </c>
      <c r="U159" s="3412"/>
    </row>
    <row r="160" spans="1:21" ht="12.75" x14ac:dyDescent="0.35">
      <c r="A160" s="1342">
        <v>12</v>
      </c>
      <c r="B160" s="1708" t="str">
        <f t="shared" si="44"/>
        <v/>
      </c>
      <c r="C160" s="1580" t="s">
        <v>3527</v>
      </c>
      <c r="D160" s="1712" t="s">
        <v>5684</v>
      </c>
      <c r="E160" s="2441"/>
      <c r="F160" s="3576">
        <f>F155+F157+F158</f>
        <v>2820</v>
      </c>
      <c r="G160" s="3576">
        <f t="shared" ref="G160:J160" si="46">G155+G157+G158</f>
        <v>3656</v>
      </c>
      <c r="H160" s="3576">
        <f t="shared" si="46"/>
        <v>678</v>
      </c>
      <c r="I160" s="3576">
        <f t="shared" si="46"/>
        <v>1264</v>
      </c>
      <c r="J160" s="3576">
        <f t="shared" si="46"/>
        <v>5635</v>
      </c>
      <c r="K160" s="2442">
        <f t="shared" ref="K160" si="47">K155+K156+K157+K158+K159</f>
        <v>0</v>
      </c>
      <c r="L160" s="2443"/>
      <c r="M160" s="2443"/>
      <c r="N160" s="2443"/>
      <c r="O160" s="2443"/>
      <c r="P160" s="2443"/>
      <c r="Q160" s="2443"/>
      <c r="R160" s="2444"/>
      <c r="S160" s="1503"/>
      <c r="T160" s="2282" t="s">
        <v>6654</v>
      </c>
      <c r="U160" s="3575" t="s">
        <v>8207</v>
      </c>
    </row>
    <row r="161" spans="1:21" ht="12.75" x14ac:dyDescent="0.35">
      <c r="A161" s="1342">
        <v>13</v>
      </c>
      <c r="B161" s="1708" t="str">
        <f t="shared" si="44"/>
        <v/>
      </c>
      <c r="C161" s="1580" t="s">
        <v>3528</v>
      </c>
      <c r="D161" s="1712" t="s">
        <v>5685</v>
      </c>
      <c r="E161" s="2438">
        <v>171</v>
      </c>
      <c r="F161" s="2438"/>
      <c r="G161" s="2438">
        <v>866</v>
      </c>
      <c r="H161" s="2468"/>
      <c r="I161" s="2468"/>
      <c r="J161" s="2468"/>
      <c r="K161" s="2468"/>
      <c r="L161" s="2428"/>
      <c r="M161" s="2428"/>
      <c r="N161" s="2428"/>
      <c r="O161" s="2428"/>
      <c r="P161" s="2428"/>
      <c r="Q161" s="2428"/>
      <c r="R161" s="2429"/>
      <c r="S161" s="1503"/>
      <c r="T161" s="2282" t="s">
        <v>6654</v>
      </c>
      <c r="U161" s="1793"/>
    </row>
    <row r="162" spans="1:21" ht="12.75" x14ac:dyDescent="0.35">
      <c r="A162" s="1342">
        <v>14</v>
      </c>
      <c r="B162" s="1708" t="str">
        <f t="shared" si="44"/>
        <v/>
      </c>
      <c r="C162" s="1580" t="s">
        <v>1528</v>
      </c>
      <c r="D162" s="1712" t="s">
        <v>5686</v>
      </c>
      <c r="E162" s="2438"/>
      <c r="F162" s="2438"/>
      <c r="G162" s="2438">
        <v>233</v>
      </c>
      <c r="H162" s="2468"/>
      <c r="I162" s="2468"/>
      <c r="J162" s="2468"/>
      <c r="K162" s="2468"/>
      <c r="L162" s="2428"/>
      <c r="M162" s="2428"/>
      <c r="N162" s="2428"/>
      <c r="O162" s="2428"/>
      <c r="P162" s="2428"/>
      <c r="Q162" s="2428"/>
      <c r="R162" s="2429"/>
      <c r="S162" s="1503"/>
      <c r="T162" s="2282" t="s">
        <v>6654</v>
      </c>
      <c r="U162" s="1793"/>
    </row>
    <row r="163" spans="1:21" ht="12.75" x14ac:dyDescent="0.35">
      <c r="A163" s="1342">
        <v>15</v>
      </c>
      <c r="B163" s="1708" t="str">
        <f t="shared" si="44"/>
        <v/>
      </c>
      <c r="C163" s="1991" t="s">
        <v>1529</v>
      </c>
      <c r="D163" s="1712" t="s">
        <v>5687</v>
      </c>
      <c r="E163" s="2445">
        <v>49</v>
      </c>
      <c r="F163" s="2445"/>
      <c r="G163" s="2445">
        <v>103</v>
      </c>
      <c r="H163" s="2469"/>
      <c r="I163" s="2469"/>
      <c r="J163" s="2469"/>
      <c r="K163" s="2469"/>
      <c r="L163" s="2430"/>
      <c r="M163" s="2430"/>
      <c r="N163" s="2430"/>
      <c r="O163" s="2430"/>
      <c r="P163" s="2430"/>
      <c r="Q163" s="2430"/>
      <c r="R163" s="2431"/>
      <c r="S163" s="1503"/>
      <c r="T163" s="2282" t="s">
        <v>6654</v>
      </c>
      <c r="U163" s="1793"/>
    </row>
    <row r="164" spans="1:21" ht="12.75" x14ac:dyDescent="0.35">
      <c r="A164" s="1342">
        <v>16</v>
      </c>
      <c r="B164" s="1708" t="str">
        <f t="shared" si="44"/>
        <v/>
      </c>
      <c r="C164" s="1991" t="s">
        <v>1530</v>
      </c>
      <c r="D164" s="1712" t="s">
        <v>5688</v>
      </c>
      <c r="E164" s="2445">
        <v>293</v>
      </c>
      <c r="F164" s="2445"/>
      <c r="G164" s="2445">
        <v>405</v>
      </c>
      <c r="H164" s="2469">
        <v>678</v>
      </c>
      <c r="I164" s="2469">
        <v>1264</v>
      </c>
      <c r="J164" s="2469">
        <v>5635</v>
      </c>
      <c r="K164" s="2469"/>
      <c r="L164" s="2430"/>
      <c r="M164" s="2430"/>
      <c r="N164" s="2430"/>
      <c r="O164" s="2430"/>
      <c r="P164" s="2430"/>
      <c r="Q164" s="2430"/>
      <c r="R164" s="2431"/>
      <c r="S164" s="1503"/>
      <c r="T164" s="2282" t="s">
        <v>6654</v>
      </c>
      <c r="U164" s="1793"/>
    </row>
    <row r="165" spans="1:21" ht="12.75" x14ac:dyDescent="0.35">
      <c r="A165" s="1342">
        <v>17</v>
      </c>
      <c r="B165" s="1708" t="str">
        <f t="shared" si="44"/>
        <v/>
      </c>
      <c r="C165" s="1991" t="s">
        <v>1531</v>
      </c>
      <c r="D165" s="1712" t="s">
        <v>5686</v>
      </c>
      <c r="E165" s="2445">
        <v>22</v>
      </c>
      <c r="F165" s="2445"/>
      <c r="G165" s="2445"/>
      <c r="H165" s="2469">
        <v>76</v>
      </c>
      <c r="I165" s="2469">
        <v>141</v>
      </c>
      <c r="J165" s="2469">
        <v>626</v>
      </c>
      <c r="K165" s="2469"/>
      <c r="L165" s="2430"/>
      <c r="M165" s="2430"/>
      <c r="N165" s="2430"/>
      <c r="O165" s="2430"/>
      <c r="P165" s="2430"/>
      <c r="Q165" s="2430"/>
      <c r="R165" s="2431"/>
      <c r="S165" s="1503"/>
      <c r="T165" s="2282" t="s">
        <v>6654</v>
      </c>
      <c r="U165" s="1793"/>
    </row>
    <row r="166" spans="1:21" ht="12.75" x14ac:dyDescent="0.35">
      <c r="A166" s="1342">
        <v>18</v>
      </c>
      <c r="B166" s="1708" t="str">
        <f t="shared" si="44"/>
        <v/>
      </c>
      <c r="C166" s="1991" t="s">
        <v>1532</v>
      </c>
      <c r="D166" s="1712" t="s">
        <v>5687</v>
      </c>
      <c r="E166" s="2445">
        <v>35</v>
      </c>
      <c r="F166" s="2445"/>
      <c r="G166" s="2445">
        <v>101</v>
      </c>
      <c r="H166" s="2445"/>
      <c r="I166" s="2445"/>
      <c r="J166" s="2445"/>
      <c r="K166" s="2445"/>
      <c r="L166" s="2447"/>
      <c r="M166" s="2447"/>
      <c r="N166" s="2447"/>
      <c r="O166" s="2447"/>
      <c r="P166" s="2447"/>
      <c r="Q166" s="2447"/>
      <c r="R166" s="2414"/>
      <c r="S166" s="1503"/>
      <c r="T166" s="2282" t="s">
        <v>6654</v>
      </c>
      <c r="U166" s="1793"/>
    </row>
    <row r="167" spans="1:21" ht="20.25" x14ac:dyDescent="0.35">
      <c r="A167" s="1342">
        <v>19</v>
      </c>
      <c r="B167" s="1708" t="str">
        <f t="shared" si="44"/>
        <v/>
      </c>
      <c r="C167" s="1580" t="s">
        <v>1533</v>
      </c>
      <c r="D167" s="1712" t="s">
        <v>5689</v>
      </c>
      <c r="E167" s="2442">
        <f t="shared" ref="E167:K167" si="48">E161+E162+E163+E164+E165+E166</f>
        <v>570</v>
      </c>
      <c r="F167" s="2442">
        <f t="shared" si="48"/>
        <v>0</v>
      </c>
      <c r="G167" s="2442">
        <f t="shared" si="48"/>
        <v>1708</v>
      </c>
      <c r="H167" s="2442">
        <f t="shared" si="48"/>
        <v>754</v>
      </c>
      <c r="I167" s="2442">
        <f t="shared" si="48"/>
        <v>1405</v>
      </c>
      <c r="J167" s="2442">
        <f t="shared" si="48"/>
        <v>6261</v>
      </c>
      <c r="K167" s="2442">
        <f t="shared" si="48"/>
        <v>0</v>
      </c>
      <c r="L167" s="2443"/>
      <c r="M167" s="2443"/>
      <c r="N167" s="2443"/>
      <c r="O167" s="2443"/>
      <c r="P167" s="2443"/>
      <c r="Q167" s="2443"/>
      <c r="R167" s="2444"/>
      <c r="S167" s="1503"/>
      <c r="T167" s="2282" t="s">
        <v>6654</v>
      </c>
      <c r="U167" s="1793" t="s">
        <v>6023</v>
      </c>
    </row>
    <row r="168" spans="1:21" ht="12.75" x14ac:dyDescent="0.35">
      <c r="A168" s="3407">
        <v>20</v>
      </c>
      <c r="B168" s="3408"/>
      <c r="C168" s="3445" t="s">
        <v>3431</v>
      </c>
      <c r="D168" s="3410" t="s">
        <v>5690</v>
      </c>
      <c r="E168" s="3728"/>
      <c r="F168" s="3728"/>
      <c r="G168" s="3728"/>
      <c r="H168" s="3729"/>
      <c r="I168" s="3729"/>
      <c r="J168" s="3729"/>
      <c r="K168" s="3729"/>
      <c r="L168" s="3729"/>
      <c r="M168" s="3729"/>
      <c r="N168" s="3729"/>
      <c r="O168" s="3729"/>
      <c r="P168" s="3729"/>
      <c r="Q168" s="3729"/>
      <c r="R168" s="3730"/>
      <c r="S168" s="3335"/>
      <c r="T168" s="3411" t="s">
        <v>6617</v>
      </c>
      <c r="U168" s="3412"/>
    </row>
    <row r="169" spans="1:21" ht="12.75" x14ac:dyDescent="0.35">
      <c r="A169" s="1342">
        <v>21</v>
      </c>
      <c r="B169" s="1708" t="str">
        <f t="shared" si="44"/>
        <v/>
      </c>
      <c r="C169" s="1580" t="s">
        <v>3432</v>
      </c>
      <c r="D169" s="1712" t="s">
        <v>5691</v>
      </c>
      <c r="E169" s="2438"/>
      <c r="F169" s="2438">
        <v>3203</v>
      </c>
      <c r="G169" s="2438"/>
      <c r="H169" s="2468">
        <v>19463</v>
      </c>
      <c r="I169" s="2468">
        <v>2860</v>
      </c>
      <c r="J169" s="2468">
        <v>79251</v>
      </c>
      <c r="K169" s="2468">
        <v>1288984</v>
      </c>
      <c r="L169" s="2428"/>
      <c r="M169" s="2428"/>
      <c r="N169" s="2428"/>
      <c r="O169" s="2428"/>
      <c r="P169" s="2428"/>
      <c r="Q169" s="2428"/>
      <c r="R169" s="2429"/>
      <c r="S169" s="1503"/>
      <c r="T169" s="2282" t="s">
        <v>6617</v>
      </c>
      <c r="U169" s="1793"/>
    </row>
    <row r="170" spans="1:21" ht="12.75" x14ac:dyDescent="0.35">
      <c r="A170" s="1342">
        <v>22</v>
      </c>
      <c r="B170" s="1708" t="str">
        <f t="shared" si="44"/>
        <v/>
      </c>
      <c r="C170" s="1580" t="s">
        <v>3433</v>
      </c>
      <c r="D170" s="1712" t="s">
        <v>5697</v>
      </c>
      <c r="E170" s="2438"/>
      <c r="F170" s="2438"/>
      <c r="G170" s="2438"/>
      <c r="H170" s="2468"/>
      <c r="I170" s="2468"/>
      <c r="J170" s="2468"/>
      <c r="K170" s="2468"/>
      <c r="L170" s="2428"/>
      <c r="M170" s="2428"/>
      <c r="N170" s="2428"/>
      <c r="O170" s="2428"/>
      <c r="P170" s="2428"/>
      <c r="Q170" s="2428"/>
      <c r="R170" s="2429"/>
      <c r="S170" s="1503"/>
      <c r="T170" s="2282" t="s">
        <v>6617</v>
      </c>
      <c r="U170" s="1793"/>
    </row>
    <row r="171" spans="1:21" ht="12.75" x14ac:dyDescent="0.35">
      <c r="A171" s="1342">
        <v>23</v>
      </c>
      <c r="B171" s="1708" t="str">
        <f t="shared" si="44"/>
        <v/>
      </c>
      <c r="C171" s="1580" t="s">
        <v>3434</v>
      </c>
      <c r="D171" s="1712" t="s">
        <v>5698</v>
      </c>
      <c r="E171" s="2438"/>
      <c r="F171" s="2438"/>
      <c r="G171" s="2438"/>
      <c r="H171" s="2468">
        <v>945</v>
      </c>
      <c r="I171" s="2468"/>
      <c r="J171" s="2468"/>
      <c r="K171" s="2468"/>
      <c r="L171" s="2428"/>
      <c r="M171" s="2428"/>
      <c r="N171" s="2428"/>
      <c r="O171" s="2428"/>
      <c r="P171" s="2428"/>
      <c r="Q171" s="2428"/>
      <c r="R171" s="2429"/>
      <c r="S171" s="1503"/>
      <c r="T171" s="2282" t="s">
        <v>6617</v>
      </c>
      <c r="U171" s="1793"/>
    </row>
    <row r="172" spans="1:21" ht="12.75" x14ac:dyDescent="0.35">
      <c r="A172" s="1342">
        <v>24</v>
      </c>
      <c r="B172" s="1708" t="str">
        <f t="shared" si="44"/>
        <v/>
      </c>
      <c r="C172" s="1580" t="s">
        <v>3435</v>
      </c>
      <c r="D172" s="1712" t="s">
        <v>5699</v>
      </c>
      <c r="E172" s="2438">
        <v>521</v>
      </c>
      <c r="F172" s="2438">
        <v>2691</v>
      </c>
      <c r="G172" s="2438"/>
      <c r="H172" s="2468"/>
      <c r="I172" s="2468"/>
      <c r="J172" s="2468"/>
      <c r="K172" s="2468"/>
      <c r="L172" s="2428"/>
      <c r="M172" s="2428"/>
      <c r="N172" s="2428"/>
      <c r="O172" s="2428"/>
      <c r="P172" s="2428"/>
      <c r="Q172" s="2428"/>
      <c r="R172" s="2429"/>
      <c r="S172" s="1503"/>
      <c r="T172" s="2282" t="s">
        <v>6617</v>
      </c>
      <c r="U172" s="1793"/>
    </row>
    <row r="173" spans="1:21" ht="12.75" x14ac:dyDescent="0.35">
      <c r="A173" s="1342">
        <v>25</v>
      </c>
      <c r="B173" s="1708" t="str">
        <f t="shared" si="44"/>
        <v/>
      </c>
      <c r="C173" s="1580" t="s">
        <v>3436</v>
      </c>
      <c r="D173" s="1712" t="s">
        <v>5700</v>
      </c>
      <c r="E173" s="2438"/>
      <c r="F173" s="2438"/>
      <c r="G173" s="2438"/>
      <c r="H173" s="2468"/>
      <c r="I173" s="2468"/>
      <c r="J173" s="2468"/>
      <c r="K173" s="2468"/>
      <c r="L173" s="2428"/>
      <c r="M173" s="2428"/>
      <c r="N173" s="2428"/>
      <c r="O173" s="2428"/>
      <c r="P173" s="2428"/>
      <c r="Q173" s="2428"/>
      <c r="R173" s="2429"/>
      <c r="S173" s="1503"/>
      <c r="T173" s="2282" t="s">
        <v>6617</v>
      </c>
      <c r="U173" s="1793"/>
    </row>
    <row r="174" spans="1:21" ht="12.75" x14ac:dyDescent="0.35">
      <c r="A174" s="1342">
        <v>26</v>
      </c>
      <c r="B174" s="1708" t="str">
        <f t="shared" si="44"/>
        <v/>
      </c>
      <c r="C174" s="1580" t="s">
        <v>3437</v>
      </c>
      <c r="D174" s="1712" t="s">
        <v>5701</v>
      </c>
      <c r="E174" s="2438"/>
      <c r="F174" s="2438"/>
      <c r="G174" s="2438"/>
      <c r="H174" s="2468"/>
      <c r="I174" s="2468"/>
      <c r="J174" s="2468"/>
      <c r="K174" s="2468"/>
      <c r="L174" s="2428"/>
      <c r="M174" s="2428"/>
      <c r="N174" s="2428"/>
      <c r="O174" s="2428"/>
      <c r="P174" s="2428"/>
      <c r="Q174" s="2428"/>
      <c r="R174" s="2429"/>
      <c r="S174" s="1503"/>
      <c r="T174" s="2282" t="s">
        <v>6617</v>
      </c>
      <c r="U174" s="1793"/>
    </row>
    <row r="175" spans="1:21" ht="20.25" x14ac:dyDescent="0.35">
      <c r="A175" s="1342">
        <v>27</v>
      </c>
      <c r="B175" s="1708" t="str">
        <f t="shared" si="44"/>
        <v/>
      </c>
      <c r="C175" s="1580" t="s">
        <v>3438</v>
      </c>
      <c r="D175" s="1712" t="s">
        <v>5702</v>
      </c>
      <c r="E175" s="2442">
        <f t="shared" ref="E175:K175" si="49">E169+E170+E171+E172+E173+E174</f>
        <v>521</v>
      </c>
      <c r="F175" s="2442">
        <f t="shared" si="49"/>
        <v>5894</v>
      </c>
      <c r="G175" s="2441"/>
      <c r="H175" s="2442">
        <f t="shared" si="49"/>
        <v>20408</v>
      </c>
      <c r="I175" s="2442">
        <f t="shared" si="49"/>
        <v>2860</v>
      </c>
      <c r="J175" s="2442">
        <f t="shared" si="49"/>
        <v>79251</v>
      </c>
      <c r="K175" s="2442">
        <f t="shared" si="49"/>
        <v>1288984</v>
      </c>
      <c r="L175" s="2443"/>
      <c r="M175" s="2443"/>
      <c r="N175" s="2443"/>
      <c r="O175" s="2443"/>
      <c r="P175" s="2443"/>
      <c r="Q175" s="2443"/>
      <c r="R175" s="2444"/>
      <c r="S175" s="1503"/>
      <c r="T175" s="2282" t="s">
        <v>6617</v>
      </c>
      <c r="U175" s="1793" t="s">
        <v>6024</v>
      </c>
    </row>
    <row r="176" spans="1:21" ht="12.75" x14ac:dyDescent="0.35">
      <c r="A176" s="1342">
        <v>28</v>
      </c>
      <c r="B176" s="1708" t="str">
        <f t="shared" si="44"/>
        <v/>
      </c>
      <c r="C176" s="1580" t="s">
        <v>3439</v>
      </c>
      <c r="D176" s="1712" t="s">
        <v>5703</v>
      </c>
      <c r="E176" s="2442">
        <f t="shared" ref="E176:K176" si="50">E154+E160+E167+E175</f>
        <v>1714</v>
      </c>
      <c r="F176" s="3576">
        <f t="shared" si="50"/>
        <v>9394</v>
      </c>
      <c r="G176" s="3576">
        <f t="shared" si="50"/>
        <v>6375</v>
      </c>
      <c r="H176" s="3576">
        <f t="shared" si="50"/>
        <v>22458</v>
      </c>
      <c r="I176" s="3576">
        <f t="shared" si="50"/>
        <v>7049</v>
      </c>
      <c r="J176" s="3576">
        <f t="shared" si="50"/>
        <v>91939</v>
      </c>
      <c r="K176" s="2442">
        <f t="shared" si="50"/>
        <v>1353687</v>
      </c>
      <c r="L176" s="2443"/>
      <c r="M176" s="2443"/>
      <c r="N176" s="2443"/>
      <c r="O176" s="2443"/>
      <c r="P176" s="2443"/>
      <c r="Q176" s="2443"/>
      <c r="R176" s="2444"/>
      <c r="S176" s="1503"/>
      <c r="T176" s="2282" t="s">
        <v>6617</v>
      </c>
      <c r="U176" s="1793" t="s">
        <v>6025</v>
      </c>
    </row>
    <row r="177" spans="1:21" ht="12.75" x14ac:dyDescent="0.35">
      <c r="A177" s="1342">
        <v>29</v>
      </c>
      <c r="B177" s="1708" t="str">
        <f t="shared" si="44"/>
        <v/>
      </c>
      <c r="C177" s="1580" t="s">
        <v>3440</v>
      </c>
      <c r="D177" s="1712" t="s">
        <v>5704</v>
      </c>
      <c r="E177" s="2438"/>
      <c r="F177" s="2438"/>
      <c r="G177" s="2438"/>
      <c r="H177" s="2468"/>
      <c r="I177" s="2468"/>
      <c r="J177" s="2468"/>
      <c r="K177" s="2468">
        <v>5820</v>
      </c>
      <c r="L177" s="2428"/>
      <c r="M177" s="2428"/>
      <c r="N177" s="2428"/>
      <c r="O177" s="2428"/>
      <c r="P177" s="2428"/>
      <c r="Q177" s="2428"/>
      <c r="R177" s="2429"/>
      <c r="S177" s="1503"/>
      <c r="T177" s="2282" t="s">
        <v>6617</v>
      </c>
      <c r="U177" s="1793"/>
    </row>
    <row r="178" spans="1:21" ht="20.25" x14ac:dyDescent="0.35">
      <c r="A178" s="1342">
        <v>30</v>
      </c>
      <c r="B178" s="1708" t="str">
        <f t="shared" si="44"/>
        <v/>
      </c>
      <c r="C178" s="1580" t="s">
        <v>3441</v>
      </c>
      <c r="D178" s="1712" t="s">
        <v>5705</v>
      </c>
      <c r="E178" s="2438">
        <v>13816</v>
      </c>
      <c r="F178" s="2438"/>
      <c r="G178" s="2438"/>
      <c r="H178" s="2468"/>
      <c r="I178" s="2468"/>
      <c r="J178" s="2468"/>
      <c r="K178" s="2468"/>
      <c r="L178" s="2428"/>
      <c r="M178" s="2428"/>
      <c r="N178" s="2428"/>
      <c r="O178" s="2428"/>
      <c r="P178" s="2428"/>
      <c r="Q178" s="2428"/>
      <c r="R178" s="2429"/>
      <c r="S178" s="1503"/>
      <c r="T178" s="2282" t="s">
        <v>6617</v>
      </c>
      <c r="U178" s="1793" t="s">
        <v>6026</v>
      </c>
    </row>
    <row r="179" spans="1:21" ht="12.75" x14ac:dyDescent="0.35">
      <c r="A179" s="1342">
        <v>31</v>
      </c>
      <c r="B179" s="1708" t="str">
        <f t="shared" si="44"/>
        <v/>
      </c>
      <c r="C179" s="1580" t="s">
        <v>3442</v>
      </c>
      <c r="D179" s="1712" t="s">
        <v>5706</v>
      </c>
      <c r="E179" s="2438"/>
      <c r="F179" s="2438"/>
      <c r="G179" s="2438"/>
      <c r="H179" s="2468"/>
      <c r="I179" s="2468"/>
      <c r="J179" s="2468">
        <v>35452</v>
      </c>
      <c r="K179" s="2468"/>
      <c r="L179" s="2428"/>
      <c r="M179" s="2428"/>
      <c r="N179" s="2428"/>
      <c r="O179" s="2428"/>
      <c r="P179" s="2428"/>
      <c r="Q179" s="2428"/>
      <c r="R179" s="2429"/>
      <c r="S179" s="1503"/>
      <c r="T179" s="2282" t="s">
        <v>6617</v>
      </c>
      <c r="U179" s="1793"/>
    </row>
    <row r="180" spans="1:21" ht="12.75" x14ac:dyDescent="0.35">
      <c r="A180" s="1342">
        <v>32</v>
      </c>
      <c r="B180" s="1708" t="str">
        <f t="shared" si="44"/>
        <v/>
      </c>
      <c r="C180" s="1580" t="s">
        <v>3443</v>
      </c>
      <c r="D180" s="1712" t="s">
        <v>5707</v>
      </c>
      <c r="E180" s="2438"/>
      <c r="F180" s="2438"/>
      <c r="G180" s="2438"/>
      <c r="H180" s="2468">
        <v>7580</v>
      </c>
      <c r="I180" s="2468"/>
      <c r="J180" s="2468"/>
      <c r="K180" s="2468"/>
      <c r="L180" s="2428"/>
      <c r="M180" s="2428"/>
      <c r="N180" s="2428"/>
      <c r="O180" s="2428"/>
      <c r="P180" s="2428"/>
      <c r="Q180" s="2428"/>
      <c r="R180" s="2429"/>
      <c r="S180" s="1503"/>
      <c r="T180" s="2282" t="s">
        <v>6617</v>
      </c>
      <c r="U180" s="1793"/>
    </row>
    <row r="181" spans="1:21" ht="12.75" x14ac:dyDescent="0.35">
      <c r="A181" s="1342">
        <v>33</v>
      </c>
      <c r="B181" s="1708" t="str">
        <f t="shared" si="44"/>
        <v/>
      </c>
      <c r="C181" s="1580" t="s">
        <v>3444</v>
      </c>
      <c r="D181" s="1712" t="s">
        <v>5708</v>
      </c>
      <c r="E181" s="2438"/>
      <c r="F181" s="2438"/>
      <c r="G181" s="2438"/>
      <c r="H181" s="2468"/>
      <c r="I181" s="2468"/>
      <c r="J181" s="2468"/>
      <c r="K181" s="2468"/>
      <c r="L181" s="2428"/>
      <c r="M181" s="2428"/>
      <c r="N181" s="2428"/>
      <c r="O181" s="2428"/>
      <c r="P181" s="2428"/>
      <c r="Q181" s="2428"/>
      <c r="R181" s="2429"/>
      <c r="S181" s="1503"/>
      <c r="T181" s="2282" t="s">
        <v>6617</v>
      </c>
      <c r="U181" s="1793"/>
    </row>
    <row r="182" spans="1:21" ht="12.75" x14ac:dyDescent="0.35">
      <c r="A182" s="1342">
        <v>34</v>
      </c>
      <c r="B182" s="1708" t="str">
        <f t="shared" ref="B182:B212" si="51">IF(LUN_IND&gt;1,IF(HLOOKUP(LUN_IND-1,LUN_RANGE,A182)="","",HLOOKUP(LUN_IND-1,LUN_RANGE,A182)),"")</f>
        <v/>
      </c>
      <c r="C182" s="1580" t="s">
        <v>3445</v>
      </c>
      <c r="D182" s="1712" t="s">
        <v>5709</v>
      </c>
      <c r="E182" s="2438"/>
      <c r="F182" s="2438"/>
      <c r="G182" s="2438"/>
      <c r="H182" s="2468"/>
      <c r="I182" s="2468">
        <v>600</v>
      </c>
      <c r="J182" s="2468"/>
      <c r="K182" s="2468"/>
      <c r="L182" s="2428"/>
      <c r="M182" s="2428"/>
      <c r="N182" s="2428"/>
      <c r="O182" s="2428"/>
      <c r="P182" s="2428"/>
      <c r="Q182" s="2428"/>
      <c r="R182" s="2429"/>
      <c r="S182" s="1503"/>
      <c r="T182" s="2282" t="s">
        <v>6617</v>
      </c>
      <c r="U182" s="1793"/>
    </row>
    <row r="183" spans="1:21" ht="12.75" x14ac:dyDescent="0.35">
      <c r="A183" s="1342">
        <v>35</v>
      </c>
      <c r="B183" s="1708" t="str">
        <f t="shared" si="51"/>
        <v/>
      </c>
      <c r="C183" s="1580" t="s">
        <v>2145</v>
      </c>
      <c r="D183" s="1712" t="s">
        <v>5710</v>
      </c>
      <c r="E183" s="2438"/>
      <c r="F183" s="2438"/>
      <c r="G183" s="2438"/>
      <c r="H183" s="2468"/>
      <c r="I183" s="2468">
        <v>805</v>
      </c>
      <c r="J183" s="2468"/>
      <c r="K183" s="2468">
        <v>106686</v>
      </c>
      <c r="L183" s="2428"/>
      <c r="M183" s="2428"/>
      <c r="N183" s="2428"/>
      <c r="O183" s="2428"/>
      <c r="P183" s="2428"/>
      <c r="Q183" s="2428"/>
      <c r="R183" s="2429"/>
      <c r="S183" s="1503"/>
      <c r="T183" s="2282" t="s">
        <v>6617</v>
      </c>
      <c r="U183" s="1793"/>
    </row>
    <row r="184" spans="1:21" ht="12.75" x14ac:dyDescent="0.35">
      <c r="A184" s="1342">
        <v>36</v>
      </c>
      <c r="B184" s="1708" t="str">
        <f t="shared" si="51"/>
        <v/>
      </c>
      <c r="C184" s="1580" t="s">
        <v>2146</v>
      </c>
      <c r="D184" s="1712" t="s">
        <v>5711</v>
      </c>
      <c r="E184" s="2438"/>
      <c r="F184" s="2438"/>
      <c r="G184" s="2438"/>
      <c r="H184" s="2468"/>
      <c r="I184" s="2468"/>
      <c r="J184" s="2468">
        <v>2718</v>
      </c>
      <c r="K184" s="2468"/>
      <c r="L184" s="2428"/>
      <c r="M184" s="2428"/>
      <c r="N184" s="2428"/>
      <c r="O184" s="2428"/>
      <c r="P184" s="2428"/>
      <c r="Q184" s="2428"/>
      <c r="R184" s="2429"/>
      <c r="S184" s="1503"/>
      <c r="T184" s="2282" t="s">
        <v>6617</v>
      </c>
      <c r="U184" s="1793"/>
    </row>
    <row r="185" spans="1:21" ht="12.75" x14ac:dyDescent="0.35">
      <c r="A185" s="1342">
        <v>37</v>
      </c>
      <c r="B185" s="1708" t="str">
        <f t="shared" si="51"/>
        <v/>
      </c>
      <c r="C185" s="1580" t="s">
        <v>662</v>
      </c>
      <c r="D185" s="1712" t="s">
        <v>5712</v>
      </c>
      <c r="E185" s="2438"/>
      <c r="F185" s="2438"/>
      <c r="G185" s="2438"/>
      <c r="H185" s="2468">
        <v>4912</v>
      </c>
      <c r="I185" s="2468"/>
      <c r="J185" s="2468">
        <v>9064</v>
      </c>
      <c r="K185" s="2468"/>
      <c r="L185" s="2428"/>
      <c r="M185" s="2428"/>
      <c r="N185" s="2428"/>
      <c r="O185" s="2428"/>
      <c r="P185" s="2428"/>
      <c r="Q185" s="2428"/>
      <c r="R185" s="2429"/>
      <c r="S185" s="1503"/>
      <c r="T185" s="2282" t="s">
        <v>6617</v>
      </c>
      <c r="U185" s="1793"/>
    </row>
    <row r="186" spans="1:21" ht="12.75" x14ac:dyDescent="0.35">
      <c r="A186" s="1342">
        <v>38</v>
      </c>
      <c r="B186" s="1708" t="str">
        <f t="shared" si="51"/>
        <v/>
      </c>
      <c r="C186" s="1580" t="s">
        <v>663</v>
      </c>
      <c r="D186" s="1712" t="s">
        <v>5713</v>
      </c>
      <c r="E186" s="2438"/>
      <c r="F186" s="2438">
        <v>268</v>
      </c>
      <c r="G186" s="2438"/>
      <c r="H186" s="2468"/>
      <c r="I186" s="2468"/>
      <c r="J186" s="2468">
        <v>3750</v>
      </c>
      <c r="K186" s="2468"/>
      <c r="L186" s="2428"/>
      <c r="M186" s="2428"/>
      <c r="N186" s="2428"/>
      <c r="O186" s="2428"/>
      <c r="P186" s="2428"/>
      <c r="Q186" s="2428"/>
      <c r="R186" s="2429"/>
      <c r="S186" s="1503"/>
      <c r="T186" s="2282" t="s">
        <v>6617</v>
      </c>
      <c r="U186" s="1793"/>
    </row>
    <row r="187" spans="1:21" ht="12.75" x14ac:dyDescent="0.35">
      <c r="A187" s="1342">
        <v>39</v>
      </c>
      <c r="B187" s="1708" t="str">
        <f t="shared" si="51"/>
        <v/>
      </c>
      <c r="C187" s="1580" t="s">
        <v>664</v>
      </c>
      <c r="D187" s="1712" t="s">
        <v>5714</v>
      </c>
      <c r="E187" s="2438">
        <v>235</v>
      </c>
      <c r="F187" s="2438">
        <v>321</v>
      </c>
      <c r="G187" s="2438"/>
      <c r="H187" s="2468">
        <v>613</v>
      </c>
      <c r="I187" s="2468"/>
      <c r="J187" s="2468"/>
      <c r="K187" s="2468">
        <v>1175</v>
      </c>
      <c r="L187" s="2428"/>
      <c r="M187" s="2428"/>
      <c r="N187" s="2428"/>
      <c r="O187" s="2428"/>
      <c r="P187" s="2428"/>
      <c r="Q187" s="2428"/>
      <c r="R187" s="2429"/>
      <c r="S187" s="1503"/>
      <c r="T187" s="2282" t="s">
        <v>6617</v>
      </c>
      <c r="U187" s="1793"/>
    </row>
    <row r="188" spans="1:21" ht="12.75" x14ac:dyDescent="0.35">
      <c r="A188" s="1342">
        <v>40</v>
      </c>
      <c r="B188" s="1708" t="str">
        <f t="shared" si="51"/>
        <v/>
      </c>
      <c r="C188" s="1580" t="s">
        <v>4196</v>
      </c>
      <c r="D188" s="1712" t="s">
        <v>5715</v>
      </c>
      <c r="E188" s="2438">
        <v>128</v>
      </c>
      <c r="F188" s="2438">
        <v>402</v>
      </c>
      <c r="G188" s="2438"/>
      <c r="H188" s="2468"/>
      <c r="I188" s="2468">
        <v>657</v>
      </c>
      <c r="J188" s="2468">
        <v>1179</v>
      </c>
      <c r="K188" s="2468">
        <v>1330</v>
      </c>
      <c r="L188" s="2428"/>
      <c r="M188" s="2428"/>
      <c r="N188" s="2428"/>
      <c r="O188" s="2428"/>
      <c r="P188" s="2428"/>
      <c r="Q188" s="2428"/>
      <c r="R188" s="2429"/>
      <c r="S188" s="1503"/>
      <c r="T188" s="2282" t="s">
        <v>6617</v>
      </c>
      <c r="U188" s="1793"/>
    </row>
    <row r="189" spans="1:21" ht="30.4" x14ac:dyDescent="0.35">
      <c r="A189" s="1342">
        <v>41</v>
      </c>
      <c r="B189" s="1708" t="str">
        <f t="shared" si="51"/>
        <v/>
      </c>
      <c r="C189" s="1580" t="s">
        <v>4197</v>
      </c>
      <c r="D189" s="1712" t="s">
        <v>5716</v>
      </c>
      <c r="E189" s="2442">
        <f t="shared" ref="E189:K189" si="52">E178+E179+E180+E181+E182+E183+E184+E185+E186+E187+E188</f>
        <v>14179</v>
      </c>
      <c r="F189" s="2442">
        <f t="shared" si="52"/>
        <v>991</v>
      </c>
      <c r="G189" s="2441"/>
      <c r="H189" s="2442">
        <f t="shared" si="52"/>
        <v>13105</v>
      </c>
      <c r="I189" s="2442">
        <f t="shared" si="52"/>
        <v>2062</v>
      </c>
      <c r="J189" s="2442">
        <f t="shared" si="52"/>
        <v>52163</v>
      </c>
      <c r="K189" s="2442">
        <f t="shared" si="52"/>
        <v>109191</v>
      </c>
      <c r="L189" s="2443"/>
      <c r="M189" s="2443"/>
      <c r="N189" s="2443"/>
      <c r="O189" s="2443"/>
      <c r="P189" s="2443"/>
      <c r="Q189" s="2443"/>
      <c r="R189" s="2444"/>
      <c r="S189" s="1503"/>
      <c r="T189" s="2282" t="s">
        <v>6617</v>
      </c>
      <c r="U189" s="1793" t="s">
        <v>6027</v>
      </c>
    </row>
    <row r="190" spans="1:21" ht="30.4" x14ac:dyDescent="0.35">
      <c r="A190" s="1342">
        <v>42</v>
      </c>
      <c r="B190" s="1708" t="str">
        <f t="shared" si="51"/>
        <v/>
      </c>
      <c r="C190" s="1580" t="s">
        <v>4198</v>
      </c>
      <c r="D190" s="1712" t="s">
        <v>5717</v>
      </c>
      <c r="E190" s="2470">
        <f t="shared" ref="E190:K190" si="53">MAX(0,E176-E189)</f>
        <v>0</v>
      </c>
      <c r="F190" s="3577">
        <f t="shared" si="53"/>
        <v>8403</v>
      </c>
      <c r="G190" s="3577">
        <f t="shared" si="53"/>
        <v>6375</v>
      </c>
      <c r="H190" s="3577">
        <f t="shared" si="53"/>
        <v>9353</v>
      </c>
      <c r="I190" s="3577">
        <f t="shared" si="53"/>
        <v>4987</v>
      </c>
      <c r="J190" s="3577">
        <f t="shared" si="53"/>
        <v>39776</v>
      </c>
      <c r="K190" s="2470">
        <f t="shared" si="53"/>
        <v>1244496</v>
      </c>
      <c r="L190" s="2439"/>
      <c r="M190" s="2439"/>
      <c r="N190" s="2439"/>
      <c r="O190" s="2439"/>
      <c r="P190" s="2439"/>
      <c r="Q190" s="2439"/>
      <c r="R190" s="2440"/>
      <c r="S190" s="1503"/>
      <c r="T190" s="2282" t="s">
        <v>6654</v>
      </c>
      <c r="U190" s="1793" t="s">
        <v>6028</v>
      </c>
    </row>
    <row r="191" spans="1:21" ht="30.4" x14ac:dyDescent="0.35">
      <c r="A191" s="1342">
        <v>43</v>
      </c>
      <c r="B191" s="1708" t="str">
        <f t="shared" si="51"/>
        <v/>
      </c>
      <c r="C191" s="1580" t="s">
        <v>4199</v>
      </c>
      <c r="D191" s="1712" t="s">
        <v>5718</v>
      </c>
      <c r="E191" s="2442">
        <f>MAX(0,E189-E176)</f>
        <v>12465</v>
      </c>
      <c r="F191" s="2441"/>
      <c r="G191" s="2441"/>
      <c r="H191" s="2441"/>
      <c r="I191" s="2441"/>
      <c r="J191" s="2441"/>
      <c r="K191" s="2441"/>
      <c r="L191" s="2443"/>
      <c r="M191" s="2443"/>
      <c r="N191" s="2443"/>
      <c r="O191" s="2443"/>
      <c r="P191" s="2443"/>
      <c r="Q191" s="2443"/>
      <c r="R191" s="2444"/>
      <c r="S191" s="1503"/>
      <c r="T191" s="2282" t="s">
        <v>6654</v>
      </c>
      <c r="U191" s="1793" t="s">
        <v>6029</v>
      </c>
    </row>
    <row r="192" spans="1:21" ht="12.75" x14ac:dyDescent="0.35">
      <c r="A192" s="1342">
        <v>44</v>
      </c>
      <c r="B192" s="1708" t="str">
        <f t="shared" si="51"/>
        <v/>
      </c>
      <c r="C192" s="1580" t="s">
        <v>4200</v>
      </c>
      <c r="D192" s="1712" t="s">
        <v>5719</v>
      </c>
      <c r="E192" s="2442">
        <f t="shared" ref="E192:J192" si="54">E162+E165</f>
        <v>22</v>
      </c>
      <c r="F192" s="2441"/>
      <c r="G192" s="2442">
        <f t="shared" si="54"/>
        <v>233</v>
      </c>
      <c r="H192" s="2442">
        <f t="shared" si="54"/>
        <v>76</v>
      </c>
      <c r="I192" s="2442">
        <f t="shared" si="54"/>
        <v>141</v>
      </c>
      <c r="J192" s="2442">
        <f t="shared" si="54"/>
        <v>626</v>
      </c>
      <c r="K192" s="2441"/>
      <c r="L192" s="2443"/>
      <c r="M192" s="2443"/>
      <c r="N192" s="2443"/>
      <c r="O192" s="2443"/>
      <c r="P192" s="2443"/>
      <c r="Q192" s="2443"/>
      <c r="R192" s="2444"/>
      <c r="S192" s="1503"/>
      <c r="T192" s="2282" t="s">
        <v>6617</v>
      </c>
      <c r="U192" s="1793" t="s">
        <v>6030</v>
      </c>
    </row>
    <row r="193" spans="1:21" ht="12.75" x14ac:dyDescent="0.35">
      <c r="A193" s="1342">
        <v>45</v>
      </c>
      <c r="B193" s="1708" t="str">
        <f t="shared" si="51"/>
        <v/>
      </c>
      <c r="C193" s="1580" t="s">
        <v>3457</v>
      </c>
      <c r="D193" s="1712" t="s">
        <v>5720</v>
      </c>
      <c r="E193" s="2438"/>
      <c r="F193" s="2438"/>
      <c r="G193" s="2438"/>
      <c r="H193" s="2468">
        <v>17</v>
      </c>
      <c r="I193" s="2468">
        <v>33</v>
      </c>
      <c r="J193" s="2468">
        <v>51</v>
      </c>
      <c r="K193" s="2468"/>
      <c r="L193" s="2428"/>
      <c r="M193" s="2428"/>
      <c r="N193" s="2428"/>
      <c r="O193" s="2428"/>
      <c r="P193" s="2428"/>
      <c r="Q193" s="2428"/>
      <c r="R193" s="2429"/>
      <c r="S193" s="1503"/>
      <c r="T193" s="2282" t="s">
        <v>6617</v>
      </c>
      <c r="U193" s="1793"/>
    </row>
    <row r="194" spans="1:21" ht="12.75" x14ac:dyDescent="0.35">
      <c r="A194" s="1342">
        <v>46</v>
      </c>
      <c r="B194" s="1708" t="str">
        <f t="shared" si="51"/>
        <v/>
      </c>
      <c r="C194" s="1580" t="s">
        <v>3458</v>
      </c>
      <c r="D194" s="1712" t="s">
        <v>5721</v>
      </c>
      <c r="E194" s="2438"/>
      <c r="F194" s="2438"/>
      <c r="G194" s="2438"/>
      <c r="H194" s="2468"/>
      <c r="I194" s="2468"/>
      <c r="J194" s="2468"/>
      <c r="K194" s="2468"/>
      <c r="L194" s="2428"/>
      <c r="M194" s="2428"/>
      <c r="N194" s="2428"/>
      <c r="O194" s="2428"/>
      <c r="P194" s="2428"/>
      <c r="Q194" s="2428"/>
      <c r="R194" s="2429"/>
      <c r="S194" s="1503"/>
      <c r="T194" s="2282" t="s">
        <v>6617</v>
      </c>
      <c r="U194" s="1793"/>
    </row>
    <row r="195" spans="1:21" ht="12.75" x14ac:dyDescent="0.35">
      <c r="A195" s="1342">
        <v>47</v>
      </c>
      <c r="B195" s="1708" t="str">
        <f t="shared" si="51"/>
        <v/>
      </c>
      <c r="C195" s="1580" t="s">
        <v>3459</v>
      </c>
      <c r="D195" s="1712" t="s">
        <v>5722</v>
      </c>
      <c r="E195" s="2438"/>
      <c r="F195" s="2438"/>
      <c r="G195" s="2438"/>
      <c r="H195" s="2468">
        <v>294</v>
      </c>
      <c r="I195" s="2468">
        <v>309</v>
      </c>
      <c r="J195" s="2468">
        <v>1023</v>
      </c>
      <c r="K195" s="2468"/>
      <c r="L195" s="2428"/>
      <c r="M195" s="2428"/>
      <c r="N195" s="2428"/>
      <c r="O195" s="2428"/>
      <c r="P195" s="2428"/>
      <c r="Q195" s="2428"/>
      <c r="R195" s="2429"/>
      <c r="S195" s="1503"/>
      <c r="T195" s="2282" t="s">
        <v>6617</v>
      </c>
      <c r="U195" s="1793"/>
    </row>
    <row r="196" spans="1:21" ht="12.75" x14ac:dyDescent="0.35">
      <c r="A196" s="1342">
        <v>48</v>
      </c>
      <c r="B196" s="1708" t="str">
        <f t="shared" si="51"/>
        <v/>
      </c>
      <c r="C196" s="1580" t="s">
        <v>3460</v>
      </c>
      <c r="D196" s="1712" t="s">
        <v>5723</v>
      </c>
      <c r="E196" s="2438"/>
      <c r="F196" s="2438"/>
      <c r="G196" s="2438"/>
      <c r="H196" s="2468"/>
      <c r="I196" s="2468"/>
      <c r="J196" s="2468"/>
      <c r="K196" s="2468"/>
      <c r="L196" s="2428"/>
      <c r="M196" s="2428"/>
      <c r="N196" s="2428"/>
      <c r="O196" s="2428"/>
      <c r="P196" s="2428"/>
      <c r="Q196" s="2428"/>
      <c r="R196" s="2429"/>
      <c r="S196" s="1503"/>
      <c r="T196" s="2282" t="s">
        <v>6617</v>
      </c>
      <c r="U196" s="1793"/>
    </row>
    <row r="197" spans="1:21" ht="12.75" x14ac:dyDescent="0.35">
      <c r="A197" s="1342">
        <v>49</v>
      </c>
      <c r="B197" s="1708" t="str">
        <f t="shared" si="51"/>
        <v/>
      </c>
      <c r="C197" s="1580" t="s">
        <v>3461</v>
      </c>
      <c r="D197" s="1712" t="s">
        <v>5724</v>
      </c>
      <c r="E197" s="2442">
        <f t="shared" ref="E197:J197" si="55">E192+E193+E194+E195+E196</f>
        <v>22</v>
      </c>
      <c r="F197" s="2441"/>
      <c r="G197" s="2442">
        <f t="shared" si="55"/>
        <v>233</v>
      </c>
      <c r="H197" s="2442">
        <f t="shared" si="55"/>
        <v>387</v>
      </c>
      <c r="I197" s="2442">
        <f t="shared" si="55"/>
        <v>483</v>
      </c>
      <c r="J197" s="2442">
        <f t="shared" si="55"/>
        <v>1700</v>
      </c>
      <c r="K197" s="2441"/>
      <c r="L197" s="2443"/>
      <c r="M197" s="2443"/>
      <c r="N197" s="2443"/>
      <c r="O197" s="2443"/>
      <c r="P197" s="2443"/>
      <c r="Q197" s="2443"/>
      <c r="R197" s="2444"/>
      <c r="S197" s="1503"/>
      <c r="T197" s="2282" t="s">
        <v>6617</v>
      </c>
      <c r="U197" s="1793" t="s">
        <v>6031</v>
      </c>
    </row>
    <row r="198" spans="1:21" ht="20.25" x14ac:dyDescent="0.35">
      <c r="A198" s="1342">
        <v>50</v>
      </c>
      <c r="B198" s="1708" t="str">
        <f t="shared" si="51"/>
        <v/>
      </c>
      <c r="C198" s="1580" t="s">
        <v>3462</v>
      </c>
      <c r="D198" s="1712" t="s">
        <v>5725</v>
      </c>
      <c r="E198" s="2459"/>
      <c r="F198" s="3577">
        <f t="shared" ref="F198:K198" si="56">F190</f>
        <v>8403</v>
      </c>
      <c r="G198" s="3577">
        <f t="shared" si="56"/>
        <v>6375</v>
      </c>
      <c r="H198" s="3577">
        <f t="shared" si="56"/>
        <v>9353</v>
      </c>
      <c r="I198" s="3577">
        <f t="shared" si="56"/>
        <v>4987</v>
      </c>
      <c r="J198" s="3577">
        <f t="shared" si="56"/>
        <v>39776</v>
      </c>
      <c r="K198" s="2470">
        <f t="shared" si="56"/>
        <v>1244496</v>
      </c>
      <c r="L198" s="2439"/>
      <c r="M198" s="2439"/>
      <c r="N198" s="2439"/>
      <c r="O198" s="2439"/>
      <c r="P198" s="2439"/>
      <c r="Q198" s="2439"/>
      <c r="R198" s="2440"/>
      <c r="S198" s="1503"/>
      <c r="T198" s="2282" t="s">
        <v>6654</v>
      </c>
      <c r="U198" s="1793" t="s">
        <v>6032</v>
      </c>
    </row>
    <row r="199" spans="1:21" ht="20.25" x14ac:dyDescent="0.35">
      <c r="A199" s="1342">
        <v>51</v>
      </c>
      <c r="B199" s="1708" t="str">
        <f t="shared" si="51"/>
        <v/>
      </c>
      <c r="C199" s="1580" t="s">
        <v>3463</v>
      </c>
      <c r="D199" s="1712" t="s">
        <v>5726</v>
      </c>
      <c r="E199" s="2459"/>
      <c r="F199" s="2459"/>
      <c r="G199" s="2459">
        <v>233</v>
      </c>
      <c r="H199" s="2459">
        <f>H197</f>
        <v>387</v>
      </c>
      <c r="I199" s="2459">
        <v>483</v>
      </c>
      <c r="J199" s="2459">
        <v>1700</v>
      </c>
      <c r="K199" s="2459"/>
      <c r="L199" s="2439"/>
      <c r="M199" s="2439"/>
      <c r="N199" s="2439"/>
      <c r="O199" s="2439"/>
      <c r="P199" s="2439"/>
      <c r="Q199" s="2439"/>
      <c r="R199" s="2440"/>
      <c r="S199" s="1503"/>
      <c r="T199" s="2282" t="s">
        <v>6617</v>
      </c>
      <c r="U199" s="1793" t="s">
        <v>6033</v>
      </c>
    </row>
    <row r="200" spans="1:21" ht="20.25" x14ac:dyDescent="0.35">
      <c r="A200" s="1342">
        <v>52</v>
      </c>
      <c r="B200" s="1708" t="str">
        <f t="shared" si="51"/>
        <v/>
      </c>
      <c r="C200" s="1991" t="s">
        <v>3464</v>
      </c>
      <c r="D200" s="1712" t="s">
        <v>5727</v>
      </c>
      <c r="E200" s="2445"/>
      <c r="F200" s="2445">
        <v>2700</v>
      </c>
      <c r="G200" s="2445"/>
      <c r="H200" s="2469">
        <v>2000</v>
      </c>
      <c r="I200" s="2469">
        <v>4645</v>
      </c>
      <c r="J200" s="2469">
        <v>7374</v>
      </c>
      <c r="K200" s="2469">
        <v>1244496</v>
      </c>
      <c r="L200" s="2430"/>
      <c r="M200" s="2430"/>
      <c r="N200" s="2430"/>
      <c r="O200" s="2430"/>
      <c r="P200" s="2430"/>
      <c r="Q200" s="2430"/>
      <c r="R200" s="2431"/>
      <c r="S200" s="1503"/>
      <c r="T200" s="2282" t="s">
        <v>6617</v>
      </c>
      <c r="U200" s="1793" t="s">
        <v>6034</v>
      </c>
    </row>
    <row r="201" spans="1:21" ht="30.4" x14ac:dyDescent="0.35">
      <c r="A201" s="1342">
        <v>53</v>
      </c>
      <c r="B201" s="1708" t="str">
        <f t="shared" si="51"/>
        <v/>
      </c>
      <c r="C201" s="1991" t="s">
        <v>3465</v>
      </c>
      <c r="D201" s="1712" t="s">
        <v>5728</v>
      </c>
      <c r="E201" s="2448">
        <f t="shared" ref="E201:K201" si="57">MAX(0,E190-(E199+E200))</f>
        <v>0</v>
      </c>
      <c r="F201" s="3578">
        <f t="shared" si="57"/>
        <v>5703</v>
      </c>
      <c r="G201" s="3578">
        <f t="shared" si="57"/>
        <v>6142</v>
      </c>
      <c r="H201" s="3578">
        <f t="shared" si="57"/>
        <v>6966</v>
      </c>
      <c r="I201" s="3578">
        <f t="shared" si="57"/>
        <v>0</v>
      </c>
      <c r="J201" s="3578">
        <f t="shared" si="57"/>
        <v>30702</v>
      </c>
      <c r="K201" s="2448">
        <f t="shared" si="57"/>
        <v>0</v>
      </c>
      <c r="L201" s="2450"/>
      <c r="M201" s="2450"/>
      <c r="N201" s="2450"/>
      <c r="O201" s="2450"/>
      <c r="P201" s="2450"/>
      <c r="Q201" s="2450"/>
      <c r="R201" s="2451"/>
      <c r="S201" s="1503"/>
      <c r="T201" s="2282" t="s">
        <v>6654</v>
      </c>
      <c r="U201" s="1793" t="s">
        <v>6035</v>
      </c>
    </row>
    <row r="202" spans="1:21" ht="12.75" x14ac:dyDescent="0.35">
      <c r="A202" s="1342">
        <v>54</v>
      </c>
      <c r="B202" s="1708" t="str">
        <f t="shared" si="51"/>
        <v/>
      </c>
      <c r="C202" s="1580" t="s">
        <v>3466</v>
      </c>
      <c r="D202" s="1712" t="s">
        <v>5729</v>
      </c>
      <c r="E202" s="2442">
        <f>E191</f>
        <v>12465</v>
      </c>
      <c r="F202" s="2441"/>
      <c r="G202" s="2441"/>
      <c r="H202" s="2441"/>
      <c r="I202" s="2441"/>
      <c r="J202" s="2441"/>
      <c r="K202" s="2441"/>
      <c r="L202" s="2443"/>
      <c r="M202" s="2443"/>
      <c r="N202" s="2443"/>
      <c r="O202" s="2443"/>
      <c r="P202" s="2443"/>
      <c r="Q202" s="2443"/>
      <c r="R202" s="2444"/>
      <c r="S202" s="1503"/>
      <c r="T202" s="2282" t="s">
        <v>6654</v>
      </c>
      <c r="U202" s="1793" t="s">
        <v>6036</v>
      </c>
    </row>
    <row r="203" spans="1:21" ht="40.5" x14ac:dyDescent="0.35">
      <c r="A203" s="1342">
        <v>55</v>
      </c>
      <c r="B203" s="1708" t="str">
        <f t="shared" si="51"/>
        <v/>
      </c>
      <c r="C203" s="1580" t="s">
        <v>3467</v>
      </c>
      <c r="D203" s="1712" t="s">
        <v>5730</v>
      </c>
      <c r="E203" s="2442">
        <f>IF(E202&gt;0,E197,0)</f>
        <v>22</v>
      </c>
      <c r="F203" s="2441"/>
      <c r="G203" s="2441"/>
      <c r="H203" s="2441"/>
      <c r="I203" s="2441"/>
      <c r="J203" s="2441"/>
      <c r="K203" s="2441"/>
      <c r="L203" s="2443"/>
      <c r="M203" s="2443"/>
      <c r="N203" s="2443"/>
      <c r="O203" s="2443"/>
      <c r="P203" s="2443"/>
      <c r="Q203" s="2443"/>
      <c r="R203" s="2444"/>
      <c r="S203" s="1503"/>
      <c r="T203" s="2282" t="s">
        <v>6659</v>
      </c>
      <c r="U203" s="1793" t="s">
        <v>6037</v>
      </c>
    </row>
    <row r="204" spans="1:21" ht="12.75" x14ac:dyDescent="0.35">
      <c r="A204" s="1342">
        <v>56</v>
      </c>
      <c r="B204" s="1708" t="str">
        <f t="shared" si="51"/>
        <v/>
      </c>
      <c r="C204" s="1580" t="s">
        <v>3468</v>
      </c>
      <c r="D204" s="1712" t="s">
        <v>5731</v>
      </c>
      <c r="E204" s="2442">
        <f>E202+E203</f>
        <v>12487</v>
      </c>
      <c r="F204" s="2441"/>
      <c r="G204" s="2441"/>
      <c r="H204" s="2441"/>
      <c r="I204" s="2441"/>
      <c r="J204" s="2441"/>
      <c r="K204" s="2441"/>
      <c r="L204" s="2443"/>
      <c r="M204" s="2443"/>
      <c r="N204" s="2443"/>
      <c r="O204" s="2443"/>
      <c r="P204" s="2443"/>
      <c r="Q204" s="2443"/>
      <c r="R204" s="2444"/>
      <c r="S204" s="1503"/>
      <c r="T204" s="2282" t="s">
        <v>6617</v>
      </c>
      <c r="U204" s="1793" t="s">
        <v>6038</v>
      </c>
    </row>
    <row r="205" spans="1:21" ht="12.75" x14ac:dyDescent="0.35">
      <c r="A205" s="1342">
        <v>57</v>
      </c>
      <c r="B205" s="1708" t="str">
        <f t="shared" si="51"/>
        <v/>
      </c>
      <c r="C205" s="1991" t="s">
        <v>3469</v>
      </c>
      <c r="D205" s="1712" t="s">
        <v>5732</v>
      </c>
      <c r="E205" s="2445">
        <v>11300</v>
      </c>
      <c r="F205" s="2445"/>
      <c r="G205" s="2445"/>
      <c r="H205" s="2445"/>
      <c r="I205" s="2445"/>
      <c r="J205" s="2445"/>
      <c r="K205" s="2445"/>
      <c r="L205" s="2447"/>
      <c r="M205" s="2447"/>
      <c r="N205" s="2447"/>
      <c r="O205" s="2447"/>
      <c r="P205" s="2447"/>
      <c r="Q205" s="2447"/>
      <c r="R205" s="2414"/>
      <c r="S205" s="1503"/>
      <c r="T205" s="2282" t="s">
        <v>6617</v>
      </c>
      <c r="U205" s="1793" t="s">
        <v>6039</v>
      </c>
    </row>
    <row r="206" spans="1:21" ht="12.75" x14ac:dyDescent="0.35">
      <c r="A206" s="1342">
        <v>58</v>
      </c>
      <c r="B206" s="1708" t="str">
        <f t="shared" si="51"/>
        <v/>
      </c>
      <c r="C206" s="1580" t="s">
        <v>4080</v>
      </c>
      <c r="D206" s="1712" t="s">
        <v>5733</v>
      </c>
      <c r="E206" s="2438"/>
      <c r="F206" s="2438"/>
      <c r="G206" s="2438"/>
      <c r="H206" s="2438"/>
      <c r="I206" s="2438"/>
      <c r="J206" s="2438"/>
      <c r="K206" s="2438"/>
      <c r="L206" s="2439"/>
      <c r="M206" s="2439"/>
      <c r="N206" s="2439"/>
      <c r="O206" s="2439"/>
      <c r="P206" s="2439"/>
      <c r="Q206" s="2439"/>
      <c r="R206" s="2440"/>
      <c r="S206" s="1503"/>
      <c r="T206" s="2282" t="s">
        <v>6617</v>
      </c>
      <c r="U206" s="1793" t="s">
        <v>6040</v>
      </c>
    </row>
    <row r="207" spans="1:21" ht="12.75" x14ac:dyDescent="0.35">
      <c r="A207" s="1342">
        <v>59</v>
      </c>
      <c r="B207" s="1708" t="str">
        <f t="shared" si="51"/>
        <v/>
      </c>
      <c r="C207" s="1580" t="s">
        <v>4081</v>
      </c>
      <c r="D207" s="1712" t="s">
        <v>5734</v>
      </c>
      <c r="E207" s="2438">
        <v>1187</v>
      </c>
      <c r="F207" s="2438"/>
      <c r="G207" s="2438"/>
      <c r="H207" s="2438"/>
      <c r="I207" s="2438"/>
      <c r="J207" s="2438"/>
      <c r="K207" s="2438"/>
      <c r="L207" s="2439"/>
      <c r="M207" s="2439"/>
      <c r="N207" s="2439"/>
      <c r="O207" s="2439"/>
      <c r="P207" s="2439"/>
      <c r="Q207" s="2439"/>
      <c r="R207" s="2440"/>
      <c r="S207" s="1503"/>
      <c r="T207" s="2282" t="s">
        <v>6654</v>
      </c>
      <c r="U207" s="1793"/>
    </row>
    <row r="208" spans="1:21" ht="12.75" x14ac:dyDescent="0.35">
      <c r="A208" s="1342">
        <v>60</v>
      </c>
      <c r="B208" s="1708" t="str">
        <f t="shared" si="51"/>
        <v/>
      </c>
      <c r="C208" s="1580" t="s">
        <v>4082</v>
      </c>
      <c r="D208" s="1712" t="s">
        <v>4657</v>
      </c>
      <c r="E208" s="2438"/>
      <c r="F208" s="2438">
        <v>2700</v>
      </c>
      <c r="G208" s="2438"/>
      <c r="H208" s="2468">
        <v>2000</v>
      </c>
      <c r="I208" s="2468">
        <v>26999</v>
      </c>
      <c r="J208" s="2468">
        <v>8000</v>
      </c>
      <c r="K208" s="2468">
        <v>1504029</v>
      </c>
      <c r="L208" s="2428"/>
      <c r="M208" s="2428"/>
      <c r="N208" s="2428"/>
      <c r="O208" s="2428"/>
      <c r="P208" s="2428"/>
      <c r="Q208" s="2428"/>
      <c r="R208" s="2429"/>
      <c r="S208" s="1503"/>
      <c r="T208" s="2282" t="s">
        <v>6617</v>
      </c>
      <c r="U208" s="1793"/>
    </row>
    <row r="209" spans="1:21" ht="12.75" x14ac:dyDescent="0.35">
      <c r="A209" s="1342">
        <v>61</v>
      </c>
      <c r="B209" s="1708" t="str">
        <f t="shared" si="51"/>
        <v/>
      </c>
      <c r="C209" s="1580" t="s">
        <v>4083</v>
      </c>
      <c r="D209" s="1712" t="s">
        <v>5735</v>
      </c>
      <c r="E209" s="2441"/>
      <c r="F209" s="2442">
        <f t="shared" ref="F209:K209" si="58">F200</f>
        <v>2700</v>
      </c>
      <c r="G209" s="2441"/>
      <c r="H209" s="2442">
        <f t="shared" si="58"/>
        <v>2000</v>
      </c>
      <c r="I209" s="2442">
        <f t="shared" si="58"/>
        <v>4645</v>
      </c>
      <c r="J209" s="2442">
        <f t="shared" si="58"/>
        <v>7374</v>
      </c>
      <c r="K209" s="2442">
        <f t="shared" si="58"/>
        <v>1244496</v>
      </c>
      <c r="L209" s="2443"/>
      <c r="M209" s="2443"/>
      <c r="N209" s="2443"/>
      <c r="O209" s="2443"/>
      <c r="P209" s="2443"/>
      <c r="Q209" s="2443"/>
      <c r="R209" s="2444"/>
      <c r="S209" s="1503"/>
      <c r="T209" s="2282" t="s">
        <v>6657</v>
      </c>
      <c r="U209" s="1793" t="s">
        <v>6041</v>
      </c>
    </row>
    <row r="210" spans="1:21" ht="12.75" x14ac:dyDescent="0.35">
      <c r="A210" s="1342">
        <v>62</v>
      </c>
      <c r="B210" s="1708" t="str">
        <f t="shared" si="51"/>
        <v/>
      </c>
      <c r="C210" s="1580" t="s">
        <v>4084</v>
      </c>
      <c r="D210" s="1712" t="s">
        <v>5736</v>
      </c>
      <c r="E210" s="2442">
        <f>E207</f>
        <v>1187</v>
      </c>
      <c r="F210" s="2441"/>
      <c r="G210" s="2441"/>
      <c r="H210" s="2441"/>
      <c r="I210" s="2441"/>
      <c r="J210" s="2441"/>
      <c r="K210" s="2441"/>
      <c r="L210" s="2443"/>
      <c r="M210" s="2443"/>
      <c r="N210" s="2443"/>
      <c r="O210" s="2443"/>
      <c r="P210" s="2443"/>
      <c r="Q210" s="2443"/>
      <c r="R210" s="2444"/>
      <c r="S210" s="1503"/>
      <c r="T210" s="2282" t="s">
        <v>6654</v>
      </c>
      <c r="U210" s="1793" t="s">
        <v>6042</v>
      </c>
    </row>
    <row r="211" spans="1:21" ht="30.4" x14ac:dyDescent="0.35">
      <c r="A211" s="1342">
        <v>63</v>
      </c>
      <c r="B211" s="1708" t="str">
        <f t="shared" si="51"/>
        <v/>
      </c>
      <c r="C211" s="1580" t="s">
        <v>4085</v>
      </c>
      <c r="D211" s="1712" t="s">
        <v>5737</v>
      </c>
      <c r="E211" s="2442">
        <f t="shared" ref="E211:K211" si="59">MAX(0,E208+E210-E209)</f>
        <v>1187</v>
      </c>
      <c r="F211" s="2441"/>
      <c r="G211" s="2441"/>
      <c r="H211" s="2441"/>
      <c r="I211" s="2442">
        <f t="shared" si="59"/>
        <v>22354</v>
      </c>
      <c r="J211" s="2442">
        <f t="shared" si="59"/>
        <v>626</v>
      </c>
      <c r="K211" s="2442">
        <f t="shared" si="59"/>
        <v>259533</v>
      </c>
      <c r="L211" s="2443"/>
      <c r="M211" s="2443"/>
      <c r="N211" s="2443"/>
      <c r="O211" s="2443"/>
      <c r="P211" s="2443"/>
      <c r="Q211" s="2443"/>
      <c r="R211" s="2444"/>
      <c r="S211" s="1503"/>
      <c r="T211" s="2282" t="s">
        <v>6654</v>
      </c>
      <c r="U211" s="1793" t="s">
        <v>6043</v>
      </c>
    </row>
    <row r="212" spans="1:21" ht="20.25" x14ac:dyDescent="0.35">
      <c r="A212" s="1342">
        <v>64</v>
      </c>
      <c r="B212" s="1708" t="str">
        <f t="shared" si="51"/>
        <v/>
      </c>
      <c r="C212" s="1991" t="s">
        <v>4086</v>
      </c>
      <c r="D212" s="1712" t="str">
        <f>"If your total profits for "&amp;tax_year&amp;" are less than "&amp;DOLLAR(NIC2_SPT,0)&amp;" and you choose to pay Class 2 NICs voluntarily, put 'X' in the box"</f>
        <v>If your total profits for 2017-18 are less than £6,025 and you choose to pay Class 2 NICs voluntarily, put 'X' in the box</v>
      </c>
      <c r="E212" s="2005" t="str">
        <f t="shared" ref="E212:K212" si="60">IF(LUN_IND&gt;1,IF(SE_A_IND&gt;1,"",IF(SE_B_IND&gt;1,"",IF(PS_A_IND&gt;1,"",IF(PS_B_IND&gt;1,"",IF(AND(E201&lt;NIC2_SPT,NIC2_Vol,NIC_exempt=FALSE),"Y","N"))))),"")</f>
        <v/>
      </c>
      <c r="F212" s="2005" t="str">
        <f t="shared" si="60"/>
        <v/>
      </c>
      <c r="G212" s="2005" t="str">
        <f t="shared" si="60"/>
        <v/>
      </c>
      <c r="H212" s="2005" t="str">
        <f t="shared" si="60"/>
        <v/>
      </c>
      <c r="I212" s="2005" t="str">
        <f t="shared" si="60"/>
        <v/>
      </c>
      <c r="J212" s="2005" t="str">
        <f t="shared" si="60"/>
        <v/>
      </c>
      <c r="K212" s="2005" t="str">
        <f t="shared" si="60"/>
        <v/>
      </c>
      <c r="L212" s="2309"/>
      <c r="M212" s="2309"/>
      <c r="N212" s="2309"/>
      <c r="O212" s="2309"/>
      <c r="P212" s="2309"/>
      <c r="Q212" s="2309"/>
      <c r="R212" s="2310"/>
      <c r="S212" s="1503"/>
      <c r="T212" s="2282" t="s">
        <v>6620</v>
      </c>
      <c r="U212" s="1793" t="s">
        <v>6044</v>
      </c>
    </row>
    <row r="213" spans="1:21" ht="12.75" x14ac:dyDescent="0.35">
      <c r="A213" s="1342">
        <v>65</v>
      </c>
      <c r="B213" s="1708" t="str">
        <f>IF(LUN_IND&gt;1,IF(HLOOKUP(LUN_IND-1,LUN_RANGE,A213)="","",HLOOKUP(LUN_IND-1,LUN_RANGE,A213)),"")</f>
        <v/>
      </c>
      <c r="C213" s="1991" t="s">
        <v>4087</v>
      </c>
      <c r="D213" s="1712" t="s">
        <v>5230</v>
      </c>
      <c r="E213" s="2005" t="str">
        <f>IF(LUN_IND&gt;1,IF(SE_B_IND&gt;1,"",IF(SE_A_IND&gt;1,"",IF(NIC_exempt,"Y","N"))),"")</f>
        <v/>
      </c>
      <c r="F213" s="2005" t="str">
        <f t="shared" ref="F213:K213" si="61">IF(LUN_IND&gt;1,IF(SE_B_IND&gt;1,"",IF(SE_A_IND&gt;1,"",IF(NIC_exempt,"Y","N"))),"")</f>
        <v/>
      </c>
      <c r="G213" s="2005" t="str">
        <f t="shared" si="61"/>
        <v/>
      </c>
      <c r="H213" s="2005" t="str">
        <f t="shared" si="61"/>
        <v/>
      </c>
      <c r="I213" s="2005" t="str">
        <f t="shared" si="61"/>
        <v/>
      </c>
      <c r="J213" s="2005" t="str">
        <f t="shared" si="61"/>
        <v/>
      </c>
      <c r="K213" s="2005" t="str">
        <f t="shared" si="61"/>
        <v/>
      </c>
      <c r="L213" s="2309"/>
      <c r="M213" s="2309"/>
      <c r="N213" s="2309"/>
      <c r="O213" s="2309"/>
      <c r="P213" s="2309"/>
      <c r="Q213" s="2309"/>
      <c r="R213" s="2310"/>
      <c r="S213" s="1503"/>
      <c r="T213" s="2282" t="s">
        <v>6620</v>
      </c>
      <c r="U213" s="1793"/>
    </row>
    <row r="214" spans="1:21" ht="12.75" x14ac:dyDescent="0.35">
      <c r="A214" s="1342">
        <v>66</v>
      </c>
      <c r="B214" s="1708" t="str">
        <f>IF(LUN_IND&gt;1,IF(HLOOKUP(LUN_IND-1,LUN_RANGE,A214)="","",HLOOKUP(LUN_IND-1,LUN_RANGE,A214)),"")</f>
        <v/>
      </c>
      <c r="C214" s="1991" t="s">
        <v>4088</v>
      </c>
      <c r="D214" s="1712" t="s">
        <v>5231</v>
      </c>
      <c r="E214" s="2445"/>
      <c r="F214" s="2445"/>
      <c r="G214" s="2445"/>
      <c r="H214" s="2445"/>
      <c r="I214" s="2445"/>
      <c r="J214" s="2445"/>
      <c r="K214" s="2445"/>
      <c r="L214" s="2447"/>
      <c r="M214" s="2447"/>
      <c r="N214" s="2447"/>
      <c r="O214" s="2447"/>
      <c r="P214" s="2447"/>
      <c r="Q214" s="2447"/>
      <c r="R214" s="2414"/>
      <c r="S214" s="1503"/>
      <c r="T214" s="2282" t="s">
        <v>6617</v>
      </c>
      <c r="U214" s="1793" t="s">
        <v>6045</v>
      </c>
    </row>
    <row r="215" spans="1:21" ht="13.15" thickBot="1" x14ac:dyDescent="0.4">
      <c r="A215" s="1342">
        <v>67</v>
      </c>
      <c r="B215" s="1708" t="str">
        <f>IF(LUN_IND&gt;1,IF(HLOOKUP(LUN_IND-1,LUN_RANGE,A215)="","",HLOOKUP(LUN_IND-1,LUN_RANGE,A215)),"")</f>
        <v/>
      </c>
      <c r="C215" s="1586" t="s">
        <v>4089</v>
      </c>
      <c r="D215" s="1728" t="s">
        <v>5232</v>
      </c>
      <c r="E215" s="1587"/>
      <c r="F215" s="1587"/>
      <c r="G215" s="1587"/>
      <c r="H215" s="1587"/>
      <c r="I215" s="1587"/>
      <c r="J215" s="1587"/>
      <c r="K215" s="1587"/>
      <c r="L215" s="2315"/>
      <c r="M215" s="2315"/>
      <c r="N215" s="2315"/>
      <c r="O215" s="2315"/>
      <c r="P215" s="2315"/>
      <c r="Q215" s="2315"/>
      <c r="R215" s="2316"/>
      <c r="S215" s="1503"/>
      <c r="T215" s="2282" t="s">
        <v>6621</v>
      </c>
      <c r="U215" s="1793"/>
    </row>
    <row r="216" spans="1:21" x14ac:dyDescent="0.35">
      <c r="U216" s="6"/>
    </row>
  </sheetData>
  <phoneticPr fontId="68" type="noConversion"/>
  <conditionalFormatting sqref="E53:M57 O53:R57">
    <cfRule type="cellIs" dxfId="6" priority="2" operator="equal">
      <formula>"Y"</formula>
    </cfRule>
  </conditionalFormatting>
  <conditionalFormatting sqref="N53:N57">
    <cfRule type="cellIs" dxfId="5" priority="1" operator="equal">
      <formula>"Y"</formula>
    </cfRule>
  </conditionalFormatting>
  <dataValidations count="1">
    <dataValidation type="list" allowBlank="1" showInputMessage="1" showErrorMessage="1" sqref="T150:T215 T3:T41 T44:T147">
      <formula1>allowedTypes</formula1>
    </dataValidation>
  </dataValidations>
  <pageMargins left="0.75" right="0.75" top="1" bottom="1" header="0.5" footer="0.5"/>
  <pageSetup paperSize="9" orientation="portrait" horizontalDpi="1200" verticalDpi="120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FFFF99"/>
  </sheetPr>
  <dimension ref="A1:Q120"/>
  <sheetViews>
    <sheetView showGridLines="0" workbookViewId="0">
      <pane xSplit="3" ySplit="2" topLeftCell="F37" activePane="bottomRight" state="frozen"/>
      <selection pane="topRight" activeCell="D1" sqref="D1"/>
      <selection pane="bottomLeft" activeCell="A3" sqref="A3"/>
      <selection pane="bottomRight" activeCell="D18" sqref="D18"/>
    </sheetView>
  </sheetViews>
  <sheetFormatPr defaultColWidth="9.1328125" defaultRowHeight="11.65" x14ac:dyDescent="0.35"/>
  <cols>
    <col min="1" max="1" width="3.86328125" style="1341" bestFit="1" customWidth="1"/>
    <col min="2" max="2" width="10.265625" style="206" customWidth="1"/>
    <col min="3" max="3" width="8.59765625" style="206" customWidth="1"/>
    <col min="4" max="4" width="93.59765625" style="206" bestFit="1" customWidth="1"/>
    <col min="5" max="8" width="11.59765625" style="206" bestFit="1" customWidth="1"/>
    <col min="9" max="13" width="11.1328125" style="206" bestFit="1" customWidth="1"/>
    <col min="14" max="14" width="12.1328125" style="206" bestFit="1" customWidth="1"/>
    <col min="15" max="15" width="1.86328125" style="206" customWidth="1"/>
    <col min="16" max="16" width="32.265625" style="146" bestFit="1" customWidth="1"/>
    <col min="17" max="17" width="33" style="206" customWidth="1"/>
    <col min="18" max="16384" width="9.1328125" style="206"/>
  </cols>
  <sheetData>
    <row r="1" spans="1:17" ht="13.5" thickBot="1" x14ac:dyDescent="0.45">
      <c r="E1" s="1709">
        <v>1</v>
      </c>
      <c r="F1" s="1709">
        <v>2</v>
      </c>
      <c r="G1" s="1709">
        <v>3</v>
      </c>
      <c r="H1" s="1709">
        <v>4</v>
      </c>
      <c r="I1" s="1709">
        <v>5</v>
      </c>
      <c r="J1" s="1709">
        <v>6</v>
      </c>
      <c r="K1" s="1709">
        <v>7</v>
      </c>
      <c r="L1" s="1709">
        <v>8</v>
      </c>
      <c r="M1" s="1709">
        <v>9</v>
      </c>
      <c r="N1" s="1709">
        <v>10</v>
      </c>
      <c r="O1" s="1503"/>
      <c r="P1" s="2374" t="s">
        <v>6613</v>
      </c>
      <c r="Q1" s="1502" t="s">
        <v>5460</v>
      </c>
    </row>
    <row r="2" spans="1:17" ht="13.15" x14ac:dyDescent="0.4">
      <c r="A2" s="1342" t="s">
        <v>4845</v>
      </c>
      <c r="B2" s="676" t="s">
        <v>4210</v>
      </c>
      <c r="C2" s="2347" t="s">
        <v>2385</v>
      </c>
      <c r="D2" s="2348"/>
      <c r="E2" s="1348">
        <v>1</v>
      </c>
      <c r="F2" s="1348">
        <v>2</v>
      </c>
      <c r="G2" s="1348">
        <v>3</v>
      </c>
      <c r="H2" s="1348">
        <v>4</v>
      </c>
      <c r="I2" s="1348">
        <v>5</v>
      </c>
      <c r="J2" s="1348">
        <v>6</v>
      </c>
      <c r="K2" s="1348">
        <v>7</v>
      </c>
      <c r="L2" s="1348">
        <v>8</v>
      </c>
      <c r="M2" s="1348">
        <v>9</v>
      </c>
      <c r="N2" s="1349">
        <v>10</v>
      </c>
      <c r="O2" s="1503"/>
      <c r="P2" s="2374" t="s">
        <v>6613</v>
      </c>
      <c r="Q2" s="1502" t="s">
        <v>5460</v>
      </c>
    </row>
    <row r="3" spans="1:17" ht="91.15" x14ac:dyDescent="0.35">
      <c r="A3" s="1342">
        <v>2</v>
      </c>
      <c r="B3" s="2346" t="str">
        <f>IF(PS_A_IND&gt;1,'C1'!B110,"")</f>
        <v/>
      </c>
      <c r="C3" s="2349" t="s">
        <v>4090</v>
      </c>
      <c r="D3" s="1338" t="s">
        <v>6058</v>
      </c>
      <c r="E3" s="2350"/>
      <c r="F3" s="2350"/>
      <c r="G3" s="2351"/>
      <c r="H3" s="2351"/>
      <c r="I3" s="2351"/>
      <c r="J3" s="2351"/>
      <c r="K3" s="2370"/>
      <c r="L3" s="2370"/>
      <c r="M3" s="2370"/>
      <c r="N3" s="2371"/>
      <c r="O3" s="1503"/>
      <c r="P3" s="2282" t="s">
        <v>6615</v>
      </c>
      <c r="Q3" s="1793" t="s">
        <v>6046</v>
      </c>
    </row>
    <row r="4" spans="1:17" ht="12.75" x14ac:dyDescent="0.35">
      <c r="A4" s="1342">
        <v>3</v>
      </c>
      <c r="B4" s="2346" t="str">
        <f t="shared" ref="B4:B34" si="0">IF(PS_A_IND&gt;1,IF(HLOOKUP(PS_A_IND-1,SPS_RANGE,A4)="","",HLOOKUP(PS_A_IND-1,SPS_RANGE,A4)),"")</f>
        <v/>
      </c>
      <c r="C4" s="2349" t="s">
        <v>3878</v>
      </c>
      <c r="D4" s="1338" t="s">
        <v>6059</v>
      </c>
      <c r="E4" s="2352" t="s">
        <v>3240</v>
      </c>
      <c r="F4" s="2353" t="s">
        <v>3241</v>
      </c>
      <c r="G4" s="2353" t="s">
        <v>1383</v>
      </c>
      <c r="H4" s="2353" t="s">
        <v>1192</v>
      </c>
      <c r="I4" s="2353" t="s">
        <v>2848</v>
      </c>
      <c r="J4" s="2353" t="s">
        <v>1192</v>
      </c>
      <c r="K4" s="2370"/>
      <c r="L4" s="2370"/>
      <c r="M4" s="2370"/>
      <c r="N4" s="2371"/>
      <c r="O4" s="1503"/>
      <c r="P4" s="2282" t="s">
        <v>6621</v>
      </c>
      <c r="Q4" s="1793" t="s">
        <v>5523</v>
      </c>
    </row>
    <row r="5" spans="1:17" ht="12.75" x14ac:dyDescent="0.35">
      <c r="A5" s="1342">
        <v>4</v>
      </c>
      <c r="B5" s="2346" t="str">
        <f t="shared" si="0"/>
        <v/>
      </c>
      <c r="C5" s="2349" t="s">
        <v>3879</v>
      </c>
      <c r="D5" s="1338" t="s">
        <v>6060</v>
      </c>
      <c r="E5" s="2353"/>
      <c r="F5" s="2353"/>
      <c r="G5" s="2353"/>
      <c r="H5" s="2353"/>
      <c r="I5" s="2353"/>
      <c r="J5" s="2354"/>
      <c r="K5" s="2370"/>
      <c r="L5" s="2370"/>
      <c r="M5" s="2370"/>
      <c r="N5" s="2371"/>
      <c r="O5" s="1503"/>
      <c r="P5" s="2282" t="s">
        <v>6656</v>
      </c>
      <c r="Q5" s="1793" t="s">
        <v>6047</v>
      </c>
    </row>
    <row r="6" spans="1:17" ht="30.4" x14ac:dyDescent="0.35">
      <c r="A6" s="1342">
        <v>5</v>
      </c>
      <c r="B6" s="2346" t="str">
        <f t="shared" si="0"/>
        <v/>
      </c>
      <c r="C6" s="2349" t="s">
        <v>3880</v>
      </c>
      <c r="D6" s="1338" t="s">
        <v>6061</v>
      </c>
      <c r="E6" s="2355"/>
      <c r="F6" s="2356" t="str">
        <f>"13/09/"&amp;Tax_year_start</f>
        <v>13/09/2017</v>
      </c>
      <c r="G6" s="2357"/>
      <c r="H6" s="2356"/>
      <c r="I6" s="2357"/>
      <c r="J6" s="2357"/>
      <c r="K6" s="2370"/>
      <c r="L6" s="2370"/>
      <c r="M6" s="2370"/>
      <c r="N6" s="2371"/>
      <c r="O6" s="1503"/>
      <c r="P6" s="2282" t="s">
        <v>6656</v>
      </c>
      <c r="Q6" s="1793" t="s">
        <v>6048</v>
      </c>
    </row>
    <row r="7" spans="1:17" ht="12.75" x14ac:dyDescent="0.35">
      <c r="A7" s="1342">
        <v>6</v>
      </c>
      <c r="B7" s="2346" t="str">
        <f t="shared" si="0"/>
        <v/>
      </c>
      <c r="C7" s="2349" t="s">
        <v>3881</v>
      </c>
      <c r="D7" s="1338" t="s">
        <v>5901</v>
      </c>
      <c r="E7" s="2353" t="s">
        <v>583</v>
      </c>
      <c r="F7" s="2353" t="s">
        <v>583</v>
      </c>
      <c r="G7" s="2353" t="s">
        <v>1237</v>
      </c>
      <c r="H7" s="2353" t="s">
        <v>1237</v>
      </c>
      <c r="I7" s="2353" t="s">
        <v>1237</v>
      </c>
      <c r="J7" s="2354" t="s">
        <v>1237</v>
      </c>
      <c r="K7" s="2370"/>
      <c r="L7" s="2370"/>
      <c r="M7" s="2370"/>
      <c r="N7" s="2371"/>
      <c r="O7" s="1503"/>
      <c r="P7" s="2282" t="s">
        <v>6620</v>
      </c>
      <c r="Q7" s="1793"/>
    </row>
    <row r="8" spans="1:17" ht="12.75" x14ac:dyDescent="0.35">
      <c r="A8" s="1342">
        <v>7</v>
      </c>
      <c r="B8" s="2346" t="str">
        <f t="shared" si="0"/>
        <v/>
      </c>
      <c r="C8" s="2349" t="s">
        <v>3882</v>
      </c>
      <c r="D8" s="1338" t="s">
        <v>6062</v>
      </c>
      <c r="E8" s="2356" t="str">
        <f>"06/04/"&amp;Tax_year_start</f>
        <v>06/04/2017</v>
      </c>
      <c r="F8" s="2356" t="str">
        <f>"01/01/"&amp;Tax_year_start</f>
        <v>01/01/2017</v>
      </c>
      <c r="G8" s="2356" t="str">
        <f>"01/07/"&amp;Tax_year_start-1</f>
        <v>01/07/2016</v>
      </c>
      <c r="H8" s="2356" t="str">
        <f>"06/04/"&amp;Tax_year_start</f>
        <v>06/04/2017</v>
      </c>
      <c r="I8" s="2356" t="str">
        <f>"06/04/"&amp;Tax_year_start</f>
        <v>06/04/2017</v>
      </c>
      <c r="J8" s="2356" t="str">
        <f>"06/04/"&amp;Tax_year_start</f>
        <v>06/04/2017</v>
      </c>
      <c r="K8" s="2370"/>
      <c r="L8" s="2370"/>
      <c r="M8" s="2370"/>
      <c r="N8" s="2371"/>
      <c r="O8" s="1503"/>
      <c r="P8" s="2282" t="s">
        <v>6656</v>
      </c>
      <c r="Q8" s="1793" t="s">
        <v>1987</v>
      </c>
    </row>
    <row r="9" spans="1:17" ht="30.4" x14ac:dyDescent="0.35">
      <c r="A9" s="1342">
        <v>8</v>
      </c>
      <c r="B9" s="2346" t="str">
        <f t="shared" si="0"/>
        <v/>
      </c>
      <c r="C9" s="2349" t="s">
        <v>3883</v>
      </c>
      <c r="D9" s="1338" t="s">
        <v>6063</v>
      </c>
      <c r="E9" s="2356" t="str">
        <f>"05/04/"&amp;Tax_year_end</f>
        <v>05/04/2018</v>
      </c>
      <c r="F9" s="2356" t="str">
        <f>"13/09/"&amp;Tax_year_start</f>
        <v>13/09/2017</v>
      </c>
      <c r="G9" s="2356" t="str">
        <f>"30/06/"&amp;Tax_year_start</f>
        <v>30/06/2017</v>
      </c>
      <c r="H9" s="2356" t="str">
        <f>"05/04/"&amp;Tax_year_end</f>
        <v>05/04/2018</v>
      </c>
      <c r="I9" s="2356" t="str">
        <f>"05/04/"&amp;Tax_year_end</f>
        <v>05/04/2018</v>
      </c>
      <c r="J9" s="2356" t="str">
        <f>"05/04/"&amp;Tax_year_end</f>
        <v>05/04/2018</v>
      </c>
      <c r="K9" s="2370"/>
      <c r="L9" s="2370"/>
      <c r="M9" s="2370"/>
      <c r="N9" s="2371"/>
      <c r="O9" s="1503"/>
      <c r="P9" s="2282" t="s">
        <v>6656</v>
      </c>
      <c r="Q9" s="1793" t="s">
        <v>6049</v>
      </c>
    </row>
    <row r="10" spans="1:17" ht="12.75" x14ac:dyDescent="0.35">
      <c r="A10" s="1342">
        <v>9</v>
      </c>
      <c r="B10" s="2346" t="str">
        <f t="shared" si="0"/>
        <v/>
      </c>
      <c r="C10" s="2349" t="s">
        <v>3884</v>
      </c>
      <c r="D10" s="1338" t="s">
        <v>6064</v>
      </c>
      <c r="E10" s="2358">
        <v>6745</v>
      </c>
      <c r="F10" s="2358">
        <v>1080</v>
      </c>
      <c r="G10" s="2358">
        <v>23970</v>
      </c>
      <c r="H10" s="2358">
        <v>64000</v>
      </c>
      <c r="I10" s="2359">
        <v>-6250</v>
      </c>
      <c r="J10" s="2360">
        <v>-62547</v>
      </c>
      <c r="K10" s="2370"/>
      <c r="L10" s="2370"/>
      <c r="M10" s="2370"/>
      <c r="N10" s="2371"/>
      <c r="O10" s="1503"/>
      <c r="P10" s="2282" t="s">
        <v>6619</v>
      </c>
      <c r="Q10" s="1793" t="s">
        <v>1987</v>
      </c>
    </row>
    <row r="11" spans="1:17" ht="12.75" x14ac:dyDescent="0.35">
      <c r="A11" s="1342">
        <v>10</v>
      </c>
      <c r="B11" s="2346" t="str">
        <f t="shared" si="0"/>
        <v/>
      </c>
      <c r="C11" s="2349" t="s">
        <v>3885</v>
      </c>
      <c r="D11" s="1338" t="s">
        <v>6065</v>
      </c>
      <c r="E11" s="2358"/>
      <c r="F11" s="2358"/>
      <c r="G11" s="2359">
        <v>-3750</v>
      </c>
      <c r="H11" s="2359"/>
      <c r="I11" s="2359">
        <v>750</v>
      </c>
      <c r="J11" s="2360"/>
      <c r="K11" s="2370"/>
      <c r="L11" s="2370"/>
      <c r="M11" s="2370"/>
      <c r="N11" s="2371"/>
      <c r="O11" s="1503"/>
      <c r="P11" s="2282" t="s">
        <v>6619</v>
      </c>
      <c r="Q11" s="1793" t="s">
        <v>1987</v>
      </c>
    </row>
    <row r="12" spans="1:17" ht="12.75" x14ac:dyDescent="0.35">
      <c r="A12" s="1342">
        <v>11</v>
      </c>
      <c r="B12" s="2346" t="str">
        <f t="shared" si="0"/>
        <v/>
      </c>
      <c r="C12" s="2349" t="s">
        <v>3886</v>
      </c>
      <c r="D12" s="1338" t="s">
        <v>6066</v>
      </c>
      <c r="E12" s="2358"/>
      <c r="F12" s="2358"/>
      <c r="G12" s="2358"/>
      <c r="H12" s="2358">
        <v>16512</v>
      </c>
      <c r="I12" s="2358"/>
      <c r="J12" s="2360"/>
      <c r="K12" s="2370"/>
      <c r="L12" s="2370"/>
      <c r="M12" s="2370"/>
      <c r="N12" s="2371"/>
      <c r="O12" s="1503"/>
      <c r="P12" s="2282" t="s">
        <v>6657</v>
      </c>
      <c r="Q12" s="1793" t="s">
        <v>1987</v>
      </c>
    </row>
    <row r="13" spans="1:17" ht="12.75" x14ac:dyDescent="0.35">
      <c r="A13" s="1342">
        <v>12</v>
      </c>
      <c r="B13" s="2346" t="str">
        <f t="shared" si="0"/>
        <v/>
      </c>
      <c r="C13" s="2349" t="s">
        <v>3887</v>
      </c>
      <c r="D13" s="1338" t="s">
        <v>6067</v>
      </c>
      <c r="E13" s="2358"/>
      <c r="F13" s="2358"/>
      <c r="G13" s="2358"/>
      <c r="H13" s="2358"/>
      <c r="I13" s="2358"/>
      <c r="J13" s="2360"/>
      <c r="K13" s="2370"/>
      <c r="L13" s="2370"/>
      <c r="M13" s="2370"/>
      <c r="N13" s="2371"/>
      <c r="O13" s="1503"/>
      <c r="P13" s="2282" t="s">
        <v>6619</v>
      </c>
      <c r="Q13" s="1793" t="s">
        <v>1987</v>
      </c>
    </row>
    <row r="14" spans="1:17" ht="12.75" x14ac:dyDescent="0.35">
      <c r="A14" s="1342">
        <v>13</v>
      </c>
      <c r="B14" s="2346" t="str">
        <f t="shared" si="0"/>
        <v/>
      </c>
      <c r="C14" s="2349" t="s">
        <v>3888</v>
      </c>
      <c r="D14" s="1338" t="s">
        <v>6068</v>
      </c>
      <c r="E14" s="2358"/>
      <c r="F14" s="2358"/>
      <c r="G14" s="2358"/>
      <c r="H14" s="2358"/>
      <c r="I14" s="2358"/>
      <c r="J14" s="2360"/>
      <c r="K14" s="2370"/>
      <c r="L14" s="2370"/>
      <c r="M14" s="2370"/>
      <c r="N14" s="2371"/>
      <c r="O14" s="1503"/>
      <c r="P14" s="2282" t="s">
        <v>6617</v>
      </c>
      <c r="Q14" s="1793" t="s">
        <v>1987</v>
      </c>
    </row>
    <row r="15" spans="1:17" ht="12.75" x14ac:dyDescent="0.35">
      <c r="A15" s="1342">
        <v>14</v>
      </c>
      <c r="B15" s="2346" t="str">
        <f t="shared" si="0"/>
        <v/>
      </c>
      <c r="C15" s="2361" t="s">
        <v>3889</v>
      </c>
      <c r="D15" s="1338" t="s">
        <v>6069</v>
      </c>
      <c r="E15" s="2362"/>
      <c r="F15" s="2362">
        <v>138</v>
      </c>
      <c r="G15" s="2362"/>
      <c r="H15" s="2362"/>
      <c r="I15" s="2362"/>
      <c r="J15" s="2363"/>
      <c r="K15" s="2370"/>
      <c r="L15" s="2370"/>
      <c r="M15" s="2370"/>
      <c r="N15" s="2371"/>
      <c r="O15" s="1503"/>
      <c r="P15" s="2282" t="s">
        <v>6617</v>
      </c>
      <c r="Q15" s="1793" t="s">
        <v>1987</v>
      </c>
    </row>
    <row r="16" spans="1:17" ht="12.75" x14ac:dyDescent="0.35">
      <c r="A16" s="1342">
        <v>15</v>
      </c>
      <c r="B16" s="2346" t="str">
        <f t="shared" si="0"/>
        <v/>
      </c>
      <c r="C16" s="2349" t="s">
        <v>3890</v>
      </c>
      <c r="D16" s="1338" t="s">
        <v>6070</v>
      </c>
      <c r="E16" s="2358"/>
      <c r="F16" s="2358"/>
      <c r="G16" s="2358"/>
      <c r="H16" s="2358"/>
      <c r="I16" s="2358"/>
      <c r="J16" s="2360"/>
      <c r="K16" s="2370"/>
      <c r="L16" s="2370"/>
      <c r="M16" s="2370"/>
      <c r="N16" s="2371"/>
      <c r="O16" s="1503"/>
      <c r="P16" s="2282" t="s">
        <v>6654</v>
      </c>
      <c r="Q16" s="1793" t="s">
        <v>1987</v>
      </c>
    </row>
    <row r="17" spans="1:17" ht="12.75" x14ac:dyDescent="0.35">
      <c r="A17" s="3407">
        <v>16</v>
      </c>
      <c r="B17" s="3424"/>
      <c r="C17" s="3425" t="s">
        <v>3891</v>
      </c>
      <c r="D17" s="3426" t="s">
        <v>6071</v>
      </c>
      <c r="E17" s="3731"/>
      <c r="F17" s="3731"/>
      <c r="G17" s="3731"/>
      <c r="H17" s="3731"/>
      <c r="I17" s="3731"/>
      <c r="J17" s="3732"/>
      <c r="K17" s="3733"/>
      <c r="L17" s="3733"/>
      <c r="M17" s="3733"/>
      <c r="N17" s="3734"/>
      <c r="O17" s="3335"/>
      <c r="P17" s="3411" t="s">
        <v>6654</v>
      </c>
      <c r="Q17" s="3412"/>
    </row>
    <row r="18" spans="1:17" ht="70.900000000000006" x14ac:dyDescent="0.35">
      <c r="A18" s="1342">
        <v>17</v>
      </c>
      <c r="B18" s="2346" t="str">
        <f t="shared" si="0"/>
        <v/>
      </c>
      <c r="C18" s="2349" t="s">
        <v>3892</v>
      </c>
      <c r="D18" s="1338" t="s">
        <v>6072</v>
      </c>
      <c r="E18" s="2364">
        <f t="shared" ref="E18:J18" si="1">IF(E10+E11+E12+E13-(E14+E15)&gt;0,E10+E11+E12+E13-(E14+E15),E13)</f>
        <v>6745</v>
      </c>
      <c r="F18" s="2364">
        <f t="shared" si="1"/>
        <v>942</v>
      </c>
      <c r="G18" s="2364">
        <f t="shared" si="1"/>
        <v>20220</v>
      </c>
      <c r="H18" s="2364">
        <f t="shared" si="1"/>
        <v>80512</v>
      </c>
      <c r="I18" s="2364">
        <f t="shared" si="1"/>
        <v>0</v>
      </c>
      <c r="J18" s="2364">
        <f t="shared" si="1"/>
        <v>0</v>
      </c>
      <c r="K18" s="2370"/>
      <c r="L18" s="2370"/>
      <c r="M18" s="2370"/>
      <c r="N18" s="2371"/>
      <c r="O18" s="1503"/>
      <c r="P18" s="2282" t="s">
        <v>6654</v>
      </c>
      <c r="Q18" s="1793" t="s">
        <v>6050</v>
      </c>
    </row>
    <row r="19" spans="1:17" ht="12.75" x14ac:dyDescent="0.35">
      <c r="A19" s="1342">
        <v>18</v>
      </c>
      <c r="B19" s="2346" t="str">
        <f t="shared" si="0"/>
        <v/>
      </c>
      <c r="C19" s="2361" t="s">
        <v>3893</v>
      </c>
      <c r="D19" s="1338" t="s">
        <v>6073</v>
      </c>
      <c r="E19" s="2362"/>
      <c r="F19" s="2362"/>
      <c r="G19" s="2362"/>
      <c r="H19" s="2362">
        <v>15625</v>
      </c>
      <c r="I19" s="2362"/>
      <c r="J19" s="2362"/>
      <c r="K19" s="2370"/>
      <c r="L19" s="2370"/>
      <c r="M19" s="2370"/>
      <c r="N19" s="2371"/>
      <c r="O19" s="1503"/>
      <c r="P19" s="2282" t="s">
        <v>6617</v>
      </c>
      <c r="Q19" s="1793" t="s">
        <v>6051</v>
      </c>
    </row>
    <row r="20" spans="1:17" ht="12.75" x14ac:dyDescent="0.35">
      <c r="A20" s="1342">
        <v>19</v>
      </c>
      <c r="B20" s="2346" t="str">
        <f t="shared" si="0"/>
        <v/>
      </c>
      <c r="C20" s="2349" t="s">
        <v>3894</v>
      </c>
      <c r="D20" s="1338" t="s">
        <v>6074</v>
      </c>
      <c r="E20" s="2364">
        <f t="shared" ref="E20:J20" si="2">MAX(0,E18-E19)</f>
        <v>6745</v>
      </c>
      <c r="F20" s="2364">
        <f t="shared" si="2"/>
        <v>942</v>
      </c>
      <c r="G20" s="2364">
        <f t="shared" si="2"/>
        <v>20220</v>
      </c>
      <c r="H20" s="2364">
        <f t="shared" si="2"/>
        <v>64887</v>
      </c>
      <c r="I20" s="2364">
        <f t="shared" si="2"/>
        <v>0</v>
      </c>
      <c r="J20" s="2364">
        <f t="shared" si="2"/>
        <v>0</v>
      </c>
      <c r="K20" s="2370"/>
      <c r="L20" s="2370"/>
      <c r="M20" s="2370"/>
      <c r="N20" s="2371"/>
      <c r="O20" s="1503"/>
      <c r="P20" s="2282" t="s">
        <v>6654</v>
      </c>
      <c r="Q20" s="1793" t="s">
        <v>6052</v>
      </c>
    </row>
    <row r="21" spans="1:17" ht="12.75" x14ac:dyDescent="0.35">
      <c r="A21" s="1342">
        <v>20</v>
      </c>
      <c r="B21" s="2346" t="str">
        <f t="shared" si="0"/>
        <v/>
      </c>
      <c r="C21" s="2349" t="s">
        <v>3895</v>
      </c>
      <c r="D21" s="1338" t="s">
        <v>6075</v>
      </c>
      <c r="E21" s="2358">
        <v>1200</v>
      </c>
      <c r="F21" s="2358"/>
      <c r="G21" s="2358"/>
      <c r="H21" s="2358">
        <v>9620</v>
      </c>
      <c r="I21" s="2358"/>
      <c r="J21" s="2358"/>
      <c r="K21" s="2370"/>
      <c r="L21" s="2370"/>
      <c r="M21" s="2370"/>
      <c r="N21" s="2371"/>
      <c r="O21" s="1503"/>
      <c r="P21" s="2282" t="s">
        <v>6617</v>
      </c>
      <c r="Q21" s="1793"/>
    </row>
    <row r="22" spans="1:17" ht="12.75" x14ac:dyDescent="0.35">
      <c r="A22" s="1342">
        <v>21</v>
      </c>
      <c r="B22" s="2346" t="str">
        <f t="shared" si="0"/>
        <v/>
      </c>
      <c r="C22" s="2361" t="s">
        <v>3896</v>
      </c>
      <c r="D22" s="1338" t="s">
        <v>5923</v>
      </c>
      <c r="E22" s="2365">
        <f t="shared" ref="E22:J22" si="3">E20+E21</f>
        <v>7945</v>
      </c>
      <c r="F22" s="2365">
        <f t="shared" si="3"/>
        <v>942</v>
      </c>
      <c r="G22" s="2365">
        <f t="shared" si="3"/>
        <v>20220</v>
      </c>
      <c r="H22" s="2365">
        <f t="shared" si="3"/>
        <v>74507</v>
      </c>
      <c r="I22" s="2365">
        <f t="shared" si="3"/>
        <v>0</v>
      </c>
      <c r="J22" s="2365">
        <f t="shared" si="3"/>
        <v>0</v>
      </c>
      <c r="K22" s="2370"/>
      <c r="L22" s="2370"/>
      <c r="M22" s="2370"/>
      <c r="N22" s="2371"/>
      <c r="O22" s="1503"/>
      <c r="P22" s="2282" t="s">
        <v>6654</v>
      </c>
      <c r="Q22" s="1793" t="s">
        <v>6053</v>
      </c>
    </row>
    <row r="23" spans="1:17" ht="70.900000000000006" x14ac:dyDescent="0.35">
      <c r="A23" s="1342">
        <v>22</v>
      </c>
      <c r="B23" s="2346" t="str">
        <f t="shared" si="0"/>
        <v/>
      </c>
      <c r="C23" s="2349" t="s">
        <v>3897</v>
      </c>
      <c r="D23" s="1338" t="s">
        <v>6076</v>
      </c>
      <c r="E23" s="2364">
        <f t="shared" ref="E23:J23" si="4">MAX(0,(E14+E15)-(E10+E11+E12))</f>
        <v>0</v>
      </c>
      <c r="F23" s="2364">
        <f t="shared" si="4"/>
        <v>0</v>
      </c>
      <c r="G23" s="2364">
        <f t="shared" si="4"/>
        <v>0</v>
      </c>
      <c r="H23" s="2364">
        <f t="shared" si="4"/>
        <v>0</v>
      </c>
      <c r="I23" s="2364">
        <f t="shared" si="4"/>
        <v>5500</v>
      </c>
      <c r="J23" s="2364">
        <f t="shared" si="4"/>
        <v>62547</v>
      </c>
      <c r="K23" s="2370"/>
      <c r="L23" s="2370"/>
      <c r="M23" s="2370"/>
      <c r="N23" s="2371"/>
      <c r="O23" s="1503"/>
      <c r="P23" s="2282" t="s">
        <v>6654</v>
      </c>
      <c r="Q23" s="1793" t="s">
        <v>6054</v>
      </c>
    </row>
    <row r="24" spans="1:17" ht="20.25" x14ac:dyDescent="0.35">
      <c r="A24" s="1342">
        <v>23</v>
      </c>
      <c r="B24" s="2346" t="str">
        <f t="shared" si="0"/>
        <v/>
      </c>
      <c r="C24" s="2361" t="s">
        <v>3977</v>
      </c>
      <c r="D24" s="1338" t="s">
        <v>6077</v>
      </c>
      <c r="E24" s="2362"/>
      <c r="F24" s="2362"/>
      <c r="G24" s="2362"/>
      <c r="H24" s="2362"/>
      <c r="I24" s="2362">
        <v>5500</v>
      </c>
      <c r="J24" s="2362">
        <v>62547</v>
      </c>
      <c r="K24" s="2370"/>
      <c r="L24" s="2370"/>
      <c r="M24" s="2370"/>
      <c r="N24" s="2371"/>
      <c r="O24" s="1503"/>
      <c r="P24" s="2282" t="s">
        <v>6617</v>
      </c>
      <c r="Q24" s="1793" t="s">
        <v>6055</v>
      </c>
    </row>
    <row r="25" spans="1:17" ht="20.25" x14ac:dyDescent="0.35">
      <c r="A25" s="1342">
        <v>24</v>
      </c>
      <c r="B25" s="2346" t="str">
        <f t="shared" si="0"/>
        <v/>
      </c>
      <c r="C25" s="2349" t="s">
        <v>3978</v>
      </c>
      <c r="D25" s="1338" t="s">
        <v>5926</v>
      </c>
      <c r="E25" s="2358"/>
      <c r="F25" s="2358"/>
      <c r="G25" s="2358"/>
      <c r="H25" s="2358"/>
      <c r="I25" s="2358"/>
      <c r="J25" s="2358"/>
      <c r="K25" s="2370"/>
      <c r="L25" s="2370"/>
      <c r="M25" s="2370"/>
      <c r="N25" s="2371"/>
      <c r="O25" s="1503"/>
      <c r="P25" s="2282" t="s">
        <v>6654</v>
      </c>
      <c r="Q25" s="1793" t="s">
        <v>6056</v>
      </c>
    </row>
    <row r="26" spans="1:17" ht="12.75" x14ac:dyDescent="0.35">
      <c r="A26" s="1342">
        <v>25</v>
      </c>
      <c r="B26" s="2346" t="str">
        <f t="shared" si="0"/>
        <v/>
      </c>
      <c r="C26" s="2349" t="s">
        <v>3979</v>
      </c>
      <c r="D26" s="1338" t="s">
        <v>6078</v>
      </c>
      <c r="E26" s="2358"/>
      <c r="F26" s="2358"/>
      <c r="G26" s="2358"/>
      <c r="H26" s="2358"/>
      <c r="I26" s="2358"/>
      <c r="J26" s="2358"/>
      <c r="K26" s="2370"/>
      <c r="L26" s="2370"/>
      <c r="M26" s="2370"/>
      <c r="N26" s="2371"/>
      <c r="O26" s="1503"/>
      <c r="P26" s="2282" t="s">
        <v>6654</v>
      </c>
      <c r="Q26" s="1793"/>
    </row>
    <row r="27" spans="1:17" ht="13.15" x14ac:dyDescent="0.35">
      <c r="A27" s="1342">
        <v>26</v>
      </c>
      <c r="B27" s="2346" t="str">
        <f t="shared" si="0"/>
        <v/>
      </c>
      <c r="C27" s="2361" t="s">
        <v>3980</v>
      </c>
      <c r="D27" s="1338" t="str">
        <f>"If your total profits for "&amp;tax_year&amp;" are less than "&amp;DOLLAR(NIC2_SPT,0)&amp;" and you choose to pay Class 2 NICs voluntarily, put 'X' in the box"</f>
        <v>If your total profits for 2017-18 are less than £6,025 and you choose to pay Class 2 NICs voluntarily, put 'X' in the box</v>
      </c>
      <c r="E27" s="2366" t="str">
        <f t="shared" ref="E27:J27" si="5">IF(PS_A_IND&gt;1,IF(SE_A_IND&gt;1,"",IF(SE_B_IND&gt;1,"",IF(LUN_IND&gt;1,"",IF(PS_B_IND&gt;1,"",IF(AND(E22&lt;NIC2_SPT,NIC2_Vol,NIC_exempt=FALSE),"Y","N"))))),"")</f>
        <v/>
      </c>
      <c r="F27" s="2366" t="str">
        <f t="shared" si="5"/>
        <v/>
      </c>
      <c r="G27" s="2366" t="str">
        <f t="shared" si="5"/>
        <v/>
      </c>
      <c r="H27" s="2366" t="str">
        <f t="shared" si="5"/>
        <v/>
      </c>
      <c r="I27" s="2366" t="str">
        <f t="shared" si="5"/>
        <v/>
      </c>
      <c r="J27" s="2366" t="str">
        <f t="shared" si="5"/>
        <v/>
      </c>
      <c r="K27" s="2370"/>
      <c r="L27" s="2370"/>
      <c r="M27" s="2370"/>
      <c r="N27" s="2371"/>
      <c r="O27" s="1503"/>
      <c r="P27" s="2282" t="s">
        <v>6620</v>
      </c>
      <c r="Q27" s="1502"/>
    </row>
    <row r="28" spans="1:17" ht="13.15" x14ac:dyDescent="0.35">
      <c r="A28" s="1342">
        <v>27</v>
      </c>
      <c r="B28" s="2346" t="str">
        <f t="shared" si="0"/>
        <v/>
      </c>
      <c r="C28" s="2361" t="s">
        <v>3981</v>
      </c>
      <c r="D28" s="1338" t="s">
        <v>6587</v>
      </c>
      <c r="E28" s="2366" t="str">
        <f t="shared" ref="E28:J28" si="6">IF(PS_A_IND&gt;1,IF(LUN_IND&gt;1,"",IF(SE_B_IND&gt;1,"",IF(SE_A_IND&gt;1,"",IF(NIC_exempt,"Y","N")))),"")</f>
        <v/>
      </c>
      <c r="F28" s="2366" t="str">
        <f t="shared" si="6"/>
        <v/>
      </c>
      <c r="G28" s="2366" t="str">
        <f t="shared" si="6"/>
        <v/>
      </c>
      <c r="H28" s="2366" t="str">
        <f t="shared" si="6"/>
        <v/>
      </c>
      <c r="I28" s="2366" t="str">
        <f t="shared" si="6"/>
        <v/>
      </c>
      <c r="J28" s="2366" t="str">
        <f t="shared" si="6"/>
        <v/>
      </c>
      <c r="K28" s="2370"/>
      <c r="L28" s="2370"/>
      <c r="M28" s="2370"/>
      <c r="N28" s="2371"/>
      <c r="O28" s="1503"/>
      <c r="P28" s="2282" t="s">
        <v>6620</v>
      </c>
      <c r="Q28" s="1502"/>
    </row>
    <row r="29" spans="1:17" ht="12.75" x14ac:dyDescent="0.35">
      <c r="A29" s="1342">
        <v>28</v>
      </c>
      <c r="B29" s="2346" t="str">
        <f t="shared" si="0"/>
        <v/>
      </c>
      <c r="C29" s="2361" t="s">
        <v>3982</v>
      </c>
      <c r="D29" s="1338" t="s">
        <v>6586</v>
      </c>
      <c r="E29" s="2362"/>
      <c r="F29" s="2362"/>
      <c r="G29" s="2362"/>
      <c r="H29" s="2362">
        <v>16512</v>
      </c>
      <c r="I29" s="2362"/>
      <c r="J29" s="2362"/>
      <c r="K29" s="2370"/>
      <c r="L29" s="2370"/>
      <c r="M29" s="2370"/>
      <c r="N29" s="2371"/>
      <c r="O29" s="1503"/>
      <c r="P29" s="2282" t="s">
        <v>6617</v>
      </c>
      <c r="Q29" s="1793" t="s">
        <v>6057</v>
      </c>
    </row>
    <row r="30" spans="1:17" ht="13.15" x14ac:dyDescent="0.35">
      <c r="A30" s="1342">
        <v>29</v>
      </c>
      <c r="B30" s="2346" t="str">
        <f t="shared" si="0"/>
        <v/>
      </c>
      <c r="C30" s="2361" t="s">
        <v>3983</v>
      </c>
      <c r="D30" s="1338" t="s">
        <v>6582</v>
      </c>
      <c r="E30" s="2694">
        <v>322</v>
      </c>
      <c r="F30" s="2694"/>
      <c r="G30" s="2694"/>
      <c r="H30" s="2694">
        <v>1540</v>
      </c>
      <c r="I30" s="2694">
        <v>1540</v>
      </c>
      <c r="J30" s="2362"/>
      <c r="K30" s="2370"/>
      <c r="L30" s="2370"/>
      <c r="M30" s="2370"/>
      <c r="N30" s="2371"/>
      <c r="O30" s="1503"/>
      <c r="P30" s="2282" t="s">
        <v>6617</v>
      </c>
      <c r="Q30" s="1502"/>
    </row>
    <row r="31" spans="1:17" ht="13.15" x14ac:dyDescent="0.35">
      <c r="A31" s="1342">
        <v>30</v>
      </c>
      <c r="B31" s="2346" t="str">
        <f t="shared" si="0"/>
        <v/>
      </c>
      <c r="C31" s="2695" t="s">
        <v>3984</v>
      </c>
      <c r="D31" s="2696" t="s">
        <v>6266</v>
      </c>
      <c r="E31" s="2697"/>
      <c r="F31" s="2697"/>
      <c r="G31" s="2697"/>
      <c r="H31" s="2697"/>
      <c r="I31" s="2697"/>
      <c r="J31" s="2697"/>
      <c r="K31" s="1248"/>
      <c r="L31" s="1248"/>
      <c r="M31" s="1248"/>
      <c r="N31" s="2698"/>
      <c r="O31" s="1503"/>
      <c r="P31" s="2282" t="s">
        <v>6617</v>
      </c>
      <c r="Q31" s="1502"/>
    </row>
    <row r="32" spans="1:17" ht="13.15" x14ac:dyDescent="0.35">
      <c r="A32" s="1342">
        <v>31</v>
      </c>
      <c r="B32" s="2346" t="str">
        <f t="shared" si="0"/>
        <v/>
      </c>
      <c r="C32" s="2361" t="s">
        <v>1643</v>
      </c>
      <c r="D32" s="1338" t="s">
        <v>6583</v>
      </c>
      <c r="E32" s="2362"/>
      <c r="F32" s="2362"/>
      <c r="G32" s="2362"/>
      <c r="H32" s="2362"/>
      <c r="I32" s="2362">
        <v>469</v>
      </c>
      <c r="J32" s="2362"/>
      <c r="K32" s="2370"/>
      <c r="L32" s="2370"/>
      <c r="M32" s="2370"/>
      <c r="N32" s="2371"/>
      <c r="O32" s="1503"/>
      <c r="P32" s="2282" t="s">
        <v>6654</v>
      </c>
      <c r="Q32" s="1502"/>
    </row>
    <row r="33" spans="1:17" ht="13.15" x14ac:dyDescent="0.35">
      <c r="A33" s="1342">
        <v>32</v>
      </c>
      <c r="B33" s="2346" t="str">
        <f t="shared" si="0"/>
        <v/>
      </c>
      <c r="C33" s="2361" t="s">
        <v>2552</v>
      </c>
      <c r="D33" s="1338" t="s">
        <v>6584</v>
      </c>
      <c r="E33" s="2362"/>
      <c r="F33" s="2362"/>
      <c r="G33" s="2362"/>
      <c r="H33" s="2362">
        <v>5640</v>
      </c>
      <c r="I33" s="2362"/>
      <c r="J33" s="2362"/>
      <c r="K33" s="2370"/>
      <c r="L33" s="2370"/>
      <c r="M33" s="2370"/>
      <c r="N33" s="2371"/>
      <c r="O33" s="1503"/>
      <c r="P33" s="2282" t="s">
        <v>6654</v>
      </c>
      <c r="Q33" s="1502"/>
    </row>
    <row r="34" spans="1:17" ht="13.5" thickBot="1" x14ac:dyDescent="0.4">
      <c r="A34" s="1342">
        <v>33</v>
      </c>
      <c r="B34" s="2346" t="str">
        <f t="shared" si="0"/>
        <v/>
      </c>
      <c r="C34" s="2367" t="s">
        <v>2553</v>
      </c>
      <c r="D34" s="2368" t="s">
        <v>6585</v>
      </c>
      <c r="E34" s="2369"/>
      <c r="F34" s="2369"/>
      <c r="G34" s="2369"/>
      <c r="H34" s="2369"/>
      <c r="I34" s="2369"/>
      <c r="J34" s="2369"/>
      <c r="K34" s="2372"/>
      <c r="L34" s="2372"/>
      <c r="M34" s="2372"/>
      <c r="N34" s="2373"/>
      <c r="O34" s="1503"/>
      <c r="P34" s="2282" t="s">
        <v>6621</v>
      </c>
      <c r="Q34" s="1502"/>
    </row>
    <row r="35" spans="1:17" ht="12" thickBot="1" x14ac:dyDescent="0.4"/>
    <row r="36" spans="1:17" ht="13.15" x14ac:dyDescent="0.4">
      <c r="A36" s="1342" t="s">
        <v>4845</v>
      </c>
      <c r="B36" s="676" t="s">
        <v>4210</v>
      </c>
      <c r="C36" s="2141" t="s">
        <v>3564</v>
      </c>
      <c r="D36" s="1729"/>
      <c r="E36" s="1348">
        <v>1</v>
      </c>
      <c r="F36" s="1348">
        <v>2</v>
      </c>
      <c r="G36" s="1348">
        <v>3</v>
      </c>
      <c r="H36" s="1348">
        <v>4</v>
      </c>
      <c r="I36" s="1348">
        <v>5</v>
      </c>
      <c r="J36" s="1348">
        <v>6</v>
      </c>
      <c r="K36" s="1348">
        <v>7</v>
      </c>
      <c r="L36" s="1348">
        <v>8</v>
      </c>
      <c r="M36" s="1348">
        <v>9</v>
      </c>
      <c r="N36" s="1348">
        <v>10</v>
      </c>
      <c r="O36" s="1503"/>
      <c r="P36" s="2374" t="s">
        <v>6613</v>
      </c>
      <c r="Q36" s="1502" t="s">
        <v>5460</v>
      </c>
    </row>
    <row r="37" spans="1:17" ht="70.900000000000006" x14ac:dyDescent="0.35">
      <c r="A37" s="1342">
        <v>2</v>
      </c>
      <c r="B37" s="1708" t="str">
        <f>IF(PS_B_IND&gt;1,'C1'!B110,"")</f>
        <v/>
      </c>
      <c r="C37" s="2142" t="s">
        <v>1644</v>
      </c>
      <c r="D37" s="1712" t="s">
        <v>6058</v>
      </c>
      <c r="E37" s="2143"/>
      <c r="F37" s="2143"/>
      <c r="G37" s="2144"/>
      <c r="H37" s="2144"/>
      <c r="I37" s="2144"/>
      <c r="J37" s="2144"/>
      <c r="K37" s="2144"/>
      <c r="L37" s="2144"/>
      <c r="M37" s="2144"/>
      <c r="N37" s="2144"/>
      <c r="O37" s="1503"/>
      <c r="P37" s="2282" t="s">
        <v>6615</v>
      </c>
      <c r="Q37" s="1793" t="s">
        <v>6083</v>
      </c>
    </row>
    <row r="38" spans="1:17" ht="12.75" x14ac:dyDescent="0.35">
      <c r="A38" s="1342">
        <v>3</v>
      </c>
      <c r="B38" s="2140" t="str">
        <f t="shared" ref="B38:B68" si="7">IF(PS_B_IND&gt;1,IF(HLOOKUP(PS_B_IND-1,FPS_RANGE,A38)="","",HLOOKUP(PS_B_IND-1,FPS_RANGE,A38)),"")</f>
        <v/>
      </c>
      <c r="C38" s="2142" t="s">
        <v>1645</v>
      </c>
      <c r="D38" s="1712" t="s">
        <v>6059</v>
      </c>
      <c r="E38" s="1716" t="s">
        <v>1223</v>
      </c>
      <c r="F38" s="1714" t="s">
        <v>1224</v>
      </c>
      <c r="G38" s="1715" t="s">
        <v>2544</v>
      </c>
      <c r="H38" s="1715" t="s">
        <v>2847</v>
      </c>
      <c r="I38" s="1715" t="s">
        <v>3619</v>
      </c>
      <c r="J38" s="1715" t="s">
        <v>3620</v>
      </c>
      <c r="K38" s="1715" t="s">
        <v>3732</v>
      </c>
      <c r="L38" s="1715" t="s">
        <v>833</v>
      </c>
      <c r="M38" s="1715" t="s">
        <v>6589</v>
      </c>
      <c r="N38" s="1715" t="s">
        <v>6590</v>
      </c>
      <c r="O38" s="1503"/>
      <c r="P38" s="2282" t="s">
        <v>6621</v>
      </c>
      <c r="Q38" s="1793" t="s">
        <v>5523</v>
      </c>
    </row>
    <row r="39" spans="1:17" ht="12.75" x14ac:dyDescent="0.35">
      <c r="A39" s="1342">
        <v>4</v>
      </c>
      <c r="B39" s="2140" t="str">
        <f t="shared" si="7"/>
        <v/>
      </c>
      <c r="C39" s="2142" t="s">
        <v>1646</v>
      </c>
      <c r="D39" s="1712" t="s">
        <v>6060</v>
      </c>
      <c r="E39" s="2145" t="str">
        <f>"06/04/"&amp;Tax_year_start</f>
        <v>06/04/2017</v>
      </c>
      <c r="F39" s="1749"/>
      <c r="G39" s="2146"/>
      <c r="H39" s="2146"/>
      <c r="I39" s="2146"/>
      <c r="J39" s="2146"/>
      <c r="K39" s="2146"/>
      <c r="L39" s="2146"/>
      <c r="M39" s="2146"/>
      <c r="N39" s="2146"/>
      <c r="O39" s="1503"/>
      <c r="P39" s="2282" t="s">
        <v>6656</v>
      </c>
      <c r="Q39" s="1793" t="s">
        <v>6084</v>
      </c>
    </row>
    <row r="40" spans="1:17" ht="30.4" x14ac:dyDescent="0.35">
      <c r="A40" s="1342">
        <v>5</v>
      </c>
      <c r="B40" s="2140" t="str">
        <f t="shared" si="7"/>
        <v/>
      </c>
      <c r="C40" s="2142" t="s">
        <v>1647</v>
      </c>
      <c r="D40" s="1712" t="s">
        <v>6061</v>
      </c>
      <c r="E40" s="2147"/>
      <c r="F40" s="1749"/>
      <c r="G40" s="2145" t="str">
        <f>"30/09/"&amp;Tax_year_start</f>
        <v>30/09/2017</v>
      </c>
      <c r="H40" s="1749"/>
      <c r="I40" s="1749"/>
      <c r="J40" s="1749"/>
      <c r="K40" s="1749"/>
      <c r="L40" s="1749"/>
      <c r="M40" s="1749"/>
      <c r="N40" s="1749"/>
      <c r="O40" s="1503"/>
      <c r="P40" s="2282" t="s">
        <v>6656</v>
      </c>
      <c r="Q40" s="1793" t="s">
        <v>6085</v>
      </c>
    </row>
    <row r="41" spans="1:17" ht="12.75" x14ac:dyDescent="0.35">
      <c r="A41" s="1342">
        <v>6</v>
      </c>
      <c r="B41" s="2140" t="str">
        <f t="shared" si="7"/>
        <v/>
      </c>
      <c r="C41" s="2142" t="s">
        <v>1648</v>
      </c>
      <c r="D41" s="1712" t="s">
        <v>5901</v>
      </c>
      <c r="E41" s="2148" t="s">
        <v>1237</v>
      </c>
      <c r="F41" s="2148" t="s">
        <v>1237</v>
      </c>
      <c r="G41" s="2148" t="s">
        <v>1237</v>
      </c>
      <c r="H41" s="2148" t="s">
        <v>1237</v>
      </c>
      <c r="I41" s="2148" t="s">
        <v>583</v>
      </c>
      <c r="J41" s="2148" t="s">
        <v>1237</v>
      </c>
      <c r="K41" s="2148" t="s">
        <v>1237</v>
      </c>
      <c r="L41" s="2148" t="s">
        <v>1237</v>
      </c>
      <c r="M41" s="2148" t="s">
        <v>1237</v>
      </c>
      <c r="N41" s="2148" t="s">
        <v>1237</v>
      </c>
      <c r="O41" s="1503"/>
      <c r="P41" s="2282" t="s">
        <v>6620</v>
      </c>
      <c r="Q41" s="1793"/>
    </row>
    <row r="42" spans="1:17" ht="12.75" x14ac:dyDescent="0.35">
      <c r="A42" s="1342">
        <v>7</v>
      </c>
      <c r="B42" s="2140" t="str">
        <f t="shared" si="7"/>
        <v/>
      </c>
      <c r="C42" s="2142" t="s">
        <v>1649</v>
      </c>
      <c r="D42" s="1712" t="s">
        <v>6062</v>
      </c>
      <c r="E42" s="2145" t="str">
        <f>"06/04/"&amp;Tax_year_start</f>
        <v>06/04/2017</v>
      </c>
      <c r="F42" s="2145" t="str">
        <f>"06/04/"&amp;Tax_year_start</f>
        <v>06/04/2017</v>
      </c>
      <c r="G42" s="2145" t="str">
        <f>"06/04/"&amp;Tax_year_start</f>
        <v>06/04/2017</v>
      </c>
      <c r="H42" s="2145" t="str">
        <f>"01/04/"&amp;Tax_year_start</f>
        <v>01/04/2017</v>
      </c>
      <c r="I42" s="2145" t="str">
        <f>"06/04/"&amp;Tax_year_start</f>
        <v>06/04/2017</v>
      </c>
      <c r="J42" s="2145" t="str">
        <f>"06/04/"&amp;Tax_year_start</f>
        <v>06/04/2017</v>
      </c>
      <c r="K42" s="2145" t="str">
        <f>"06/04/"&amp;Tax_year_start</f>
        <v>06/04/2017</v>
      </c>
      <c r="L42" s="2145" t="str">
        <f>"06/04/"&amp;Tax_year_start</f>
        <v>06/04/2017</v>
      </c>
      <c r="M42" s="2145" t="str">
        <f>"06/04/"&amp;Tax_year_start</f>
        <v>06/04/2017</v>
      </c>
      <c r="N42" s="2145" t="str">
        <f>"01/01/"&amp;Tax_year_start</f>
        <v>01/01/2017</v>
      </c>
      <c r="O42" s="1503"/>
      <c r="P42" s="2282" t="s">
        <v>6656</v>
      </c>
      <c r="Q42" s="1793"/>
    </row>
    <row r="43" spans="1:17" ht="30.4" x14ac:dyDescent="0.35">
      <c r="A43" s="1342">
        <v>8</v>
      </c>
      <c r="B43" s="2140" t="str">
        <f t="shared" si="7"/>
        <v/>
      </c>
      <c r="C43" s="2142" t="s">
        <v>1650</v>
      </c>
      <c r="D43" s="1712" t="s">
        <v>6063</v>
      </c>
      <c r="E43" s="2145" t="str">
        <f>"05/04/"&amp;Tax_year_end</f>
        <v>05/04/2018</v>
      </c>
      <c r="F43" s="2145" t="str">
        <f>"05/04/"&amp;Tax_year_end</f>
        <v>05/04/2018</v>
      </c>
      <c r="G43" s="2145" t="str">
        <f>"30/09/"&amp;Tax_year_start</f>
        <v>30/09/2017</v>
      </c>
      <c r="H43" s="2145" t="str">
        <f>"31/03/"&amp;Tax_year_end</f>
        <v>31/03/2018</v>
      </c>
      <c r="I43" s="2145" t="str">
        <f>"05/04/"&amp;Tax_year_end</f>
        <v>05/04/2018</v>
      </c>
      <c r="J43" s="2145" t="str">
        <f>"05/04/"&amp;Tax_year_end</f>
        <v>05/04/2018</v>
      </c>
      <c r="K43" s="2145" t="str">
        <f>"05/04/"&amp;Tax_year_end</f>
        <v>05/04/2018</v>
      </c>
      <c r="L43" s="2145" t="str">
        <f>"05/04/"&amp;Tax_year_end</f>
        <v>05/04/2018</v>
      </c>
      <c r="M43" s="2145" t="str">
        <f>"05/04/"&amp;Tax_year_end</f>
        <v>05/04/2018</v>
      </c>
      <c r="N43" s="2145" t="str">
        <f>"31/12/"&amp;Tax_year_start</f>
        <v>31/12/2017</v>
      </c>
      <c r="O43" s="1503"/>
      <c r="P43" s="2282" t="s">
        <v>6656</v>
      </c>
      <c r="Q43" s="1793" t="s">
        <v>6086</v>
      </c>
    </row>
    <row r="44" spans="1:17" ht="12.75" x14ac:dyDescent="0.35">
      <c r="A44" s="1342">
        <v>9</v>
      </c>
      <c r="B44" s="2140" t="str">
        <f t="shared" si="7"/>
        <v/>
      </c>
      <c r="C44" s="2142" t="s">
        <v>1651</v>
      </c>
      <c r="D44" s="1712" t="s">
        <v>6064</v>
      </c>
      <c r="E44" s="2149">
        <v>62952</v>
      </c>
      <c r="F44" s="2150">
        <v>-3621</v>
      </c>
      <c r="G44" s="2149">
        <v>105602</v>
      </c>
      <c r="H44" s="2149">
        <v>222960</v>
      </c>
      <c r="I44" s="2149">
        <v>15515</v>
      </c>
      <c r="J44" s="2149">
        <v>11023</v>
      </c>
      <c r="K44" s="2151">
        <v>-53000</v>
      </c>
      <c r="L44" s="2151">
        <v>490000</v>
      </c>
      <c r="M44" s="2151">
        <v>-5995</v>
      </c>
      <c r="N44" s="2151">
        <v>8903</v>
      </c>
      <c r="O44" s="1503"/>
      <c r="P44" s="2282" t="s">
        <v>6619</v>
      </c>
      <c r="Q44" s="1793"/>
    </row>
    <row r="45" spans="1:17" ht="12.75" x14ac:dyDescent="0.35">
      <c r="A45" s="1342">
        <v>10</v>
      </c>
      <c r="B45" s="2140" t="str">
        <f t="shared" si="7"/>
        <v/>
      </c>
      <c r="C45" s="2142" t="s">
        <v>1652</v>
      </c>
      <c r="D45" s="1712" t="s">
        <v>6065</v>
      </c>
      <c r="E45" s="2149"/>
      <c r="F45" s="2149"/>
      <c r="G45" s="2150"/>
      <c r="H45" s="2150">
        <v>-44592</v>
      </c>
      <c r="I45" s="2150"/>
      <c r="J45" s="2150"/>
      <c r="K45" s="2150"/>
      <c r="L45" s="2150"/>
      <c r="M45" s="2150"/>
      <c r="N45" s="2150"/>
      <c r="O45" s="1503"/>
      <c r="P45" s="2282" t="s">
        <v>6619</v>
      </c>
      <c r="Q45" s="1793"/>
    </row>
    <row r="46" spans="1:17" ht="12.75" x14ac:dyDescent="0.35">
      <c r="A46" s="1342">
        <v>11</v>
      </c>
      <c r="B46" s="2140" t="str">
        <f t="shared" si="7"/>
        <v/>
      </c>
      <c r="C46" s="2142" t="s">
        <v>1653</v>
      </c>
      <c r="D46" s="1712" t="s">
        <v>6066</v>
      </c>
      <c r="E46" s="2149"/>
      <c r="F46" s="2149"/>
      <c r="G46" s="2149"/>
      <c r="H46" s="2149">
        <v>11560</v>
      </c>
      <c r="I46" s="2149"/>
      <c r="J46" s="2149"/>
      <c r="K46" s="2149"/>
      <c r="L46" s="2149"/>
      <c r="M46" s="2149"/>
      <c r="N46" s="2149"/>
      <c r="O46" s="1503"/>
      <c r="P46" s="2282" t="s">
        <v>6657</v>
      </c>
      <c r="Q46" s="1793"/>
    </row>
    <row r="47" spans="1:17" ht="12.75" x14ac:dyDescent="0.35">
      <c r="A47" s="1342">
        <v>12</v>
      </c>
      <c r="B47" s="2140" t="str">
        <f t="shared" si="7"/>
        <v/>
      </c>
      <c r="C47" s="2142" t="s">
        <v>1654</v>
      </c>
      <c r="D47" s="1712" t="s">
        <v>6067</v>
      </c>
      <c r="E47" s="2149"/>
      <c r="F47" s="2149"/>
      <c r="G47" s="2149"/>
      <c r="H47" s="2149"/>
      <c r="I47" s="2149"/>
      <c r="J47" s="2149"/>
      <c r="K47" s="2149"/>
      <c r="L47" s="2149"/>
      <c r="M47" s="2149"/>
      <c r="N47" s="2149"/>
      <c r="O47" s="1503"/>
      <c r="P47" s="2282" t="s">
        <v>6619</v>
      </c>
      <c r="Q47" s="1793"/>
    </row>
    <row r="48" spans="1:17" ht="12.75" x14ac:dyDescent="0.35">
      <c r="A48" s="1342">
        <v>13</v>
      </c>
      <c r="B48" s="2140" t="str">
        <f t="shared" si="7"/>
        <v/>
      </c>
      <c r="C48" s="2142" t="s">
        <v>1655</v>
      </c>
      <c r="D48" s="1712" t="s">
        <v>6112</v>
      </c>
      <c r="E48" s="2149"/>
      <c r="F48" s="2149"/>
      <c r="G48" s="2149"/>
      <c r="H48" s="2149">
        <v>1263</v>
      </c>
      <c r="I48" s="2149"/>
      <c r="J48" s="2149"/>
      <c r="K48" s="2149"/>
      <c r="L48" s="2149"/>
      <c r="M48" s="2149"/>
      <c r="N48" s="2149"/>
      <c r="O48" s="1503"/>
      <c r="P48" s="2282" t="s">
        <v>6617</v>
      </c>
      <c r="Q48" s="1793"/>
    </row>
    <row r="49" spans="1:17" ht="12.75" x14ac:dyDescent="0.35">
      <c r="A49" s="1342">
        <v>14</v>
      </c>
      <c r="B49" s="2140" t="str">
        <f t="shared" si="7"/>
        <v/>
      </c>
      <c r="C49" s="2142" t="s">
        <v>1656</v>
      </c>
      <c r="D49" s="1712" t="s">
        <v>6069</v>
      </c>
      <c r="E49" s="2152"/>
      <c r="F49" s="2152"/>
      <c r="G49" s="2152">
        <v>5645</v>
      </c>
      <c r="H49" s="2152"/>
      <c r="I49" s="2152"/>
      <c r="J49" s="2152"/>
      <c r="K49" s="2152"/>
      <c r="L49" s="2152"/>
      <c r="M49" s="2152"/>
      <c r="N49" s="2152"/>
      <c r="O49" s="1503"/>
      <c r="P49" s="2282" t="s">
        <v>6617</v>
      </c>
      <c r="Q49" s="1793"/>
    </row>
    <row r="50" spans="1:17" ht="12.75" x14ac:dyDescent="0.35">
      <c r="A50" s="1342">
        <v>15</v>
      </c>
      <c r="B50" s="2140" t="str">
        <f t="shared" si="7"/>
        <v/>
      </c>
      <c r="C50" s="2142" t="s">
        <v>1657</v>
      </c>
      <c r="D50" s="1712" t="s">
        <v>6070</v>
      </c>
      <c r="E50" s="2149"/>
      <c r="F50" s="2149"/>
      <c r="G50" s="2149"/>
      <c r="H50" s="2149"/>
      <c r="I50" s="2149"/>
      <c r="J50" s="2149"/>
      <c r="K50" s="2149"/>
      <c r="L50" s="2149"/>
      <c r="M50" s="2149"/>
      <c r="N50" s="2149"/>
      <c r="O50" s="1503"/>
      <c r="P50" s="2282" t="s">
        <v>6654</v>
      </c>
      <c r="Q50" s="1793"/>
    </row>
    <row r="51" spans="1:17" ht="12.75" x14ac:dyDescent="0.35">
      <c r="A51" s="3407">
        <v>16</v>
      </c>
      <c r="B51" s="3422"/>
      <c r="C51" s="3423" t="s">
        <v>1658</v>
      </c>
      <c r="D51" s="3410" t="s">
        <v>6071</v>
      </c>
      <c r="E51" s="3735"/>
      <c r="F51" s="3735"/>
      <c r="G51" s="3735"/>
      <c r="H51" s="3735"/>
      <c r="I51" s="3735"/>
      <c r="J51" s="3735"/>
      <c r="K51" s="3735"/>
      <c r="L51" s="3735"/>
      <c r="M51" s="3735"/>
      <c r="N51" s="3735"/>
      <c r="O51" s="3335"/>
      <c r="P51" s="3411" t="s">
        <v>6654</v>
      </c>
      <c r="Q51" s="3412"/>
    </row>
    <row r="52" spans="1:17" ht="70.900000000000006" x14ac:dyDescent="0.35">
      <c r="A52" s="1342">
        <v>17</v>
      </c>
      <c r="B52" s="2140" t="str">
        <f t="shared" si="7"/>
        <v/>
      </c>
      <c r="C52" s="2142" t="s">
        <v>1659</v>
      </c>
      <c r="D52" s="1712" t="s">
        <v>6113</v>
      </c>
      <c r="E52" s="2153">
        <f t="shared" ref="E52:M52" si="8">IF(E44+E45+E46-(E48+E49)&gt;0,E44+E45+E46+E47-(E48+E49),E47)</f>
        <v>62952</v>
      </c>
      <c r="F52" s="2153">
        <f t="shared" si="8"/>
        <v>0</v>
      </c>
      <c r="G52" s="2153">
        <f t="shared" si="8"/>
        <v>99957</v>
      </c>
      <c r="H52" s="2153">
        <f t="shared" si="8"/>
        <v>188665</v>
      </c>
      <c r="I52" s="2153">
        <f>IF(I44+I45+I46-(I48+I49)&gt;0,I44+I45+I46+I47-(I48+I49),I47)</f>
        <v>15515</v>
      </c>
      <c r="J52" s="2153">
        <f t="shared" si="8"/>
        <v>11023</v>
      </c>
      <c r="K52" s="2153">
        <f>IF(K44+K45+K46-(K48+K49)&gt;0,K44+K45+K46+K47-(K48+K49),K47)</f>
        <v>0</v>
      </c>
      <c r="L52" s="2153">
        <f>IF(L44+L45+L46-(L48+L49)&gt;0,L44+L45+L46+L47-(L48+L49),L47)</f>
        <v>490000</v>
      </c>
      <c r="M52" s="2153">
        <f t="shared" si="8"/>
        <v>0</v>
      </c>
      <c r="N52" s="2153">
        <f>IF(N44+N45+N46-(N48+N49)&gt;0,N44+N45+N46+N47-(N48+N49),N47)</f>
        <v>8903</v>
      </c>
      <c r="O52" s="1503"/>
      <c r="P52" s="2282" t="s">
        <v>6654</v>
      </c>
      <c r="Q52" s="1793" t="s">
        <v>6087</v>
      </c>
    </row>
    <row r="53" spans="1:17" ht="12.75" x14ac:dyDescent="0.35">
      <c r="A53" s="1342">
        <v>18</v>
      </c>
      <c r="B53" s="2140" t="str">
        <f t="shared" si="7"/>
        <v/>
      </c>
      <c r="C53" s="2142" t="s">
        <v>1660</v>
      </c>
      <c r="D53" s="1712" t="s">
        <v>6073</v>
      </c>
      <c r="E53" s="2152"/>
      <c r="F53" s="2318"/>
      <c r="G53" s="2152">
        <v>10152</v>
      </c>
      <c r="H53" s="2152"/>
      <c r="I53" s="2152">
        <v>2805</v>
      </c>
      <c r="J53" s="2152"/>
      <c r="K53" s="2318"/>
      <c r="L53" s="2152"/>
      <c r="M53" s="2152"/>
      <c r="N53" s="2152"/>
      <c r="O53" s="1503"/>
      <c r="P53" s="2282" t="s">
        <v>6617</v>
      </c>
      <c r="Q53" s="1793" t="s">
        <v>6088</v>
      </c>
    </row>
    <row r="54" spans="1:17" ht="12.75" x14ac:dyDescent="0.35">
      <c r="A54" s="1342">
        <v>19</v>
      </c>
      <c r="B54" s="2140" t="str">
        <f t="shared" si="7"/>
        <v/>
      </c>
      <c r="C54" s="2142" t="s">
        <v>1661</v>
      </c>
      <c r="D54" s="1712" t="s">
        <v>6074</v>
      </c>
      <c r="E54" s="2153">
        <f t="shared" ref="E54:L54" si="9">MAX(0,E52-E53)</f>
        <v>62952</v>
      </c>
      <c r="F54" s="2153">
        <f t="shared" si="9"/>
        <v>0</v>
      </c>
      <c r="G54" s="2153">
        <f t="shared" si="9"/>
        <v>89805</v>
      </c>
      <c r="H54" s="2153">
        <f t="shared" si="9"/>
        <v>188665</v>
      </c>
      <c r="I54" s="2153">
        <f t="shared" si="9"/>
        <v>12710</v>
      </c>
      <c r="J54" s="2153">
        <f t="shared" si="9"/>
        <v>11023</v>
      </c>
      <c r="K54" s="2153">
        <f>MAX(0,K52-K53)</f>
        <v>0</v>
      </c>
      <c r="L54" s="2153">
        <f t="shared" si="9"/>
        <v>490000</v>
      </c>
      <c r="M54" s="2153">
        <v>0</v>
      </c>
      <c r="N54" s="2153">
        <f>MAX(0,N52-N53)</f>
        <v>8903</v>
      </c>
      <c r="O54" s="1503"/>
      <c r="P54" s="2282" t="s">
        <v>6654</v>
      </c>
      <c r="Q54" s="1793" t="s">
        <v>6089</v>
      </c>
    </row>
    <row r="55" spans="1:17" ht="12.75" x14ac:dyDescent="0.35">
      <c r="A55" s="1342">
        <v>20</v>
      </c>
      <c r="B55" s="2140" t="str">
        <f t="shared" si="7"/>
        <v/>
      </c>
      <c r="C55" s="2142" t="s">
        <v>1662</v>
      </c>
      <c r="D55" s="1712" t="s">
        <v>6075</v>
      </c>
      <c r="E55" s="2149"/>
      <c r="F55" s="2319"/>
      <c r="G55" s="2149">
        <v>1126</v>
      </c>
      <c r="H55" s="2149"/>
      <c r="I55" s="2149"/>
      <c r="J55" s="2149"/>
      <c r="K55" s="2319"/>
      <c r="L55" s="2149"/>
      <c r="M55" s="2149"/>
      <c r="N55" s="2149"/>
      <c r="O55" s="1503"/>
      <c r="P55" s="2282" t="s">
        <v>6617</v>
      </c>
      <c r="Q55" s="1793"/>
    </row>
    <row r="56" spans="1:17" ht="12.75" x14ac:dyDescent="0.35">
      <c r="A56" s="1342">
        <v>21</v>
      </c>
      <c r="B56" s="2140" t="str">
        <f t="shared" si="7"/>
        <v/>
      </c>
      <c r="C56" s="2142" t="s">
        <v>1663</v>
      </c>
      <c r="D56" s="1712" t="s">
        <v>5923</v>
      </c>
      <c r="E56" s="2154">
        <f t="shared" ref="E56:L56" si="10">E54+E55</f>
        <v>62952</v>
      </c>
      <c r="F56" s="2154">
        <f t="shared" si="10"/>
        <v>0</v>
      </c>
      <c r="G56" s="2154">
        <f t="shared" si="10"/>
        <v>90931</v>
      </c>
      <c r="H56" s="2154">
        <f t="shared" si="10"/>
        <v>188665</v>
      </c>
      <c r="I56" s="2154">
        <f t="shared" si="10"/>
        <v>12710</v>
      </c>
      <c r="J56" s="2154">
        <f t="shared" si="10"/>
        <v>11023</v>
      </c>
      <c r="K56" s="2154">
        <f>K54+K55</f>
        <v>0</v>
      </c>
      <c r="L56" s="2154">
        <f t="shared" si="10"/>
        <v>490000</v>
      </c>
      <c r="M56" s="2154">
        <v>0</v>
      </c>
      <c r="N56" s="2154">
        <f>N54+N55</f>
        <v>8903</v>
      </c>
      <c r="O56" s="1503"/>
      <c r="P56" s="2282" t="s">
        <v>6654</v>
      </c>
      <c r="Q56" s="1793" t="s">
        <v>6090</v>
      </c>
    </row>
    <row r="57" spans="1:17" ht="70.900000000000006" x14ac:dyDescent="0.35">
      <c r="A57" s="1342">
        <v>22</v>
      </c>
      <c r="B57" s="2140" t="str">
        <f t="shared" si="7"/>
        <v/>
      </c>
      <c r="C57" s="2142" t="s">
        <v>1664</v>
      </c>
      <c r="D57" s="1712" t="s">
        <v>6076</v>
      </c>
      <c r="E57" s="2153">
        <f t="shared" ref="E57:N57" si="11">MAX(0,(E48+E49)-(E44+E45+E46))</f>
        <v>0</v>
      </c>
      <c r="F57" s="2153">
        <f t="shared" si="11"/>
        <v>3621</v>
      </c>
      <c r="G57" s="2153">
        <f t="shared" si="11"/>
        <v>0</v>
      </c>
      <c r="H57" s="2153">
        <f t="shared" si="11"/>
        <v>0</v>
      </c>
      <c r="I57" s="2153">
        <f t="shared" si="11"/>
        <v>0</v>
      </c>
      <c r="J57" s="2153">
        <f t="shared" si="11"/>
        <v>0</v>
      </c>
      <c r="K57" s="2153">
        <f>MAX(0,(K48+K49)-(K44+K45+K46))</f>
        <v>53000</v>
      </c>
      <c r="L57" s="2153">
        <f t="shared" si="11"/>
        <v>0</v>
      </c>
      <c r="M57" s="2153">
        <f>MAX(0,(M48+M49)-(M44+M45+M46))</f>
        <v>5995</v>
      </c>
      <c r="N57" s="2153">
        <f t="shared" si="11"/>
        <v>0</v>
      </c>
      <c r="O57" s="1503"/>
      <c r="P57" s="2282" t="s">
        <v>6654</v>
      </c>
      <c r="Q57" s="1793" t="s">
        <v>6091</v>
      </c>
    </row>
    <row r="58" spans="1:17" ht="30.4" x14ac:dyDescent="0.35">
      <c r="A58" s="1342">
        <v>23</v>
      </c>
      <c r="B58" s="2140" t="str">
        <f t="shared" si="7"/>
        <v/>
      </c>
      <c r="C58" s="2142" t="s">
        <v>1665</v>
      </c>
      <c r="D58" s="1712" t="s">
        <v>6077</v>
      </c>
      <c r="E58" s="2152"/>
      <c r="F58" s="2152">
        <v>3621</v>
      </c>
      <c r="G58" s="2152"/>
      <c r="H58" s="2152"/>
      <c r="I58" s="2152"/>
      <c r="J58" s="2152"/>
      <c r="K58" s="2152">
        <v>53000</v>
      </c>
      <c r="L58" s="2152"/>
      <c r="M58" s="2152"/>
      <c r="N58" s="2152"/>
      <c r="O58" s="1503"/>
      <c r="P58" s="2282" t="s">
        <v>6617</v>
      </c>
      <c r="Q58" s="1793" t="s">
        <v>6092</v>
      </c>
    </row>
    <row r="59" spans="1:17" ht="30.4" x14ac:dyDescent="0.35">
      <c r="A59" s="1342">
        <v>24</v>
      </c>
      <c r="B59" s="2140" t="str">
        <f t="shared" si="7"/>
        <v/>
      </c>
      <c r="C59" s="2142" t="s">
        <v>2587</v>
      </c>
      <c r="D59" s="1712" t="s">
        <v>5926</v>
      </c>
      <c r="E59" s="2149"/>
      <c r="F59" s="2149"/>
      <c r="G59" s="2149"/>
      <c r="H59" s="2149"/>
      <c r="I59" s="2149"/>
      <c r="J59" s="2149"/>
      <c r="K59" s="2149"/>
      <c r="L59" s="2149"/>
      <c r="M59" s="2149"/>
      <c r="N59" s="2149"/>
      <c r="O59" s="1503"/>
      <c r="P59" s="2282" t="s">
        <v>6617</v>
      </c>
      <c r="Q59" s="1793" t="s">
        <v>6093</v>
      </c>
    </row>
    <row r="60" spans="1:17" ht="12.75" x14ac:dyDescent="0.35">
      <c r="A60" s="1342">
        <v>25</v>
      </c>
      <c r="B60" s="2140" t="str">
        <f t="shared" si="7"/>
        <v/>
      </c>
      <c r="C60" s="2142" t="s">
        <v>885</v>
      </c>
      <c r="D60" s="1712" t="s">
        <v>6078</v>
      </c>
      <c r="E60" s="2149"/>
      <c r="F60" s="2149"/>
      <c r="G60" s="2149"/>
      <c r="H60" s="2149"/>
      <c r="I60" s="2149"/>
      <c r="J60" s="2149"/>
      <c r="K60" s="2149"/>
      <c r="L60" s="2149"/>
      <c r="M60" s="2149">
        <v>31263</v>
      </c>
      <c r="N60" s="2149"/>
      <c r="O60" s="1503"/>
      <c r="P60" s="2282" t="s">
        <v>6654</v>
      </c>
      <c r="Q60" s="1793"/>
    </row>
    <row r="61" spans="1:17" ht="13.15" x14ac:dyDescent="0.35">
      <c r="A61" s="1342">
        <v>26</v>
      </c>
      <c r="B61" s="2140" t="str">
        <f t="shared" si="7"/>
        <v/>
      </c>
      <c r="C61" s="2142" t="s">
        <v>886</v>
      </c>
      <c r="D61" s="1712" t="str">
        <f>"If your total profits for "&amp;tax_year&amp;" are less than "&amp;DOLLAR(NIC2_SPT,0)&amp;" and you choose to pay Class 2 NICs voluntarily, put 'X' in the box"</f>
        <v>If your total profits for 2017-18 are less than £6,025 and you choose to pay Class 2 NICs voluntarily, put 'X' in the box</v>
      </c>
      <c r="E61" s="2155" t="str">
        <f t="shared" ref="E61:L61" si="12">IF(PS_B_IND&gt;1,IF(PS_A_IND&gt;1,"",IF(LUN_IND&gt;1,"",IF(SE_B_IND&gt;1,"",IF(SE_A_IND&gt;1,"",IF(AND(E56&lt;NIC2_SPT,NIC2_Vol,NIC_exempt=FALSE),"Y","N"))))),"")</f>
        <v/>
      </c>
      <c r="F61" s="2155" t="str">
        <f t="shared" si="12"/>
        <v/>
      </c>
      <c r="G61" s="2155" t="str">
        <f t="shared" si="12"/>
        <v/>
      </c>
      <c r="H61" s="2155" t="str">
        <f t="shared" si="12"/>
        <v/>
      </c>
      <c r="I61" s="2155" t="str">
        <f t="shared" si="12"/>
        <v/>
      </c>
      <c r="J61" s="2155" t="str">
        <f t="shared" si="12"/>
        <v/>
      </c>
      <c r="K61" s="2155" t="str">
        <f t="shared" si="12"/>
        <v/>
      </c>
      <c r="L61" s="2155" t="str">
        <f t="shared" si="12"/>
        <v/>
      </c>
      <c r="M61" s="2155" t="str">
        <f>IF(PS_B_IND&gt;1,IF(PS_A_IND&gt;1,"",IF(LUN_IND&gt;1,"",IF(SE_B_IND&gt;1,"",IF(SE_A_IND&gt;1,"",IF(AND(M56&lt;NIC2_SPT,NIC2_Vol,NIC_exempt=FALSE),"Y","N"))))),"")</f>
        <v/>
      </c>
      <c r="N61" s="2155" t="str">
        <f>IF(PS_B_IND&gt;1,IF(PS_A_IND&gt;1,"",IF(LUN_IND&gt;1,"",IF(SE_B_IND&gt;1,"",IF(SE_A_IND&gt;1,"",IF(AND(N56&lt;NIC2_SPT,NIC2_Vol,NIC_exempt=FALSE),"Y","N"))))),"")</f>
        <v/>
      </c>
      <c r="O61" s="1503"/>
      <c r="P61" s="2282" t="s">
        <v>6620</v>
      </c>
      <c r="Q61" s="1502"/>
    </row>
    <row r="62" spans="1:17" ht="13.15" x14ac:dyDescent="0.35">
      <c r="A62" s="1342">
        <v>27</v>
      </c>
      <c r="B62" s="2140" t="str">
        <f t="shared" si="7"/>
        <v/>
      </c>
      <c r="C62" s="2142" t="s">
        <v>887</v>
      </c>
      <c r="D62" s="1712" t="s">
        <v>5230</v>
      </c>
      <c r="E62" s="2155" t="str">
        <f>IF(PS_B_IND&gt;1,IF(PS_A_IND&gt;1,"",IF(LUN_IND&gt;1,"",IF(SE_B_IND&gt;1,"",IF(SE_A_IND&gt;1,"",IF(NIC_exempt,"Y","N"))))),"")</f>
        <v/>
      </c>
      <c r="F62" s="2155" t="str">
        <f t="shared" ref="F62:N62" si="13">IF(PS_B_IND&gt;1,IF(PS_A_IND&gt;1,"",IF(LUN_IND&gt;1,"",IF(SE_B_IND&gt;1,"",IF(SE_A_IND&gt;1,"",IF(NIC_exempt,"Y","N"))))),"")</f>
        <v/>
      </c>
      <c r="G62" s="2155" t="str">
        <f t="shared" si="13"/>
        <v/>
      </c>
      <c r="H62" s="2155" t="str">
        <f t="shared" si="13"/>
        <v/>
      </c>
      <c r="I62" s="2155" t="str">
        <f t="shared" si="13"/>
        <v/>
      </c>
      <c r="J62" s="2155" t="str">
        <f t="shared" si="13"/>
        <v/>
      </c>
      <c r="K62" s="2155" t="str">
        <f t="shared" si="13"/>
        <v/>
      </c>
      <c r="L62" s="2155" t="str">
        <f t="shared" si="13"/>
        <v/>
      </c>
      <c r="M62" s="2155" t="str">
        <f t="shared" si="13"/>
        <v/>
      </c>
      <c r="N62" s="2155" t="str">
        <f t="shared" si="13"/>
        <v/>
      </c>
      <c r="O62" s="1503"/>
      <c r="P62" s="2282" t="s">
        <v>6620</v>
      </c>
      <c r="Q62" s="1502"/>
    </row>
    <row r="63" spans="1:17" ht="12.75" x14ac:dyDescent="0.35">
      <c r="A63" s="1342">
        <v>28</v>
      </c>
      <c r="B63" s="2140" t="str">
        <f t="shared" si="7"/>
        <v/>
      </c>
      <c r="C63" s="2142" t="s">
        <v>888</v>
      </c>
      <c r="D63" s="1712" t="s">
        <v>6114</v>
      </c>
      <c r="E63" s="2152"/>
      <c r="F63" s="2152"/>
      <c r="G63" s="2152"/>
      <c r="H63" s="2152">
        <v>8269</v>
      </c>
      <c r="I63" s="2152"/>
      <c r="J63" s="2152"/>
      <c r="K63" s="2152"/>
      <c r="L63" s="2152"/>
      <c r="M63" s="2152"/>
      <c r="N63" s="2152"/>
      <c r="O63" s="1503"/>
      <c r="P63" s="2282" t="s">
        <v>6617</v>
      </c>
      <c r="Q63" s="1793" t="s">
        <v>6094</v>
      </c>
    </row>
    <row r="64" spans="1:17" ht="12.75" x14ac:dyDescent="0.35">
      <c r="A64" s="1342">
        <v>29</v>
      </c>
      <c r="B64" s="2140" t="str">
        <f t="shared" si="7"/>
        <v/>
      </c>
      <c r="C64" s="2142" t="s">
        <v>889</v>
      </c>
      <c r="D64" s="1712" t="s">
        <v>6115</v>
      </c>
      <c r="E64" s="2149"/>
      <c r="F64" s="2149">
        <v>426</v>
      </c>
      <c r="G64" s="2149">
        <v>1265</v>
      </c>
      <c r="H64" s="2149">
        <v>21569</v>
      </c>
      <c r="I64" s="2149"/>
      <c r="J64" s="2149">
        <v>854</v>
      </c>
      <c r="K64" s="2149">
        <v>855</v>
      </c>
      <c r="L64" s="2149"/>
      <c r="M64" s="2149"/>
      <c r="N64" s="2149"/>
      <c r="O64" s="1503"/>
      <c r="P64" s="2282" t="s">
        <v>6617</v>
      </c>
      <c r="Q64" s="1793"/>
    </row>
    <row r="65" spans="1:17" ht="12.75" x14ac:dyDescent="0.35">
      <c r="A65" s="1342">
        <v>30</v>
      </c>
      <c r="B65" s="2140" t="str">
        <f t="shared" si="7"/>
        <v/>
      </c>
      <c r="C65" s="2142" t="s">
        <v>890</v>
      </c>
      <c r="D65" s="1712" t="s">
        <v>6116</v>
      </c>
      <c r="E65" s="2149"/>
      <c r="F65" s="2149"/>
      <c r="G65" s="2149"/>
      <c r="H65" s="2150">
        <v>-4314</v>
      </c>
      <c r="I65" s="2149"/>
      <c r="J65" s="2149"/>
      <c r="K65" s="2149"/>
      <c r="L65" s="2149"/>
      <c r="M65" s="2149"/>
      <c r="N65" s="2149"/>
      <c r="O65" s="1503"/>
      <c r="P65" s="2282" t="s">
        <v>6619</v>
      </c>
      <c r="Q65" s="1793"/>
    </row>
    <row r="66" spans="1:17" ht="12.75" x14ac:dyDescent="0.35">
      <c r="A66" s="1342">
        <v>31</v>
      </c>
      <c r="B66" s="2140" t="str">
        <f t="shared" si="7"/>
        <v/>
      </c>
      <c r="C66" s="2142" t="s">
        <v>891</v>
      </c>
      <c r="D66" s="1712" t="s">
        <v>6117</v>
      </c>
      <c r="E66" s="2153">
        <f t="shared" ref="E66:N66" si="14">E64+E65</f>
        <v>0</v>
      </c>
      <c r="F66" s="2153">
        <f t="shared" si="14"/>
        <v>426</v>
      </c>
      <c r="G66" s="2153">
        <f t="shared" si="14"/>
        <v>1265</v>
      </c>
      <c r="H66" s="2153">
        <f t="shared" si="14"/>
        <v>17255</v>
      </c>
      <c r="I66" s="2153">
        <f t="shared" si="14"/>
        <v>0</v>
      </c>
      <c r="J66" s="2153">
        <f t="shared" si="14"/>
        <v>854</v>
      </c>
      <c r="K66" s="2153">
        <f t="shared" si="14"/>
        <v>855</v>
      </c>
      <c r="L66" s="2153">
        <f t="shared" si="14"/>
        <v>0</v>
      </c>
      <c r="M66" s="2153">
        <f t="shared" si="14"/>
        <v>0</v>
      </c>
      <c r="N66" s="2153">
        <f t="shared" si="14"/>
        <v>0</v>
      </c>
      <c r="O66" s="1503"/>
      <c r="P66" s="2282" t="s">
        <v>6654</v>
      </c>
      <c r="Q66" s="1793" t="s">
        <v>6095</v>
      </c>
    </row>
    <row r="67" spans="1:17" ht="12.75" x14ac:dyDescent="0.35">
      <c r="A67" s="1342">
        <v>32</v>
      </c>
      <c r="B67" s="2140" t="str">
        <f t="shared" si="7"/>
        <v/>
      </c>
      <c r="C67" s="2142" t="s">
        <v>2348</v>
      </c>
      <c r="D67" s="1712" t="s">
        <v>6118</v>
      </c>
      <c r="E67" s="2149"/>
      <c r="F67" s="2149"/>
      <c r="G67" s="2149">
        <v>245</v>
      </c>
      <c r="H67" s="2149">
        <v>1620</v>
      </c>
      <c r="I67" s="2149"/>
      <c r="J67" s="2149"/>
      <c r="K67" s="2149"/>
      <c r="L67" s="2149"/>
      <c r="M67" s="2149"/>
      <c r="N67" s="2149">
        <v>127</v>
      </c>
      <c r="O67" s="1503"/>
      <c r="P67" s="2282" t="s">
        <v>6617</v>
      </c>
      <c r="Q67" s="1793"/>
    </row>
    <row r="68" spans="1:17" ht="12.75" x14ac:dyDescent="0.35">
      <c r="A68" s="1342">
        <v>33</v>
      </c>
      <c r="B68" s="2140" t="str">
        <f t="shared" si="7"/>
        <v/>
      </c>
      <c r="C68" s="2142" t="s">
        <v>2349</v>
      </c>
      <c r="D68" s="1712" t="s">
        <v>6116</v>
      </c>
      <c r="E68" s="2149"/>
      <c r="F68" s="2149"/>
      <c r="G68" s="2149"/>
      <c r="H68" s="2150">
        <v>-324</v>
      </c>
      <c r="I68" s="2149"/>
      <c r="J68" s="2149"/>
      <c r="K68" s="2149"/>
      <c r="L68" s="2149"/>
      <c r="M68" s="2149"/>
      <c r="N68" s="2149"/>
      <c r="O68" s="1503"/>
      <c r="P68" s="2282" t="s">
        <v>6619</v>
      </c>
      <c r="Q68" s="1793"/>
    </row>
    <row r="69" spans="1:17" ht="12.75" x14ac:dyDescent="0.35">
      <c r="A69" s="1342">
        <v>34</v>
      </c>
      <c r="B69" s="2140" t="str">
        <f t="shared" ref="B69:B76" si="15">IF(PS_B_IND&gt;1,IF(HLOOKUP(PS_B_IND-1,FPS_RANGE,A69)="","",HLOOKUP(PS_B_IND-1,FPS_RANGE,A69)),"")</f>
        <v/>
      </c>
      <c r="C69" s="2142" t="s">
        <v>2350</v>
      </c>
      <c r="D69" s="1712" t="s">
        <v>6119</v>
      </c>
      <c r="E69" s="2149"/>
      <c r="F69" s="2149"/>
      <c r="G69" s="2149">
        <v>24</v>
      </c>
      <c r="H69" s="2149"/>
      <c r="I69" s="2149"/>
      <c r="J69" s="2149"/>
      <c r="K69" s="2149"/>
      <c r="L69" s="2149"/>
      <c r="M69" s="2149"/>
      <c r="N69" s="2149"/>
      <c r="O69" s="1503"/>
      <c r="P69" s="2282" t="s">
        <v>6617</v>
      </c>
      <c r="Q69" s="1793"/>
    </row>
    <row r="70" spans="1:17" ht="12.75" x14ac:dyDescent="0.35">
      <c r="A70" s="1342">
        <v>35</v>
      </c>
      <c r="B70" s="2140" t="str">
        <f t="shared" si="15"/>
        <v/>
      </c>
      <c r="C70" s="2142" t="s">
        <v>2351</v>
      </c>
      <c r="D70" s="1712" t="s">
        <v>6120</v>
      </c>
      <c r="E70" s="2153">
        <f t="shared" ref="E70:M70" si="16">MAX(0,E67+E68-E69)</f>
        <v>0</v>
      </c>
      <c r="F70" s="2153">
        <f t="shared" si="16"/>
        <v>0</v>
      </c>
      <c r="G70" s="2153">
        <f t="shared" si="16"/>
        <v>221</v>
      </c>
      <c r="H70" s="2153">
        <f t="shared" si="16"/>
        <v>1296</v>
      </c>
      <c r="I70" s="2153">
        <f t="shared" si="16"/>
        <v>0</v>
      </c>
      <c r="J70" s="2153">
        <f t="shared" si="16"/>
        <v>0</v>
      </c>
      <c r="K70" s="2153">
        <f t="shared" si="16"/>
        <v>0</v>
      </c>
      <c r="L70" s="2153">
        <f t="shared" si="16"/>
        <v>0</v>
      </c>
      <c r="M70" s="2153">
        <f t="shared" si="16"/>
        <v>0</v>
      </c>
      <c r="N70" s="2153">
        <f>MAX(0,N67+N68-N69)</f>
        <v>127</v>
      </c>
      <c r="O70" s="1503"/>
      <c r="P70" s="2282" t="s">
        <v>6619</v>
      </c>
      <c r="Q70" s="1793" t="s">
        <v>6096</v>
      </c>
    </row>
    <row r="71" spans="1:17" ht="12.75" x14ac:dyDescent="0.35">
      <c r="A71" s="1342">
        <v>36</v>
      </c>
      <c r="B71" s="2140" t="str">
        <f t="shared" si="15"/>
        <v/>
      </c>
      <c r="C71" s="2142" t="s">
        <v>2352</v>
      </c>
      <c r="D71" s="1712" t="s">
        <v>6121</v>
      </c>
      <c r="E71" s="2154">
        <f t="shared" ref="E71:M71" si="17">E66+E70</f>
        <v>0</v>
      </c>
      <c r="F71" s="2154">
        <f t="shared" si="17"/>
        <v>426</v>
      </c>
      <c r="G71" s="2154">
        <f t="shared" si="17"/>
        <v>1486</v>
      </c>
      <c r="H71" s="2154">
        <f t="shared" si="17"/>
        <v>18551</v>
      </c>
      <c r="I71" s="2154">
        <f t="shared" si="17"/>
        <v>0</v>
      </c>
      <c r="J71" s="2154">
        <f t="shared" si="17"/>
        <v>854</v>
      </c>
      <c r="K71" s="2154">
        <f t="shared" si="17"/>
        <v>855</v>
      </c>
      <c r="L71" s="2154">
        <f t="shared" si="17"/>
        <v>0</v>
      </c>
      <c r="M71" s="2154">
        <f t="shared" si="17"/>
        <v>0</v>
      </c>
      <c r="N71" s="2154">
        <f>N66+N70</f>
        <v>127</v>
      </c>
      <c r="O71" s="1503"/>
      <c r="P71" s="2282" t="s">
        <v>6654</v>
      </c>
      <c r="Q71" s="1793" t="s">
        <v>6097</v>
      </c>
    </row>
    <row r="72" spans="1:17" ht="12.75" x14ac:dyDescent="0.35">
      <c r="A72" s="1342">
        <v>37</v>
      </c>
      <c r="B72" s="2140" t="str">
        <f t="shared" si="15"/>
        <v/>
      </c>
      <c r="C72" s="2142" t="s">
        <v>2353</v>
      </c>
      <c r="D72" s="1712" t="s">
        <v>6122</v>
      </c>
      <c r="E72" s="2149">
        <v>0</v>
      </c>
      <c r="F72" s="2149">
        <v>6421</v>
      </c>
      <c r="G72" s="2150">
        <v>-6400</v>
      </c>
      <c r="H72" s="2149">
        <v>0</v>
      </c>
      <c r="I72" s="2149">
        <v>5500</v>
      </c>
      <c r="J72" s="2151">
        <v>-5000</v>
      </c>
      <c r="K72" s="2151">
        <v>-3000</v>
      </c>
      <c r="L72" s="2151">
        <v>0</v>
      </c>
      <c r="M72" s="2151">
        <v>0</v>
      </c>
      <c r="N72" s="2151">
        <v>9030</v>
      </c>
      <c r="O72" s="1503"/>
      <c r="P72" s="2282" t="s">
        <v>6619</v>
      </c>
      <c r="Q72" s="1793"/>
    </row>
    <row r="73" spans="1:17" ht="12.75" x14ac:dyDescent="0.35">
      <c r="A73" s="1342">
        <v>38</v>
      </c>
      <c r="B73" s="2140" t="str">
        <f t="shared" si="15"/>
        <v/>
      </c>
      <c r="C73" s="2142" t="s">
        <v>2354</v>
      </c>
      <c r="D73" s="1712" t="s">
        <v>6123</v>
      </c>
      <c r="E73" s="2149">
        <v>0</v>
      </c>
      <c r="F73" s="2149">
        <v>0</v>
      </c>
      <c r="G73" s="2149">
        <v>0</v>
      </c>
      <c r="H73" s="2149">
        <v>0</v>
      </c>
      <c r="I73" s="2149">
        <v>0</v>
      </c>
      <c r="J73" s="2149">
        <v>0</v>
      </c>
      <c r="K73" s="2149">
        <v>0</v>
      </c>
      <c r="L73" s="2149">
        <v>0</v>
      </c>
      <c r="M73" s="2149">
        <v>0</v>
      </c>
      <c r="N73" s="2149">
        <v>0</v>
      </c>
      <c r="O73" s="1503"/>
      <c r="P73" s="2282" t="s">
        <v>6619</v>
      </c>
      <c r="Q73" s="1793"/>
    </row>
    <row r="74" spans="1:17" ht="20.25" x14ac:dyDescent="0.35">
      <c r="A74" s="1342">
        <v>39</v>
      </c>
      <c r="B74" s="2140" t="str">
        <f t="shared" si="15"/>
        <v/>
      </c>
      <c r="C74" s="2142" t="s">
        <v>2355</v>
      </c>
      <c r="D74" s="1712" t="s">
        <v>6124</v>
      </c>
      <c r="E74" s="2152"/>
      <c r="F74" s="2152">
        <v>365</v>
      </c>
      <c r="G74" s="2152"/>
      <c r="H74" s="2152"/>
      <c r="I74" s="2152">
        <v>5500</v>
      </c>
      <c r="J74" s="2152"/>
      <c r="K74" s="2152"/>
      <c r="L74" s="2152"/>
      <c r="M74" s="2152"/>
      <c r="N74" s="2152"/>
      <c r="O74" s="1503"/>
      <c r="P74" s="2282" t="s">
        <v>6617</v>
      </c>
      <c r="Q74" s="1793" t="s">
        <v>6098</v>
      </c>
    </row>
    <row r="75" spans="1:17" ht="40.5" x14ac:dyDescent="0.35">
      <c r="A75" s="1342">
        <v>40</v>
      </c>
      <c r="B75" s="2140" t="str">
        <f t="shared" si="15"/>
        <v/>
      </c>
      <c r="C75" s="2142" t="s">
        <v>2356</v>
      </c>
      <c r="D75" s="2156" t="str">
        <f>"Loss set off against "&amp;tax_year&amp;" total income"</f>
        <v>Loss set off against 2017-18 total income</v>
      </c>
      <c r="E75" s="2152"/>
      <c r="F75" s="2152"/>
      <c r="G75" s="2152">
        <v>6400</v>
      </c>
      <c r="H75" s="2152"/>
      <c r="I75" s="2152"/>
      <c r="J75" s="2152"/>
      <c r="K75" s="2152">
        <v>3000</v>
      </c>
      <c r="L75" s="2152">
        <v>190000</v>
      </c>
      <c r="M75" s="2152"/>
      <c r="N75" s="2152"/>
      <c r="O75" s="1503"/>
      <c r="P75" s="2282" t="s">
        <v>6617</v>
      </c>
      <c r="Q75" s="1793" t="s">
        <v>6099</v>
      </c>
    </row>
    <row r="76" spans="1:17" ht="12.75" x14ac:dyDescent="0.35">
      <c r="A76" s="1342">
        <v>41</v>
      </c>
      <c r="B76" s="2140" t="str">
        <f t="shared" si="15"/>
        <v/>
      </c>
      <c r="C76" s="2142" t="s">
        <v>2357</v>
      </c>
      <c r="D76" s="1712" t="s">
        <v>6125</v>
      </c>
      <c r="E76" s="2149"/>
      <c r="F76" s="2149"/>
      <c r="G76" s="2149"/>
      <c r="H76" s="2149"/>
      <c r="I76" s="2149"/>
      <c r="J76" s="2149"/>
      <c r="K76" s="2149">
        <v>0</v>
      </c>
      <c r="L76" s="2149"/>
      <c r="M76" s="2149"/>
      <c r="N76" s="2149"/>
      <c r="O76" s="1503"/>
      <c r="P76" s="2282" t="s">
        <v>6654</v>
      </c>
      <c r="Q76" s="1793"/>
    </row>
    <row r="77" spans="1:17" ht="40.5" x14ac:dyDescent="0.35">
      <c r="A77" s="1342">
        <v>42</v>
      </c>
      <c r="B77" s="2140" t="str">
        <f t="shared" ref="B77:B104" si="18">IF(PS_B_IND&gt;1,IF(HLOOKUP(PS_B_IND-1,FPS_RANGE,A77)="","",HLOOKUP(PS_B_IND-1,FPS_RANGE,A77)),"")</f>
        <v/>
      </c>
      <c r="C77" s="2142" t="s">
        <v>2358</v>
      </c>
      <c r="D77" s="1712" t="s">
        <v>6126</v>
      </c>
      <c r="E77" s="2153">
        <f t="shared" ref="E77:M77" si="19">MAX(0,E72+E73-E74)</f>
        <v>0</v>
      </c>
      <c r="F77" s="2153">
        <f t="shared" si="19"/>
        <v>6056</v>
      </c>
      <c r="G77" s="2153">
        <f t="shared" si="19"/>
        <v>0</v>
      </c>
      <c r="H77" s="2153">
        <f t="shared" si="19"/>
        <v>0</v>
      </c>
      <c r="I77" s="2153">
        <f t="shared" si="19"/>
        <v>0</v>
      </c>
      <c r="J77" s="2153">
        <f t="shared" si="19"/>
        <v>0</v>
      </c>
      <c r="K77" s="2153">
        <f t="shared" si="19"/>
        <v>0</v>
      </c>
      <c r="L77" s="2153">
        <f t="shared" si="19"/>
        <v>0</v>
      </c>
      <c r="M77" s="2153">
        <f t="shared" si="19"/>
        <v>0</v>
      </c>
      <c r="N77" s="2153">
        <f>MAX(0,N72+N73-N74)</f>
        <v>9030</v>
      </c>
      <c r="O77" s="1503"/>
      <c r="P77" s="2282" t="s">
        <v>6654</v>
      </c>
      <c r="Q77" s="1793" t="s">
        <v>6100</v>
      </c>
    </row>
    <row r="78" spans="1:17" ht="12.75" x14ac:dyDescent="0.35">
      <c r="A78" s="2744">
        <v>43</v>
      </c>
      <c r="B78" s="2792" t="str">
        <f t="shared" si="18"/>
        <v/>
      </c>
      <c r="C78" s="2793" t="s">
        <v>8371</v>
      </c>
      <c r="D78" s="2156" t="s">
        <v>6995</v>
      </c>
      <c r="E78" s="2794"/>
      <c r="F78" s="2794">
        <v>240</v>
      </c>
      <c r="G78" s="2794"/>
      <c r="H78" s="2794"/>
      <c r="I78" s="2794"/>
      <c r="J78" s="2794"/>
      <c r="K78" s="2794"/>
      <c r="L78" s="2794"/>
      <c r="M78" s="2794"/>
      <c r="N78" s="2794"/>
      <c r="O78" s="2795"/>
      <c r="P78" s="2796"/>
      <c r="Q78" s="1798"/>
    </row>
    <row r="79" spans="1:17" ht="12.75" x14ac:dyDescent="0.35">
      <c r="A79" s="2744">
        <v>44</v>
      </c>
      <c r="B79" s="2792" t="str">
        <f t="shared" si="18"/>
        <v/>
      </c>
      <c r="C79" s="3145" t="s">
        <v>7711</v>
      </c>
      <c r="D79" s="3146" t="s">
        <v>6983</v>
      </c>
      <c r="E79" s="3147"/>
      <c r="F79" s="3147"/>
      <c r="G79" s="3147"/>
      <c r="H79" s="3147"/>
      <c r="I79" s="3147"/>
      <c r="J79" s="3147"/>
      <c r="K79" s="3147"/>
      <c r="L79" s="3147"/>
      <c r="M79" s="3147"/>
      <c r="N79" s="3147"/>
      <c r="O79" s="2795"/>
      <c r="P79" s="2796"/>
      <c r="Q79" s="3148"/>
    </row>
    <row r="80" spans="1:17" ht="12.75" x14ac:dyDescent="0.35">
      <c r="A80" s="1342">
        <v>45</v>
      </c>
      <c r="B80" s="2140" t="str">
        <f t="shared" ref="B80:B103" si="20">IF(PS_B_IND&gt;1,IF(HLOOKUP(PS_B_IND-1,FPS_RANGE,A80)="","",HLOOKUP(PS_B_IND-1,FPS_RANGE,A80)),"")</f>
        <v/>
      </c>
      <c r="C80" s="2142" t="s">
        <v>2359</v>
      </c>
      <c r="D80" s="1712" t="s">
        <v>6127</v>
      </c>
      <c r="E80" s="2149"/>
      <c r="F80" s="2149">
        <v>627</v>
      </c>
      <c r="G80" s="2149">
        <v>2126</v>
      </c>
      <c r="H80" s="2149"/>
      <c r="I80" s="2149"/>
      <c r="J80" s="2149"/>
      <c r="K80" s="2149"/>
      <c r="L80" s="2149"/>
      <c r="M80" s="2149"/>
      <c r="N80" s="2149"/>
      <c r="O80" s="1503"/>
      <c r="P80" s="2282" t="s">
        <v>6654</v>
      </c>
      <c r="Q80" s="1793"/>
    </row>
    <row r="81" spans="1:17" ht="12.75" x14ac:dyDescent="0.35">
      <c r="A81" s="1342">
        <v>46</v>
      </c>
      <c r="B81" s="2140" t="str">
        <f t="shared" si="20"/>
        <v/>
      </c>
      <c r="C81" s="2142" t="s">
        <v>2360</v>
      </c>
      <c r="D81" s="1712" t="s">
        <v>6128</v>
      </c>
      <c r="E81" s="2149"/>
      <c r="F81" s="2149"/>
      <c r="G81" s="2149"/>
      <c r="H81" s="2149"/>
      <c r="I81" s="2149"/>
      <c r="J81" s="2149"/>
      <c r="K81" s="2149"/>
      <c r="L81" s="2149"/>
      <c r="M81" s="2149"/>
      <c r="N81" s="2149"/>
      <c r="O81" s="1503"/>
      <c r="P81" s="2282" t="s">
        <v>6619</v>
      </c>
      <c r="Q81" s="1793" t="s">
        <v>5456</v>
      </c>
    </row>
    <row r="82" spans="1:17" ht="50.65" x14ac:dyDescent="0.35">
      <c r="A82" s="1342">
        <v>47</v>
      </c>
      <c r="B82" s="2140" t="str">
        <f t="shared" si="20"/>
        <v/>
      </c>
      <c r="C82" s="2142" t="s">
        <v>2361</v>
      </c>
      <c r="D82" s="1712" t="s">
        <v>6129</v>
      </c>
      <c r="E82" s="2319"/>
      <c r="F82" s="2157">
        <f>MAX(0,F80+F81)</f>
        <v>627</v>
      </c>
      <c r="G82" s="2157">
        <f>MAX(0,G80+G81)</f>
        <v>2126</v>
      </c>
      <c r="H82" s="2319"/>
      <c r="I82" s="2319"/>
      <c r="J82" s="2319"/>
      <c r="K82" s="2319"/>
      <c r="L82" s="2319"/>
      <c r="M82" s="2319"/>
      <c r="N82" s="2319"/>
      <c r="O82" s="1503"/>
      <c r="P82" s="2282" t="s">
        <v>6654</v>
      </c>
      <c r="Q82" s="1793" t="s">
        <v>6101</v>
      </c>
    </row>
    <row r="83" spans="1:17" ht="12.75" x14ac:dyDescent="0.35">
      <c r="A83" s="1342">
        <v>48</v>
      </c>
      <c r="B83" s="2140" t="str">
        <f t="shared" si="20"/>
        <v/>
      </c>
      <c r="C83" s="2142" t="s">
        <v>2362</v>
      </c>
      <c r="D83" s="1712" t="s">
        <v>6130</v>
      </c>
      <c r="E83" s="2149"/>
      <c r="F83" s="2149"/>
      <c r="G83" s="2149">
        <v>16570</v>
      </c>
      <c r="H83" s="2149">
        <v>13625</v>
      </c>
      <c r="I83" s="2149"/>
      <c r="J83" s="2149">
        <v>1589</v>
      </c>
      <c r="K83" s="2149">
        <v>1589</v>
      </c>
      <c r="L83" s="2149"/>
      <c r="M83" s="2149"/>
      <c r="N83" s="2149"/>
      <c r="O83" s="1503"/>
      <c r="P83" s="2282" t="s">
        <v>6617</v>
      </c>
      <c r="Q83" s="1793"/>
    </row>
    <row r="84" spans="1:17" ht="12.75" x14ac:dyDescent="0.35">
      <c r="A84" s="1342">
        <v>49</v>
      </c>
      <c r="B84" s="2140" t="str">
        <f t="shared" si="20"/>
        <v/>
      </c>
      <c r="C84" s="2142" t="s">
        <v>34</v>
      </c>
      <c r="D84" s="1712" t="s">
        <v>6131</v>
      </c>
      <c r="E84" s="2149"/>
      <c r="F84" s="2149"/>
      <c r="G84" s="2149"/>
      <c r="H84" s="2150">
        <v>-2725</v>
      </c>
      <c r="I84" s="2149"/>
      <c r="J84" s="2149"/>
      <c r="K84" s="2149"/>
      <c r="L84" s="2149"/>
      <c r="M84" s="2149"/>
      <c r="N84" s="2149"/>
      <c r="O84" s="1503"/>
      <c r="P84" s="2282" t="s">
        <v>6619</v>
      </c>
      <c r="Q84" s="1793"/>
    </row>
    <row r="85" spans="1:17" ht="20.25" x14ac:dyDescent="0.35">
      <c r="A85" s="1342">
        <v>50</v>
      </c>
      <c r="B85" s="2140" t="str">
        <f t="shared" si="20"/>
        <v/>
      </c>
      <c r="C85" s="2142" t="s">
        <v>35</v>
      </c>
      <c r="D85" s="1712" t="s">
        <v>6132</v>
      </c>
      <c r="E85" s="2152"/>
      <c r="F85" s="2152"/>
      <c r="G85" s="2152">
        <v>9225</v>
      </c>
      <c r="H85" s="2152">
        <v>1122</v>
      </c>
      <c r="I85" s="2152"/>
      <c r="J85" s="2152">
        <v>20</v>
      </c>
      <c r="K85" s="2152">
        <v>20</v>
      </c>
      <c r="L85" s="2152"/>
      <c r="M85" s="2152"/>
      <c r="N85" s="2152"/>
      <c r="O85" s="1503"/>
      <c r="P85" s="2282" t="s">
        <v>6659</v>
      </c>
      <c r="Q85" s="1793" t="s">
        <v>6102</v>
      </c>
    </row>
    <row r="86" spans="1:17" ht="20.25" x14ac:dyDescent="0.35">
      <c r="A86" s="1342">
        <v>51</v>
      </c>
      <c r="B86" s="2140" t="str">
        <f t="shared" si="20"/>
        <v/>
      </c>
      <c r="C86" s="2142" t="s">
        <v>36</v>
      </c>
      <c r="D86" s="1712" t="s">
        <v>6133</v>
      </c>
      <c r="E86" s="2317"/>
      <c r="F86" s="2317"/>
      <c r="G86" s="2153">
        <f>MAX(0,G83+G84-G85)</f>
        <v>7345</v>
      </c>
      <c r="H86" s="2153">
        <f>MAX(0,H83+H84-H85)</f>
        <v>9778</v>
      </c>
      <c r="I86" s="2317"/>
      <c r="J86" s="2153">
        <f>MAX(0,J83+J84-J85)</f>
        <v>1569</v>
      </c>
      <c r="K86" s="2153">
        <f>MAX(0,K83+K84-K85)</f>
        <v>1569</v>
      </c>
      <c r="L86" s="2317"/>
      <c r="M86" s="2317"/>
      <c r="N86" s="2317"/>
      <c r="O86" s="1503"/>
      <c r="P86" s="2282" t="s">
        <v>6654</v>
      </c>
      <c r="Q86" s="1793" t="s">
        <v>6103</v>
      </c>
    </row>
    <row r="87" spans="1:17" ht="12.75" x14ac:dyDescent="0.35">
      <c r="A87" s="1342">
        <v>52</v>
      </c>
      <c r="B87" s="2140" t="str">
        <f t="shared" si="20"/>
        <v/>
      </c>
      <c r="C87" s="2142" t="s">
        <v>2734</v>
      </c>
      <c r="D87" s="1712" t="s">
        <v>6134</v>
      </c>
      <c r="E87" s="2149"/>
      <c r="F87" s="2149"/>
      <c r="G87" s="2149"/>
      <c r="H87" s="2149"/>
      <c r="I87" s="2149"/>
      <c r="J87" s="2149"/>
      <c r="K87" s="2149"/>
      <c r="L87" s="2149"/>
      <c r="M87" s="2149"/>
      <c r="N87" s="2149"/>
      <c r="O87" s="1503"/>
      <c r="P87" s="2282" t="s">
        <v>6617</v>
      </c>
      <c r="Q87" s="1793"/>
    </row>
    <row r="88" spans="1:17" ht="12.75" x14ac:dyDescent="0.35">
      <c r="A88" s="1342">
        <v>53</v>
      </c>
      <c r="B88" s="2140" t="str">
        <f t="shared" si="20"/>
        <v/>
      </c>
      <c r="C88" s="2142" t="s">
        <v>2735</v>
      </c>
      <c r="D88" s="1712" t="s">
        <v>6135</v>
      </c>
      <c r="E88" s="2149"/>
      <c r="F88" s="2149"/>
      <c r="G88" s="2149"/>
      <c r="H88" s="2149"/>
      <c r="I88" s="2149"/>
      <c r="J88" s="2149"/>
      <c r="K88" s="2149"/>
      <c r="L88" s="2149"/>
      <c r="M88" s="2149"/>
      <c r="N88" s="2149"/>
      <c r="O88" s="1503"/>
      <c r="P88" s="2282" t="s">
        <v>6619</v>
      </c>
      <c r="Q88" s="1793"/>
    </row>
    <row r="89" spans="1:17" ht="12.75" x14ac:dyDescent="0.35">
      <c r="A89" s="1342">
        <v>54</v>
      </c>
      <c r="B89" s="2140" t="str">
        <f t="shared" si="20"/>
        <v/>
      </c>
      <c r="C89" s="2142" t="s">
        <v>2736</v>
      </c>
      <c r="D89" s="1712" t="s">
        <v>6136</v>
      </c>
      <c r="E89" s="2149"/>
      <c r="F89" s="2149"/>
      <c r="G89" s="2149"/>
      <c r="H89" s="2149"/>
      <c r="I89" s="2149"/>
      <c r="J89" s="2149"/>
      <c r="K89" s="2149"/>
      <c r="L89" s="2149"/>
      <c r="M89" s="2149"/>
      <c r="N89" s="2149"/>
      <c r="O89" s="1503"/>
      <c r="P89" s="2282" t="s">
        <v>6617</v>
      </c>
      <c r="Q89" s="1793"/>
    </row>
    <row r="90" spans="1:17" ht="12.75" x14ac:dyDescent="0.35">
      <c r="A90" s="1342">
        <v>55</v>
      </c>
      <c r="B90" s="2140" t="str">
        <f t="shared" si="20"/>
        <v/>
      </c>
      <c r="C90" s="2142" t="s">
        <v>2737</v>
      </c>
      <c r="D90" s="1712" t="s">
        <v>6137</v>
      </c>
      <c r="E90" s="2149"/>
      <c r="F90" s="2149"/>
      <c r="G90" s="2149"/>
      <c r="H90" s="2149">
        <v>6791</v>
      </c>
      <c r="I90" s="2149"/>
      <c r="J90" s="2149">
        <v>9861</v>
      </c>
      <c r="K90" s="2149">
        <v>9862</v>
      </c>
      <c r="L90" s="2149"/>
      <c r="M90" s="2149"/>
      <c r="N90" s="2149"/>
      <c r="O90" s="1503"/>
      <c r="P90" s="2282" t="s">
        <v>6617</v>
      </c>
      <c r="Q90" s="1793"/>
    </row>
    <row r="91" spans="1:17" ht="12.75" x14ac:dyDescent="0.35">
      <c r="A91" s="1342">
        <v>56</v>
      </c>
      <c r="B91" s="2140" t="str">
        <f t="shared" si="20"/>
        <v/>
      </c>
      <c r="C91" s="2142" t="s">
        <v>2738</v>
      </c>
      <c r="D91" s="1712" t="s">
        <v>6138</v>
      </c>
      <c r="E91" s="2149"/>
      <c r="F91" s="2149"/>
      <c r="G91" s="2149"/>
      <c r="H91" s="2150">
        <v>-1359</v>
      </c>
      <c r="I91" s="2149"/>
      <c r="J91" s="2149"/>
      <c r="K91" s="2149"/>
      <c r="L91" s="2149"/>
      <c r="M91" s="2149"/>
      <c r="N91" s="2149"/>
      <c r="O91" s="1503"/>
      <c r="P91" s="2282" t="s">
        <v>6619</v>
      </c>
      <c r="Q91" s="1793"/>
    </row>
    <row r="92" spans="1:17" ht="12.75" x14ac:dyDescent="0.35">
      <c r="A92" s="1342">
        <v>57</v>
      </c>
      <c r="B92" s="2140" t="str">
        <f t="shared" si="20"/>
        <v/>
      </c>
      <c r="C92" s="2142" t="s">
        <v>718</v>
      </c>
      <c r="D92" s="1712" t="s">
        <v>6139</v>
      </c>
      <c r="E92" s="2149"/>
      <c r="F92" s="2149"/>
      <c r="G92" s="2149"/>
      <c r="H92" s="2149">
        <v>671</v>
      </c>
      <c r="I92" s="2149"/>
      <c r="J92" s="2149"/>
      <c r="K92" s="2149"/>
      <c r="L92" s="2149"/>
      <c r="M92" s="2149"/>
      <c r="N92" s="2149"/>
      <c r="O92" s="1503"/>
      <c r="P92" s="2282" t="s">
        <v>6654</v>
      </c>
      <c r="Q92" s="1793"/>
    </row>
    <row r="93" spans="1:17" ht="12.75" x14ac:dyDescent="0.35">
      <c r="A93" s="1342">
        <v>58</v>
      </c>
      <c r="B93" s="2140" t="str">
        <f t="shared" si="20"/>
        <v/>
      </c>
      <c r="C93" s="2142" t="s">
        <v>719</v>
      </c>
      <c r="D93" s="1712" t="s">
        <v>6140</v>
      </c>
      <c r="E93" s="2153">
        <f>MAX(0,E90+E91-E92)</f>
        <v>0</v>
      </c>
      <c r="F93" s="2153">
        <f>MAX(0,F90+F91-F92)</f>
        <v>0</v>
      </c>
      <c r="G93" s="2153">
        <f>MAX(0,G90+G91-G92)</f>
        <v>0</v>
      </c>
      <c r="H93" s="2153">
        <f t="shared" ref="H93:N93" si="21">MAX(0,H90+H91-H92)</f>
        <v>4761</v>
      </c>
      <c r="I93" s="2153">
        <f t="shared" si="21"/>
        <v>0</v>
      </c>
      <c r="J93" s="2153">
        <f t="shared" si="21"/>
        <v>9861</v>
      </c>
      <c r="K93" s="2153">
        <f t="shared" si="21"/>
        <v>9862</v>
      </c>
      <c r="L93" s="2153">
        <f t="shared" si="21"/>
        <v>0</v>
      </c>
      <c r="M93" s="2153">
        <f t="shared" si="21"/>
        <v>0</v>
      </c>
      <c r="N93" s="2153">
        <f t="shared" si="21"/>
        <v>0</v>
      </c>
      <c r="O93" s="1503"/>
      <c r="P93" s="2282" t="s">
        <v>6654</v>
      </c>
      <c r="Q93" s="1793" t="s">
        <v>6104</v>
      </c>
    </row>
    <row r="94" spans="1:17" ht="12.75" x14ac:dyDescent="0.35">
      <c r="A94" s="1342">
        <v>59</v>
      </c>
      <c r="B94" s="2140" t="str">
        <f t="shared" si="20"/>
        <v/>
      </c>
      <c r="C94" s="2142" t="s">
        <v>720</v>
      </c>
      <c r="D94" s="1712" t="s">
        <v>6141</v>
      </c>
      <c r="E94" s="2149"/>
      <c r="F94" s="2149">
        <v>1421</v>
      </c>
      <c r="G94" s="2149"/>
      <c r="H94" s="2149">
        <v>10640</v>
      </c>
      <c r="I94" s="2149"/>
      <c r="J94" s="2149"/>
      <c r="K94" s="2149"/>
      <c r="L94" s="2149"/>
      <c r="M94" s="2149"/>
      <c r="N94" s="2149">
        <v>1221</v>
      </c>
      <c r="O94" s="1503"/>
      <c r="P94" s="2282" t="s">
        <v>6617</v>
      </c>
      <c r="Q94" s="1793"/>
    </row>
    <row r="95" spans="1:17" ht="12.75" x14ac:dyDescent="0.35">
      <c r="A95" s="1342">
        <v>60</v>
      </c>
      <c r="B95" s="2140" t="str">
        <f t="shared" si="20"/>
        <v/>
      </c>
      <c r="C95" s="2142" t="s">
        <v>721</v>
      </c>
      <c r="D95" s="1712" t="s">
        <v>6142</v>
      </c>
      <c r="E95" s="2149"/>
      <c r="F95" s="2149"/>
      <c r="G95" s="2149"/>
      <c r="H95" s="2150">
        <v>-2128</v>
      </c>
      <c r="I95" s="2149"/>
      <c r="J95" s="2149"/>
      <c r="K95" s="2149"/>
      <c r="L95" s="2149"/>
      <c r="M95" s="2149"/>
      <c r="N95" s="2149"/>
      <c r="O95" s="1503"/>
      <c r="P95" s="2282" t="s">
        <v>6619</v>
      </c>
      <c r="Q95" s="1793"/>
    </row>
    <row r="96" spans="1:17" ht="20.25" x14ac:dyDescent="0.35">
      <c r="A96" s="1342">
        <v>61</v>
      </c>
      <c r="B96" s="2140" t="str">
        <f t="shared" si="20"/>
        <v/>
      </c>
      <c r="C96" s="2162" t="s">
        <v>722</v>
      </c>
      <c r="D96" s="1712" t="s">
        <v>6143</v>
      </c>
      <c r="E96" s="2152"/>
      <c r="F96" s="2152"/>
      <c r="G96" s="2152"/>
      <c r="H96" s="2152"/>
      <c r="I96" s="2152"/>
      <c r="J96" s="2152"/>
      <c r="K96" s="2152"/>
      <c r="L96" s="2152"/>
      <c r="M96" s="2152"/>
      <c r="N96" s="2152">
        <v>1221</v>
      </c>
      <c r="O96" s="1503"/>
      <c r="P96" s="2282" t="s">
        <v>6617</v>
      </c>
      <c r="Q96" s="1793" t="s">
        <v>6105</v>
      </c>
    </row>
    <row r="97" spans="1:17" ht="12.75" x14ac:dyDescent="0.35">
      <c r="A97" s="1342">
        <v>62</v>
      </c>
      <c r="B97" s="2140" t="str">
        <f t="shared" si="20"/>
        <v/>
      </c>
      <c r="C97" s="2142" t="s">
        <v>723</v>
      </c>
      <c r="D97" s="1712" t="s">
        <v>6139</v>
      </c>
      <c r="E97" s="2149"/>
      <c r="F97" s="2149">
        <v>142</v>
      </c>
      <c r="G97" s="2149"/>
      <c r="H97" s="2149">
        <v>1064</v>
      </c>
      <c r="I97" s="2149"/>
      <c r="J97" s="2149"/>
      <c r="K97" s="2149"/>
      <c r="L97" s="2149"/>
      <c r="M97" s="2149"/>
      <c r="N97" s="2149"/>
      <c r="O97" s="1503"/>
      <c r="P97" s="2282" t="s">
        <v>6617</v>
      </c>
      <c r="Q97" s="1793"/>
    </row>
    <row r="98" spans="1:17" ht="50.65" x14ac:dyDescent="0.35">
      <c r="A98" s="1342">
        <v>63</v>
      </c>
      <c r="B98" s="2140" t="str">
        <f t="shared" si="20"/>
        <v/>
      </c>
      <c r="C98" s="2142" t="s">
        <v>724</v>
      </c>
      <c r="D98" s="1712" t="s">
        <v>6144</v>
      </c>
      <c r="E98" s="2152"/>
      <c r="F98" s="2153">
        <f>MAX(0,F94+F95-(F96+F97))</f>
        <v>1279</v>
      </c>
      <c r="G98" s="2152"/>
      <c r="H98" s="2153">
        <f>MAX(0,H94+H95-(H96+H97))</f>
        <v>7448</v>
      </c>
      <c r="I98" s="2152"/>
      <c r="J98" s="2152"/>
      <c r="K98" s="2152"/>
      <c r="L98" s="2152"/>
      <c r="M98" s="2152"/>
      <c r="N98" s="2153">
        <f>MAX(0,N94+N95-(N96+N97))</f>
        <v>0</v>
      </c>
      <c r="O98" s="1503"/>
      <c r="P98" s="2282" t="s">
        <v>6654</v>
      </c>
      <c r="Q98" s="1793" t="s">
        <v>6106</v>
      </c>
    </row>
    <row r="99" spans="1:17" ht="12.75" x14ac:dyDescent="0.35">
      <c r="A99" s="1342">
        <v>64</v>
      </c>
      <c r="B99" s="2140" t="str">
        <f t="shared" si="20"/>
        <v/>
      </c>
      <c r="C99" s="2142" t="s">
        <v>2990</v>
      </c>
      <c r="D99" s="1712" t="s">
        <v>6145</v>
      </c>
      <c r="E99" s="2149"/>
      <c r="F99" s="2149"/>
      <c r="G99" s="2149"/>
      <c r="H99" s="2149"/>
      <c r="I99" s="2149"/>
      <c r="J99" s="2149"/>
      <c r="K99" s="2149"/>
      <c r="L99" s="2149"/>
      <c r="M99" s="2149"/>
      <c r="N99" s="2149"/>
      <c r="O99" s="1503"/>
      <c r="P99" s="2282" t="s">
        <v>6617</v>
      </c>
      <c r="Q99" s="1793"/>
    </row>
    <row r="100" spans="1:17" ht="12.75" x14ac:dyDescent="0.35">
      <c r="A100" s="1342">
        <v>65</v>
      </c>
      <c r="B100" s="2140" t="str">
        <f t="shared" si="20"/>
        <v/>
      </c>
      <c r="C100" s="2142" t="s">
        <v>2991</v>
      </c>
      <c r="D100" s="1712" t="s">
        <v>6146</v>
      </c>
      <c r="E100" s="2149"/>
      <c r="F100" s="2149"/>
      <c r="G100" s="2149"/>
      <c r="H100" s="2149"/>
      <c r="I100" s="2149"/>
      <c r="J100" s="2149"/>
      <c r="K100" s="2149"/>
      <c r="L100" s="2149"/>
      <c r="M100" s="2149"/>
      <c r="N100" s="2149"/>
      <c r="O100" s="1503"/>
      <c r="P100" s="2282" t="s">
        <v>6619</v>
      </c>
      <c r="Q100" s="1793"/>
    </row>
    <row r="101" spans="1:17" ht="12.75" x14ac:dyDescent="0.35">
      <c r="A101" s="1342">
        <v>66</v>
      </c>
      <c r="B101" s="2140" t="str">
        <f t="shared" si="20"/>
        <v/>
      </c>
      <c r="C101" s="2142" t="s">
        <v>2992</v>
      </c>
      <c r="D101" s="1712" t="s">
        <v>6147</v>
      </c>
      <c r="E101" s="2149"/>
      <c r="F101" s="2149"/>
      <c r="G101" s="2149"/>
      <c r="H101" s="2149"/>
      <c r="I101" s="2149"/>
      <c r="J101" s="2149"/>
      <c r="K101" s="2149"/>
      <c r="L101" s="2149"/>
      <c r="M101" s="2149"/>
      <c r="N101" s="2149">
        <v>5077</v>
      </c>
      <c r="O101" s="1503"/>
      <c r="P101" s="2282" t="s">
        <v>6654</v>
      </c>
      <c r="Q101" s="1793"/>
    </row>
    <row r="102" spans="1:17" ht="12.75" x14ac:dyDescent="0.35">
      <c r="A102" s="2744">
        <v>67</v>
      </c>
      <c r="B102" s="2792" t="str">
        <f t="shared" si="20"/>
        <v/>
      </c>
      <c r="C102" s="2793" t="s">
        <v>8370</v>
      </c>
      <c r="D102" s="2156" t="s">
        <v>6995</v>
      </c>
      <c r="E102" s="2794"/>
      <c r="F102" s="2794"/>
      <c r="G102" s="2794"/>
      <c r="H102" s="2794">
        <v>450</v>
      </c>
      <c r="I102" s="2794"/>
      <c r="J102" s="2794"/>
      <c r="K102" s="2794"/>
      <c r="L102" s="2794"/>
      <c r="M102" s="2794"/>
      <c r="N102" s="2794"/>
      <c r="O102" s="2795"/>
      <c r="P102" s="2796"/>
      <c r="Q102" s="1798"/>
    </row>
    <row r="103" spans="1:17" ht="12.75" x14ac:dyDescent="0.35">
      <c r="A103" s="2744">
        <v>68</v>
      </c>
      <c r="B103" s="2792" t="str">
        <f t="shared" si="20"/>
        <v/>
      </c>
      <c r="C103" s="3145" t="s">
        <v>7712</v>
      </c>
      <c r="D103" s="3146" t="s">
        <v>6983</v>
      </c>
      <c r="E103" s="3147"/>
      <c r="F103" s="3147"/>
      <c r="G103" s="3147"/>
      <c r="H103" s="3147"/>
      <c r="I103" s="3147"/>
      <c r="J103" s="3147"/>
      <c r="K103" s="3147"/>
      <c r="L103" s="3147"/>
      <c r="M103" s="3147"/>
      <c r="N103" s="3147"/>
      <c r="O103" s="2795"/>
      <c r="P103" s="2796"/>
      <c r="Q103" s="3148"/>
    </row>
    <row r="104" spans="1:17" ht="20.25" x14ac:dyDescent="0.35">
      <c r="A104" s="1342">
        <v>69</v>
      </c>
      <c r="B104" s="2140" t="str">
        <f t="shared" si="18"/>
        <v/>
      </c>
      <c r="C104" s="2142" t="s">
        <v>2993</v>
      </c>
      <c r="D104" s="1712" t="s">
        <v>6148</v>
      </c>
      <c r="E104" s="2153">
        <f t="shared" ref="E104:N104" si="22">MAX(0,E77+E82+E86+E93+E98)</f>
        <v>0</v>
      </c>
      <c r="F104" s="2153">
        <f t="shared" si="22"/>
        <v>7962</v>
      </c>
      <c r="G104" s="2153">
        <f t="shared" si="22"/>
        <v>9471</v>
      </c>
      <c r="H104" s="2153">
        <f t="shared" si="22"/>
        <v>21987</v>
      </c>
      <c r="I104" s="2153">
        <f t="shared" si="22"/>
        <v>0</v>
      </c>
      <c r="J104" s="2153">
        <f t="shared" si="22"/>
        <v>11430</v>
      </c>
      <c r="K104" s="2153">
        <f t="shared" si="22"/>
        <v>11431</v>
      </c>
      <c r="L104" s="2153">
        <f t="shared" si="22"/>
        <v>0</v>
      </c>
      <c r="M104" s="2153">
        <f t="shared" si="22"/>
        <v>0</v>
      </c>
      <c r="N104" s="2153">
        <f t="shared" si="22"/>
        <v>9030</v>
      </c>
      <c r="O104" s="1503"/>
      <c r="P104" s="2282" t="s">
        <v>6654</v>
      </c>
      <c r="Q104" s="1793" t="s">
        <v>6107</v>
      </c>
    </row>
    <row r="105" spans="1:17" ht="12.75" x14ac:dyDescent="0.35">
      <c r="A105" s="1342">
        <v>70</v>
      </c>
      <c r="B105" s="2140" t="str">
        <f t="shared" ref="B105:B120" si="23">IF(PS_B_IND&gt;1,IF(HLOOKUP(PS_B_IND-1,FPS_RANGE,A105)="","",HLOOKUP(PS_B_IND-1,FPS_RANGE,A105)),"")</f>
        <v/>
      </c>
      <c r="C105" s="2142" t="s">
        <v>2994</v>
      </c>
      <c r="D105" s="1712" t="s">
        <v>5996</v>
      </c>
      <c r="E105" s="1723"/>
      <c r="F105" s="1723"/>
      <c r="G105" s="2158">
        <v>1622</v>
      </c>
      <c r="H105" s="1723"/>
      <c r="I105" s="1723"/>
      <c r="J105" s="1723"/>
      <c r="K105" s="1723"/>
      <c r="L105" s="1723"/>
      <c r="M105" s="1723"/>
      <c r="N105" s="1723"/>
      <c r="O105" s="1503"/>
      <c r="P105" s="2282" t="s">
        <v>6617</v>
      </c>
      <c r="Q105" s="1793"/>
    </row>
    <row r="106" spans="1:17" ht="12.75" x14ac:dyDescent="0.35">
      <c r="A106" s="1342">
        <v>71</v>
      </c>
      <c r="B106" s="2140" t="str">
        <f t="shared" si="23"/>
        <v/>
      </c>
      <c r="C106" s="2142" t="s">
        <v>2995</v>
      </c>
      <c r="D106" s="1712" t="s">
        <v>6070</v>
      </c>
      <c r="E106" s="1723"/>
      <c r="F106" s="1723"/>
      <c r="G106" s="1723"/>
      <c r="H106" s="1723"/>
      <c r="I106" s="1723"/>
      <c r="J106" s="1723"/>
      <c r="K106" s="1723"/>
      <c r="L106" s="1723"/>
      <c r="M106" s="1723"/>
      <c r="N106" s="1723"/>
      <c r="O106" s="1503"/>
      <c r="P106" s="2282" t="s">
        <v>6654</v>
      </c>
      <c r="Q106" s="1793"/>
    </row>
    <row r="107" spans="1:17" ht="12.75" x14ac:dyDescent="0.35">
      <c r="A107" s="1342">
        <v>72</v>
      </c>
      <c r="B107" s="2140" t="str">
        <f t="shared" si="23"/>
        <v/>
      </c>
      <c r="C107" s="2142" t="s">
        <v>1565</v>
      </c>
      <c r="D107" s="1712" t="s">
        <v>6149</v>
      </c>
      <c r="E107" s="2159">
        <f t="shared" ref="E107:M107" si="24">MAX(0,E104-E105)</f>
        <v>0</v>
      </c>
      <c r="F107" s="2159">
        <f t="shared" si="24"/>
        <v>7962</v>
      </c>
      <c r="G107" s="2159">
        <f t="shared" si="24"/>
        <v>7849</v>
      </c>
      <c r="H107" s="2159">
        <f t="shared" si="24"/>
        <v>21987</v>
      </c>
      <c r="I107" s="2159">
        <f t="shared" si="24"/>
        <v>0</v>
      </c>
      <c r="J107" s="2159">
        <f t="shared" si="24"/>
        <v>11430</v>
      </c>
      <c r="K107" s="2159">
        <f>MAX(0,K104-K105)</f>
        <v>11431</v>
      </c>
      <c r="L107" s="2159">
        <f t="shared" si="24"/>
        <v>0</v>
      </c>
      <c r="M107" s="2159">
        <f t="shared" si="24"/>
        <v>0</v>
      </c>
      <c r="N107" s="2159">
        <f>MAX(0,N104-N105)</f>
        <v>9030</v>
      </c>
      <c r="O107" s="1503"/>
      <c r="P107" s="2282" t="s">
        <v>6654</v>
      </c>
      <c r="Q107" s="1793" t="s">
        <v>6108</v>
      </c>
    </row>
    <row r="108" spans="1:17" ht="12.75" x14ac:dyDescent="0.35">
      <c r="A108" s="1342">
        <v>73</v>
      </c>
      <c r="B108" s="2140" t="str">
        <f t="shared" si="23"/>
        <v/>
      </c>
      <c r="C108" s="2142" t="s">
        <v>1566</v>
      </c>
      <c r="D108" s="1712" t="s">
        <v>6218</v>
      </c>
      <c r="E108" s="2158">
        <v>390</v>
      </c>
      <c r="F108" s="2158">
        <v>748</v>
      </c>
      <c r="G108" s="2158"/>
      <c r="H108" s="2158">
        <v>1365</v>
      </c>
      <c r="I108" s="2158"/>
      <c r="J108" s="2158"/>
      <c r="K108" s="2158"/>
      <c r="L108" s="2158"/>
      <c r="M108" s="2158"/>
      <c r="N108" s="2158"/>
      <c r="O108" s="1503"/>
      <c r="P108" s="2282" t="s">
        <v>6617</v>
      </c>
      <c r="Q108" s="1793"/>
    </row>
    <row r="109" spans="1:17" ht="12.75" x14ac:dyDescent="0.35">
      <c r="A109" s="1342">
        <v>74</v>
      </c>
      <c r="B109" s="2140" t="str">
        <f t="shared" si="23"/>
        <v/>
      </c>
      <c r="C109" s="2142" t="s">
        <v>1567</v>
      </c>
      <c r="D109" s="1712" t="s">
        <v>6150</v>
      </c>
      <c r="E109" s="2158"/>
      <c r="F109" s="2158"/>
      <c r="G109" s="2158"/>
      <c r="H109" s="2158"/>
      <c r="I109" s="2158"/>
      <c r="J109" s="2158"/>
      <c r="K109" s="2158"/>
      <c r="L109" s="2158"/>
      <c r="M109" s="2158"/>
      <c r="N109" s="2158"/>
      <c r="O109" s="1503"/>
      <c r="P109" s="2282" t="s">
        <v>6617</v>
      </c>
      <c r="Q109" s="1793"/>
    </row>
    <row r="110" spans="1:17" ht="12.75" x14ac:dyDescent="0.35">
      <c r="A110" s="2744">
        <v>75</v>
      </c>
      <c r="B110" s="2140" t="str">
        <f t="shared" si="23"/>
        <v/>
      </c>
      <c r="C110" s="2142" t="s">
        <v>1182</v>
      </c>
      <c r="D110" s="1712" t="s">
        <v>6219</v>
      </c>
      <c r="E110" s="2160">
        <f>MAX(0,E108-E109)</f>
        <v>390</v>
      </c>
      <c r="F110" s="2160">
        <f>MAX(0,F108-F109)</f>
        <v>748</v>
      </c>
      <c r="G110" s="2321"/>
      <c r="H110" s="2160">
        <f>MAX(0,H108-H109)</f>
        <v>1365</v>
      </c>
      <c r="I110" s="2321"/>
      <c r="J110" s="2321"/>
      <c r="K110" s="2321"/>
      <c r="L110" s="2321"/>
      <c r="M110" s="2321"/>
      <c r="N110" s="2321"/>
      <c r="O110" s="1503"/>
      <c r="P110" s="2282" t="s">
        <v>6654</v>
      </c>
      <c r="Q110" s="1793" t="s">
        <v>6109</v>
      </c>
    </row>
    <row r="111" spans="1:17" ht="12.75" x14ac:dyDescent="0.35">
      <c r="A111" s="1342">
        <v>76</v>
      </c>
      <c r="B111" s="2140" t="str">
        <f t="shared" si="23"/>
        <v/>
      </c>
      <c r="C111" s="2142" t="s">
        <v>1183</v>
      </c>
      <c r="D111" s="1712" t="s">
        <v>6151</v>
      </c>
      <c r="E111" s="2158"/>
      <c r="F111" s="2158">
        <v>1256</v>
      </c>
      <c r="G111" s="2322"/>
      <c r="H111" s="2158">
        <v>5462</v>
      </c>
      <c r="I111" s="2322"/>
      <c r="J111" s="2322"/>
      <c r="K111" s="2322"/>
      <c r="L111" s="2322"/>
      <c r="M111" s="2322"/>
      <c r="N111" s="2322"/>
      <c r="O111" s="1503"/>
      <c r="P111" s="2282" t="s">
        <v>6617</v>
      </c>
      <c r="Q111" s="1793"/>
    </row>
    <row r="112" spans="1:17" ht="12.75" x14ac:dyDescent="0.35">
      <c r="A112" s="1342">
        <v>77</v>
      </c>
      <c r="B112" s="2140" t="str">
        <f t="shared" si="23"/>
        <v/>
      </c>
      <c r="C112" s="2142" t="s">
        <v>1184</v>
      </c>
      <c r="D112" s="1712" t="s">
        <v>6152</v>
      </c>
      <c r="E112" s="2158"/>
      <c r="F112" s="2158"/>
      <c r="G112" s="2322"/>
      <c r="H112" s="2158">
        <v>547</v>
      </c>
      <c r="I112" s="2322"/>
      <c r="J112" s="2322"/>
      <c r="K112" s="2322"/>
      <c r="L112" s="2322"/>
      <c r="M112" s="2322"/>
      <c r="N112" s="2322"/>
      <c r="O112" s="1503"/>
      <c r="P112" s="2282" t="s">
        <v>6617</v>
      </c>
      <c r="Q112" s="1793"/>
    </row>
    <row r="113" spans="1:17" ht="12.75" x14ac:dyDescent="0.35">
      <c r="A113" s="1342">
        <v>78</v>
      </c>
      <c r="B113" s="2140" t="str">
        <f t="shared" si="23"/>
        <v/>
      </c>
      <c r="C113" s="2142" t="s">
        <v>1185</v>
      </c>
      <c r="D113" s="1712" t="s">
        <v>6079</v>
      </c>
      <c r="E113" s="2321"/>
      <c r="F113" s="2160">
        <f>MAX(0,F111-F112)</f>
        <v>1256</v>
      </c>
      <c r="G113" s="2321"/>
      <c r="H113" s="2160">
        <f>MAX(0,H111-H112)</f>
        <v>4915</v>
      </c>
      <c r="I113" s="2321"/>
      <c r="J113" s="2321"/>
      <c r="K113" s="2321"/>
      <c r="L113" s="2321"/>
      <c r="M113" s="2321"/>
      <c r="N113" s="2321"/>
      <c r="O113" s="1503"/>
      <c r="P113" s="2282" t="s">
        <v>6654</v>
      </c>
      <c r="Q113" s="1793" t="s">
        <v>6110</v>
      </c>
    </row>
    <row r="114" spans="1:17" ht="12.75" x14ac:dyDescent="0.35">
      <c r="A114" s="1342">
        <v>79</v>
      </c>
      <c r="B114" s="2140" t="str">
        <f t="shared" si="23"/>
        <v/>
      </c>
      <c r="C114" s="2142" t="s">
        <v>1186</v>
      </c>
      <c r="D114" s="1712" t="s">
        <v>6153</v>
      </c>
      <c r="E114" s="2158"/>
      <c r="F114" s="2158">
        <v>250</v>
      </c>
      <c r="G114" s="2158"/>
      <c r="H114" s="2158">
        <v>216</v>
      </c>
      <c r="I114" s="2158"/>
      <c r="J114" s="2158"/>
      <c r="K114" s="2158"/>
      <c r="L114" s="2158"/>
      <c r="M114" s="2158"/>
      <c r="N114" s="2158"/>
      <c r="O114" s="1503"/>
      <c r="P114" s="2282" t="s">
        <v>6617</v>
      </c>
      <c r="Q114" s="1793"/>
    </row>
    <row r="115" spans="1:17" ht="12.75" x14ac:dyDescent="0.35">
      <c r="A115" s="1342">
        <v>80</v>
      </c>
      <c r="B115" s="2140" t="str">
        <f t="shared" si="23"/>
        <v/>
      </c>
      <c r="C115" s="2142" t="s">
        <v>1193</v>
      </c>
      <c r="D115" s="1712" t="s">
        <v>6080</v>
      </c>
      <c r="E115" s="2158"/>
      <c r="F115" s="2158">
        <v>38</v>
      </c>
      <c r="G115" s="2158"/>
      <c r="H115" s="2158">
        <v>182</v>
      </c>
      <c r="I115" s="2158"/>
      <c r="J115" s="2158"/>
      <c r="K115" s="2158"/>
      <c r="L115" s="2158"/>
      <c r="M115" s="2158"/>
      <c r="N115" s="2158"/>
      <c r="O115" s="1503"/>
      <c r="P115" s="2282" t="s">
        <v>6617</v>
      </c>
      <c r="Q115" s="1793"/>
    </row>
    <row r="116" spans="1:17" ht="12.75" x14ac:dyDescent="0.35">
      <c r="A116" s="1342">
        <v>81</v>
      </c>
      <c r="B116" s="2140" t="str">
        <f t="shared" si="23"/>
        <v/>
      </c>
      <c r="C116" s="2142" t="s">
        <v>2746</v>
      </c>
      <c r="D116" s="1712" t="s">
        <v>6154</v>
      </c>
      <c r="E116" s="2160">
        <f t="shared" ref="E116:N116" si="25">MAX(0,E56+E107+E114-E115)</f>
        <v>62952</v>
      </c>
      <c r="F116" s="2160">
        <f t="shared" si="25"/>
        <v>8174</v>
      </c>
      <c r="G116" s="2160">
        <f t="shared" si="25"/>
        <v>98780</v>
      </c>
      <c r="H116" s="2160">
        <f t="shared" si="25"/>
        <v>210686</v>
      </c>
      <c r="I116" s="2160">
        <f t="shared" si="25"/>
        <v>12710</v>
      </c>
      <c r="J116" s="2160">
        <f t="shared" si="25"/>
        <v>22453</v>
      </c>
      <c r="K116" s="2160">
        <f t="shared" si="25"/>
        <v>11431</v>
      </c>
      <c r="L116" s="2160">
        <f t="shared" si="25"/>
        <v>490000</v>
      </c>
      <c r="M116" s="2160">
        <f t="shared" si="25"/>
        <v>0</v>
      </c>
      <c r="N116" s="2160">
        <f t="shared" si="25"/>
        <v>17933</v>
      </c>
      <c r="O116" s="1503"/>
      <c r="P116" s="2282" t="s">
        <v>6654</v>
      </c>
      <c r="Q116" s="1793" t="s">
        <v>6111</v>
      </c>
    </row>
    <row r="117" spans="1:17" ht="12.75" x14ac:dyDescent="0.35">
      <c r="A117" s="1342">
        <v>82</v>
      </c>
      <c r="B117" s="2140" t="str">
        <f t="shared" si="23"/>
        <v/>
      </c>
      <c r="C117" s="2142" t="s">
        <v>2747</v>
      </c>
      <c r="D117" s="1712" t="s">
        <v>6080</v>
      </c>
      <c r="E117" s="2161">
        <v>219</v>
      </c>
      <c r="F117" s="2161">
        <v>252</v>
      </c>
      <c r="G117" s="2161"/>
      <c r="H117" s="2161">
        <v>11245</v>
      </c>
      <c r="I117" s="2161"/>
      <c r="J117" s="2161"/>
      <c r="K117" s="2161"/>
      <c r="L117" s="2161"/>
      <c r="M117" s="2161"/>
      <c r="N117" s="2161"/>
      <c r="O117" s="1503"/>
      <c r="P117" s="2282" t="s">
        <v>6617</v>
      </c>
      <c r="Q117" s="1793"/>
    </row>
    <row r="118" spans="1:17" ht="12.75" x14ac:dyDescent="0.35">
      <c r="A118" s="2744">
        <v>83</v>
      </c>
      <c r="B118" s="2140" t="str">
        <f t="shared" si="23"/>
        <v/>
      </c>
      <c r="C118" s="2142" t="s">
        <v>2748</v>
      </c>
      <c r="D118" s="1712" t="s">
        <v>6081</v>
      </c>
      <c r="E118" s="2161"/>
      <c r="F118" s="2161"/>
      <c r="G118" s="2161"/>
      <c r="H118" s="2161">
        <v>8670</v>
      </c>
      <c r="I118" s="2161"/>
      <c r="J118" s="2161"/>
      <c r="K118" s="2161"/>
      <c r="L118" s="2161"/>
      <c r="M118" s="2161"/>
      <c r="N118" s="2161"/>
      <c r="O118" s="1503"/>
      <c r="P118" s="2282" t="s">
        <v>6617</v>
      </c>
      <c r="Q118" s="1793"/>
    </row>
    <row r="119" spans="1:17" ht="12.75" x14ac:dyDescent="0.35">
      <c r="A119" s="1342">
        <v>84</v>
      </c>
      <c r="B119" s="2140" t="str">
        <f t="shared" si="23"/>
        <v/>
      </c>
      <c r="C119" s="2142" t="s">
        <v>2749</v>
      </c>
      <c r="D119" s="1712" t="s">
        <v>6082</v>
      </c>
      <c r="E119" s="2161"/>
      <c r="F119" s="2161"/>
      <c r="G119" s="2161">
        <v>1267</v>
      </c>
      <c r="H119" s="2161"/>
      <c r="I119" s="2161"/>
      <c r="J119" s="2161"/>
      <c r="K119" s="2161"/>
      <c r="L119" s="2161"/>
      <c r="M119" s="2161"/>
      <c r="N119" s="2161"/>
      <c r="O119" s="1503"/>
      <c r="P119" s="2282" t="s">
        <v>6617</v>
      </c>
      <c r="Q119" s="1793"/>
    </row>
    <row r="120" spans="1:17" ht="12.75" x14ac:dyDescent="0.35">
      <c r="A120" s="1342">
        <v>85</v>
      </c>
      <c r="B120" s="2140" t="str">
        <f t="shared" si="23"/>
        <v/>
      </c>
      <c r="C120" s="2142" t="s">
        <v>3399</v>
      </c>
      <c r="D120" s="1712" t="s">
        <v>6220</v>
      </c>
      <c r="E120" s="2159">
        <f>E117+E118+E119</f>
        <v>219</v>
      </c>
      <c r="F120" s="2159">
        <f>F117+F118+F119</f>
        <v>252</v>
      </c>
      <c r="G120" s="2159">
        <f>G117+G118+G119</f>
        <v>1267</v>
      </c>
      <c r="H120" s="2159">
        <f>H117+H118+H119</f>
        <v>19915</v>
      </c>
      <c r="I120" s="2320"/>
      <c r="J120" s="2320"/>
      <c r="K120" s="2320"/>
      <c r="L120" s="2320"/>
      <c r="M120" s="2320"/>
      <c r="N120" s="2320"/>
      <c r="O120" s="1503"/>
      <c r="P120" s="2282" t="s">
        <v>6617</v>
      </c>
      <c r="Q120" s="1793" t="s">
        <v>6221</v>
      </c>
    </row>
  </sheetData>
  <phoneticPr fontId="68" type="noConversion"/>
  <dataValidations count="2">
    <dataValidation type="list" allowBlank="1" showInputMessage="1" showErrorMessage="1" sqref="P31">
      <formula1>"optional, mandatory"</formula1>
    </dataValidation>
    <dataValidation type="list" allowBlank="1" showInputMessage="1" showErrorMessage="1" sqref="P32:P34 P3:P30 P37:P77 P104:P120 P80:P101">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rgb="FFFFFF99"/>
  </sheetPr>
  <dimension ref="A1:S67"/>
  <sheetViews>
    <sheetView showGridLines="0" zoomScaleNormal="100" workbookViewId="0">
      <pane ySplit="1" topLeftCell="A44" activePane="bottomLeft" state="frozen"/>
      <selection pane="bottomLeft" activeCell="M65" sqref="M65"/>
    </sheetView>
  </sheetViews>
  <sheetFormatPr defaultRowHeight="12.75" x14ac:dyDescent="0.35"/>
  <cols>
    <col min="1" max="1" width="3.86328125" style="1343" bestFit="1" customWidth="1"/>
    <col min="2" max="2" width="7.73046875" bestFit="1" customWidth="1"/>
    <col min="3" max="3" width="7.1328125" customWidth="1"/>
    <col min="4" max="4" width="52.3984375" bestFit="1" customWidth="1"/>
    <col min="5" max="5" width="7.86328125" bestFit="1" customWidth="1"/>
    <col min="6" max="6" width="9" bestFit="1" customWidth="1"/>
    <col min="7" max="7" width="8.86328125" bestFit="1" customWidth="1"/>
    <col min="8" max="8" width="8" bestFit="1" customWidth="1"/>
    <col min="9" max="10" width="9" bestFit="1" customWidth="1"/>
    <col min="11" max="11" width="8.86328125" bestFit="1" customWidth="1"/>
    <col min="12" max="12" width="8" bestFit="1" customWidth="1"/>
    <col min="13" max="13" width="8.86328125" bestFit="1" customWidth="1"/>
    <col min="14" max="14" width="9.86328125" bestFit="1" customWidth="1"/>
    <col min="15" max="15" width="9.86328125" customWidth="1"/>
    <col min="16" max="16" width="8.265625" customWidth="1"/>
    <col min="17" max="17" width="2.265625" customWidth="1"/>
    <col min="18" max="18" width="28.86328125" style="7" bestFit="1" customWidth="1"/>
    <col min="19" max="19" width="64.86328125" bestFit="1" customWidth="1"/>
  </cols>
  <sheetData>
    <row r="1" spans="1:19" ht="13.15" x14ac:dyDescent="0.4">
      <c r="A1" s="1342" t="s">
        <v>4845</v>
      </c>
      <c r="B1" s="676" t="s">
        <v>4210</v>
      </c>
      <c r="C1" s="2124" t="s">
        <v>3566</v>
      </c>
      <c r="D1" s="2125"/>
      <c r="E1" s="1616">
        <v>1</v>
      </c>
      <c r="F1" s="1616">
        <v>2</v>
      </c>
      <c r="G1" s="1616">
        <v>3</v>
      </c>
      <c r="H1" s="1616">
        <v>4</v>
      </c>
      <c r="I1" s="1616">
        <v>5</v>
      </c>
      <c r="J1" s="1616">
        <v>6</v>
      </c>
      <c r="K1" s="1616">
        <v>7</v>
      </c>
      <c r="L1" s="1616">
        <v>8</v>
      </c>
      <c r="M1" s="1616">
        <v>9</v>
      </c>
      <c r="N1" s="1616">
        <v>10</v>
      </c>
      <c r="O1" s="3671">
        <v>11</v>
      </c>
      <c r="P1" s="2136">
        <v>12</v>
      </c>
      <c r="Q1" s="1503"/>
      <c r="R1" s="2374" t="s">
        <v>6613</v>
      </c>
      <c r="S1" s="1502" t="s">
        <v>5460</v>
      </c>
    </row>
    <row r="2" spans="1:19" ht="13.15" x14ac:dyDescent="0.35">
      <c r="A2" s="1342">
        <v>2</v>
      </c>
      <c r="B2" s="2067">
        <f t="shared" ref="B2:B6" si="0">IF(PRO_IND&gt;1,IF(HLOOKUP(PRO_IND-1,PRO_RANGE,A2)="","",HLOOKUP(PRO_IND-1,PRO_RANGE,A2)),"")</f>
        <v>2</v>
      </c>
      <c r="C2" s="2126" t="s">
        <v>1959</v>
      </c>
      <c r="D2" s="727" t="s">
        <v>6163</v>
      </c>
      <c r="E2" s="732">
        <v>1</v>
      </c>
      <c r="F2" s="732">
        <v>1</v>
      </c>
      <c r="G2" s="732">
        <v>4</v>
      </c>
      <c r="H2" s="732">
        <v>2</v>
      </c>
      <c r="I2" s="731">
        <v>4</v>
      </c>
      <c r="J2" s="731">
        <v>5</v>
      </c>
      <c r="K2" s="731">
        <v>6</v>
      </c>
      <c r="L2" s="731">
        <v>3</v>
      </c>
      <c r="M2" s="731">
        <v>2</v>
      </c>
      <c r="N2" s="116"/>
      <c r="O2" s="3604"/>
      <c r="P2" s="3672"/>
      <c r="Q2" s="1503"/>
      <c r="R2" s="2376" t="s">
        <v>6616</v>
      </c>
      <c r="S2" s="1502" t="s">
        <v>5460</v>
      </c>
    </row>
    <row r="3" spans="1:19" x14ac:dyDescent="0.35">
      <c r="A3" s="1342">
        <v>3</v>
      </c>
      <c r="B3" s="2067" t="str">
        <f t="shared" si="0"/>
        <v/>
      </c>
      <c r="C3" s="2126" t="s">
        <v>1960</v>
      </c>
      <c r="D3" s="727" t="s">
        <v>6164</v>
      </c>
      <c r="E3" s="732"/>
      <c r="F3" s="732"/>
      <c r="G3" s="732"/>
      <c r="H3" s="731"/>
      <c r="I3" s="731"/>
      <c r="J3" s="731"/>
      <c r="K3" s="731"/>
      <c r="L3" s="731"/>
      <c r="M3" s="731"/>
      <c r="N3" s="116"/>
      <c r="O3" s="3604"/>
      <c r="P3" s="3672"/>
      <c r="Q3" s="1503"/>
      <c r="R3" s="2376" t="s">
        <v>6620</v>
      </c>
      <c r="S3" s="1793"/>
    </row>
    <row r="4" spans="1:19" x14ac:dyDescent="0.35">
      <c r="A4" s="1342">
        <v>4</v>
      </c>
      <c r="B4" s="2067" t="str">
        <f t="shared" si="0"/>
        <v/>
      </c>
      <c r="C4" s="2126" t="s">
        <v>1961</v>
      </c>
      <c r="D4" s="727" t="s">
        <v>6165</v>
      </c>
      <c r="E4" s="732"/>
      <c r="F4" s="732" t="s">
        <v>583</v>
      </c>
      <c r="G4" s="732"/>
      <c r="H4" s="731"/>
      <c r="I4" s="731"/>
      <c r="J4" s="731"/>
      <c r="K4" s="731"/>
      <c r="L4" s="731"/>
      <c r="M4" s="731"/>
      <c r="N4" s="116"/>
      <c r="O4" s="3604"/>
      <c r="P4" s="3672"/>
      <c r="Q4" s="1503"/>
      <c r="R4" s="2376" t="s">
        <v>6620</v>
      </c>
      <c r="S4" s="1793"/>
    </row>
    <row r="5" spans="1:19" x14ac:dyDescent="0.35">
      <c r="A5" s="1342">
        <v>5</v>
      </c>
      <c r="B5" s="2067" t="str">
        <f t="shared" si="0"/>
        <v/>
      </c>
      <c r="C5" s="2126" t="s">
        <v>1124</v>
      </c>
      <c r="D5" s="727" t="s">
        <v>6166</v>
      </c>
      <c r="E5" s="2123"/>
      <c r="F5" s="2123"/>
      <c r="G5" s="2123"/>
      <c r="H5" s="2123"/>
      <c r="I5" s="2123"/>
      <c r="J5" s="2123"/>
      <c r="K5" s="2123"/>
      <c r="L5" s="2123"/>
      <c r="M5" s="2123"/>
      <c r="N5" s="2323"/>
      <c r="O5" s="3673"/>
      <c r="P5" s="3674"/>
      <c r="Q5" s="1503"/>
      <c r="R5" s="2376" t="s">
        <v>6620</v>
      </c>
      <c r="S5" s="1793"/>
    </row>
    <row r="6" spans="1:19" x14ac:dyDescent="0.35">
      <c r="A6" s="1342">
        <v>6</v>
      </c>
      <c r="B6" s="2067" t="str">
        <f t="shared" si="0"/>
        <v/>
      </c>
      <c r="C6" s="2486" t="s">
        <v>1125</v>
      </c>
      <c r="D6" s="2485" t="s">
        <v>6167</v>
      </c>
      <c r="E6" s="2471"/>
      <c r="F6" s="2471">
        <v>10800</v>
      </c>
      <c r="G6" s="2471"/>
      <c r="H6" s="2471">
        <v>3500</v>
      </c>
      <c r="I6" s="2471">
        <v>16254</v>
      </c>
      <c r="J6" s="2482">
        <v>38247</v>
      </c>
      <c r="K6" s="2471"/>
      <c r="L6" s="2471">
        <v>7000</v>
      </c>
      <c r="M6" s="2471"/>
      <c r="N6" s="2472"/>
      <c r="O6" s="3607"/>
      <c r="P6" s="3675"/>
      <c r="Q6" s="1503"/>
      <c r="R6" s="2376" t="s">
        <v>6654</v>
      </c>
      <c r="S6" s="1793"/>
    </row>
    <row r="7" spans="1:19" ht="20.25" x14ac:dyDescent="0.35">
      <c r="A7" s="1342">
        <v>7</v>
      </c>
      <c r="B7" s="2067" t="str">
        <f t="shared" ref="B7:B23" si="1">IF(PRO_IND&gt;1,IF(HLOOKUP(PRO_IND-1,PRO_RANGE,A7)="","",HLOOKUP(PRO_IND-1,PRO_RANGE,A7)),"")</f>
        <v/>
      </c>
      <c r="C7" s="3792" t="s">
        <v>8405</v>
      </c>
      <c r="D7" s="3793" t="s">
        <v>8401</v>
      </c>
      <c r="E7" s="3583"/>
      <c r="F7" s="3583"/>
      <c r="G7" s="3583"/>
      <c r="H7" s="3583"/>
      <c r="I7" s="3583"/>
      <c r="J7" s="3583"/>
      <c r="K7" s="3583"/>
      <c r="L7" s="3583"/>
      <c r="M7" s="3583"/>
      <c r="N7" s="3583"/>
      <c r="O7" s="3785"/>
      <c r="P7" s="3789"/>
      <c r="Q7" s="3790"/>
      <c r="R7" s="3788" t="s">
        <v>6617</v>
      </c>
      <c r="S7" s="3575" t="s">
        <v>8407</v>
      </c>
    </row>
    <row r="8" spans="1:19" x14ac:dyDescent="0.35">
      <c r="A8" s="1342">
        <v>8</v>
      </c>
      <c r="B8" s="2067" t="str">
        <f t="shared" si="1"/>
        <v/>
      </c>
      <c r="C8" s="3792" t="s">
        <v>8406</v>
      </c>
      <c r="D8" s="3793" t="s">
        <v>8402</v>
      </c>
      <c r="E8" s="3786"/>
      <c r="F8" s="3787"/>
      <c r="G8" s="3787"/>
      <c r="H8" s="3830" t="s">
        <v>583</v>
      </c>
      <c r="I8" s="3830" t="s">
        <v>583</v>
      </c>
      <c r="J8" s="3830" t="s">
        <v>583</v>
      </c>
      <c r="K8" s="3830"/>
      <c r="L8" s="3830"/>
      <c r="M8" s="3787"/>
      <c r="N8" s="3787"/>
      <c r="O8" s="3787"/>
      <c r="P8" s="3791"/>
      <c r="Q8" s="3790"/>
      <c r="R8" s="3788" t="s">
        <v>6620</v>
      </c>
      <c r="S8" s="3586"/>
    </row>
    <row r="9" spans="1:19" x14ac:dyDescent="0.35">
      <c r="A9" s="1342">
        <v>9</v>
      </c>
      <c r="B9" s="2067" t="str">
        <f t="shared" si="1"/>
        <v/>
      </c>
      <c r="C9" s="2486" t="s">
        <v>1126</v>
      </c>
      <c r="D9" s="2485" t="s">
        <v>6168</v>
      </c>
      <c r="E9" s="2471"/>
      <c r="F9" s="2471">
        <v>950</v>
      </c>
      <c r="G9" s="2471"/>
      <c r="H9" s="2471">
        <v>2750</v>
      </c>
      <c r="I9" s="2471">
        <v>2960</v>
      </c>
      <c r="J9" s="2482">
        <v>26542</v>
      </c>
      <c r="K9" s="2471"/>
      <c r="L9" s="2471">
        <v>900</v>
      </c>
      <c r="M9" s="2471"/>
      <c r="N9" s="2472"/>
      <c r="O9" s="3607"/>
      <c r="P9" s="3675"/>
      <c r="Q9" s="1503"/>
      <c r="R9" s="2376" t="s">
        <v>6617</v>
      </c>
      <c r="S9" s="1793"/>
    </row>
    <row r="10" spans="1:19" x14ac:dyDescent="0.35">
      <c r="A10" s="1342">
        <v>10</v>
      </c>
      <c r="B10" s="2067" t="str">
        <f t="shared" si="1"/>
        <v/>
      </c>
      <c r="C10" s="2486" t="s">
        <v>1127</v>
      </c>
      <c r="D10" s="2485" t="s">
        <v>6169</v>
      </c>
      <c r="E10" s="2471"/>
      <c r="F10" s="2471">
        <v>3000</v>
      </c>
      <c r="G10" s="2471"/>
      <c r="H10" s="2471">
        <v>600</v>
      </c>
      <c r="I10" s="2471">
        <v>4521</v>
      </c>
      <c r="J10" s="2482"/>
      <c r="K10" s="2471">
        <v>4555</v>
      </c>
      <c r="L10" s="2471">
        <v>1874</v>
      </c>
      <c r="M10" s="2471"/>
      <c r="N10" s="2472"/>
      <c r="O10" s="3607"/>
      <c r="P10" s="3675"/>
      <c r="Q10" s="1503"/>
      <c r="R10" s="2376" t="s">
        <v>6617</v>
      </c>
      <c r="S10" s="1793"/>
    </row>
    <row r="11" spans="1:19" x14ac:dyDescent="0.35">
      <c r="A11" s="1342">
        <v>11</v>
      </c>
      <c r="B11" s="2067" t="str">
        <f t="shared" si="1"/>
        <v/>
      </c>
      <c r="C11" s="2486" t="s">
        <v>1128</v>
      </c>
      <c r="D11" s="2485" t="s">
        <v>5909</v>
      </c>
      <c r="E11" s="2471"/>
      <c r="F11" s="2471">
        <v>250</v>
      </c>
      <c r="G11" s="2471"/>
      <c r="H11" s="2471">
        <v>100</v>
      </c>
      <c r="I11" s="2471">
        <v>364</v>
      </c>
      <c r="J11" s="2482">
        <v>9023</v>
      </c>
      <c r="K11" s="2471">
        <v>2320</v>
      </c>
      <c r="L11" s="2471"/>
      <c r="M11" s="2471"/>
      <c r="N11" s="2472"/>
      <c r="O11" s="3607"/>
      <c r="P11" s="3675"/>
      <c r="Q11" s="1503"/>
      <c r="R11" s="2376" t="s">
        <v>6617</v>
      </c>
      <c r="S11" s="1793"/>
    </row>
    <row r="12" spans="1:19" x14ac:dyDescent="0.35">
      <c r="A12" s="1342">
        <v>12</v>
      </c>
      <c r="B12" s="2067" t="str">
        <f t="shared" si="1"/>
        <v/>
      </c>
      <c r="C12" s="2486" t="s">
        <v>1129</v>
      </c>
      <c r="D12" s="2485" t="s">
        <v>1971</v>
      </c>
      <c r="E12" s="2471"/>
      <c r="F12" s="2471">
        <v>325</v>
      </c>
      <c r="G12" s="2471"/>
      <c r="H12" s="2471">
        <v>30</v>
      </c>
      <c r="I12" s="2471">
        <v>27</v>
      </c>
      <c r="J12" s="2482"/>
      <c r="K12" s="2471"/>
      <c r="L12" s="2471"/>
      <c r="M12" s="2471"/>
      <c r="N12" s="2472"/>
      <c r="O12" s="3607"/>
      <c r="P12" s="3675"/>
      <c r="Q12" s="1503"/>
      <c r="R12" s="2376" t="s">
        <v>6617</v>
      </c>
      <c r="S12" s="1793"/>
    </row>
    <row r="13" spans="1:19" x14ac:dyDescent="0.35">
      <c r="A13" s="1342">
        <v>13</v>
      </c>
      <c r="B13" s="2067" t="str">
        <f t="shared" si="1"/>
        <v/>
      </c>
      <c r="C13" s="2486" t="s">
        <v>1130</v>
      </c>
      <c r="D13" s="2485" t="s">
        <v>6170</v>
      </c>
      <c r="E13" s="2471"/>
      <c r="F13" s="2471"/>
      <c r="G13" s="2471"/>
      <c r="H13" s="2471"/>
      <c r="I13" s="2471">
        <v>370</v>
      </c>
      <c r="J13" s="2482"/>
      <c r="K13" s="2471">
        <v>1150</v>
      </c>
      <c r="L13" s="2471">
        <v>135</v>
      </c>
      <c r="M13" s="2471"/>
      <c r="N13" s="2472"/>
      <c r="O13" s="3607"/>
      <c r="P13" s="3675"/>
      <c r="Q13" s="1503"/>
      <c r="R13" s="2376" t="s">
        <v>6617</v>
      </c>
      <c r="S13" s="1793" t="s">
        <v>6155</v>
      </c>
    </row>
    <row r="14" spans="1:19" x14ac:dyDescent="0.35">
      <c r="A14" s="1342">
        <v>14</v>
      </c>
      <c r="B14" s="2067" t="str">
        <f t="shared" si="1"/>
        <v/>
      </c>
      <c r="C14" s="2486" t="s">
        <v>1131</v>
      </c>
      <c r="D14" s="2485" t="s">
        <v>5780</v>
      </c>
      <c r="E14" s="2471"/>
      <c r="F14" s="2471"/>
      <c r="G14" s="2471"/>
      <c r="H14" s="2471"/>
      <c r="I14" s="2471">
        <v>567</v>
      </c>
      <c r="J14" s="2482"/>
      <c r="K14" s="2471"/>
      <c r="L14" s="2471"/>
      <c r="M14" s="2471"/>
      <c r="N14" s="2472"/>
      <c r="O14" s="3607"/>
      <c r="P14" s="3675"/>
      <c r="Q14" s="1503"/>
      <c r="R14" s="2376" t="s">
        <v>6617</v>
      </c>
      <c r="S14" s="3575" t="s">
        <v>8408</v>
      </c>
    </row>
    <row r="15" spans="1:19" x14ac:dyDescent="0.35">
      <c r="A15" s="1342">
        <v>15</v>
      </c>
      <c r="B15" s="2067" t="str">
        <f t="shared" si="1"/>
        <v/>
      </c>
      <c r="C15" s="2486" t="s">
        <v>1132</v>
      </c>
      <c r="D15" s="2485" t="s">
        <v>6171</v>
      </c>
      <c r="E15" s="2471"/>
      <c r="F15" s="2471">
        <v>1252</v>
      </c>
      <c r="G15" s="2471"/>
      <c r="H15" s="2471"/>
      <c r="I15" s="2471">
        <v>1420</v>
      </c>
      <c r="J15" s="2482">
        <v>48014</v>
      </c>
      <c r="K15" s="2471"/>
      <c r="L15" s="2471"/>
      <c r="M15" s="2471"/>
      <c r="N15" s="2472"/>
      <c r="O15" s="3607"/>
      <c r="P15" s="3675"/>
      <c r="Q15" s="1503"/>
      <c r="R15" s="2376" t="s">
        <v>6617</v>
      </c>
      <c r="S15" s="1793"/>
    </row>
    <row r="16" spans="1:19" ht="30.4" x14ac:dyDescent="0.35">
      <c r="A16" s="1342">
        <v>16</v>
      </c>
      <c r="B16" s="2067">
        <f t="shared" si="1"/>
        <v>0</v>
      </c>
      <c r="C16" s="2487" t="s">
        <v>3312</v>
      </c>
      <c r="D16" s="2485" t="s">
        <v>6172</v>
      </c>
      <c r="E16" s="2473">
        <f t="shared" ref="E16:P16" si="2">MAX(0,E6+E13+E14-(E9+E10+E11+E12+E15))</f>
        <v>0</v>
      </c>
      <c r="F16" s="2473">
        <f t="shared" si="2"/>
        <v>5023</v>
      </c>
      <c r="G16" s="2473">
        <f t="shared" si="2"/>
        <v>0</v>
      </c>
      <c r="H16" s="2473">
        <f t="shared" si="2"/>
        <v>20</v>
      </c>
      <c r="I16" s="2473">
        <f t="shared" si="2"/>
        <v>7899</v>
      </c>
      <c r="J16" s="2473">
        <f t="shared" si="2"/>
        <v>0</v>
      </c>
      <c r="K16" s="2473">
        <f t="shared" si="2"/>
        <v>0</v>
      </c>
      <c r="L16" s="2473">
        <f t="shared" si="2"/>
        <v>4361</v>
      </c>
      <c r="M16" s="2473">
        <f t="shared" si="2"/>
        <v>0</v>
      </c>
      <c r="N16" s="2473">
        <f t="shared" si="2"/>
        <v>0</v>
      </c>
      <c r="O16" s="3669">
        <f t="shared" si="2"/>
        <v>0</v>
      </c>
      <c r="P16" s="3676">
        <f t="shared" si="2"/>
        <v>0</v>
      </c>
      <c r="Q16" s="1503"/>
      <c r="R16" s="2377" t="s">
        <v>6654</v>
      </c>
      <c r="S16" s="1793" t="s">
        <v>6156</v>
      </c>
    </row>
    <row r="17" spans="1:19" x14ac:dyDescent="0.35">
      <c r="A17" s="1342">
        <v>17</v>
      </c>
      <c r="B17" s="2067" t="str">
        <f t="shared" si="1"/>
        <v/>
      </c>
      <c r="C17" s="2487" t="s">
        <v>3313</v>
      </c>
      <c r="D17" s="2485" t="s">
        <v>6173</v>
      </c>
      <c r="E17" s="2474"/>
      <c r="F17" s="2474"/>
      <c r="G17" s="2475"/>
      <c r="H17" s="2474"/>
      <c r="I17" s="2474"/>
      <c r="J17" s="2475"/>
      <c r="K17" s="2475"/>
      <c r="L17" s="2474"/>
      <c r="M17" s="2475"/>
      <c r="N17" s="2475"/>
      <c r="O17" s="3668"/>
      <c r="P17" s="3590"/>
      <c r="Q17" s="1503"/>
      <c r="R17" s="2376" t="s">
        <v>6654</v>
      </c>
      <c r="S17" s="1793"/>
    </row>
    <row r="18" spans="1:19" ht="20.25" x14ac:dyDescent="0.35">
      <c r="A18" s="1342">
        <v>18</v>
      </c>
      <c r="B18" s="2067">
        <f t="shared" si="1"/>
        <v>0</v>
      </c>
      <c r="C18" s="2487" t="s">
        <v>3709</v>
      </c>
      <c r="D18" s="2485" t="s">
        <v>6174</v>
      </c>
      <c r="E18" s="2473">
        <f t="shared" ref="E18:P18" si="3">MAX(0,E16-E17)</f>
        <v>0</v>
      </c>
      <c r="F18" s="2473">
        <f t="shared" si="3"/>
        <v>5023</v>
      </c>
      <c r="G18" s="2473">
        <f t="shared" si="3"/>
        <v>0</v>
      </c>
      <c r="H18" s="2473">
        <f t="shared" si="3"/>
        <v>20</v>
      </c>
      <c r="I18" s="2473">
        <f t="shared" si="3"/>
        <v>7899</v>
      </c>
      <c r="J18" s="2701">
        <f t="shared" si="3"/>
        <v>0</v>
      </c>
      <c r="K18" s="2473">
        <f t="shared" si="3"/>
        <v>0</v>
      </c>
      <c r="L18" s="2473">
        <f t="shared" si="3"/>
        <v>4361</v>
      </c>
      <c r="M18" s="2473">
        <f t="shared" si="3"/>
        <v>0</v>
      </c>
      <c r="N18" s="2473">
        <f t="shared" si="3"/>
        <v>0</v>
      </c>
      <c r="O18" s="3669">
        <f t="shared" si="3"/>
        <v>0</v>
      </c>
      <c r="P18" s="3676">
        <f t="shared" si="3"/>
        <v>0</v>
      </c>
      <c r="Q18" s="1503"/>
      <c r="R18" s="2376" t="s">
        <v>6654</v>
      </c>
      <c r="S18" s="1793" t="s">
        <v>6157</v>
      </c>
    </row>
    <row r="19" spans="1:19" ht="50.65" x14ac:dyDescent="0.35">
      <c r="A19" s="1342">
        <v>19</v>
      </c>
      <c r="B19" s="2067">
        <f t="shared" si="1"/>
        <v>0</v>
      </c>
      <c r="C19" s="2486" t="s">
        <v>3710</v>
      </c>
      <c r="D19" s="2485" t="s">
        <v>6175</v>
      </c>
      <c r="E19" s="2477">
        <f t="shared" ref="E19:P19" si="4">MAX(0,(E9+E10+E11+E12+E15)-(E6+E13+E14))</f>
        <v>0</v>
      </c>
      <c r="F19" s="2477">
        <f t="shared" si="4"/>
        <v>0</v>
      </c>
      <c r="G19" s="2477">
        <f t="shared" si="4"/>
        <v>0</v>
      </c>
      <c r="H19" s="2477">
        <f t="shared" si="4"/>
        <v>0</v>
      </c>
      <c r="I19" s="2477">
        <f t="shared" si="4"/>
        <v>0</v>
      </c>
      <c r="J19" s="2702">
        <f t="shared" si="4"/>
        <v>45332</v>
      </c>
      <c r="K19" s="2477">
        <f t="shared" si="4"/>
        <v>5725</v>
      </c>
      <c r="L19" s="2477">
        <f t="shared" si="4"/>
        <v>0</v>
      </c>
      <c r="M19" s="2477">
        <f t="shared" si="4"/>
        <v>0</v>
      </c>
      <c r="N19" s="2477">
        <f t="shared" si="4"/>
        <v>0</v>
      </c>
      <c r="O19" s="3669">
        <f t="shared" si="4"/>
        <v>0</v>
      </c>
      <c r="P19" s="3676">
        <f t="shared" si="4"/>
        <v>0</v>
      </c>
      <c r="Q19" s="1503"/>
      <c r="R19" s="2376" t="s">
        <v>6654</v>
      </c>
      <c r="S19" s="3575" t="s">
        <v>8400</v>
      </c>
    </row>
    <row r="20" spans="1:19" x14ac:dyDescent="0.35">
      <c r="A20" s="1342">
        <v>20</v>
      </c>
      <c r="B20" s="2067" t="str">
        <f t="shared" si="1"/>
        <v/>
      </c>
      <c r="C20" s="2486" t="s">
        <v>3711</v>
      </c>
      <c r="D20" s="2485" t="s">
        <v>6176</v>
      </c>
      <c r="E20" s="2476"/>
      <c r="F20" s="2476"/>
      <c r="G20" s="2476"/>
      <c r="H20" s="2476"/>
      <c r="I20" s="2476"/>
      <c r="J20" s="2476">
        <f>J19+J17</f>
        <v>45332</v>
      </c>
      <c r="K20" s="2477">
        <f>K19+K17</f>
        <v>5725</v>
      </c>
      <c r="L20" s="2476"/>
      <c r="M20" s="2476"/>
      <c r="N20" s="2478"/>
      <c r="O20" s="3670"/>
      <c r="P20" s="3677"/>
      <c r="Q20" s="1503"/>
      <c r="R20" s="2376" t="s">
        <v>6654</v>
      </c>
      <c r="S20" s="1793"/>
    </row>
    <row r="21" spans="1:19" ht="30.4" x14ac:dyDescent="0.35">
      <c r="A21" s="1342">
        <v>21</v>
      </c>
      <c r="B21" s="2067" t="str">
        <f t="shared" si="1"/>
        <v/>
      </c>
      <c r="C21" s="2486" t="s">
        <v>3712</v>
      </c>
      <c r="D21" s="2485" t="s">
        <v>6177</v>
      </c>
      <c r="E21" s="2123"/>
      <c r="F21" s="2123"/>
      <c r="G21" s="2123"/>
      <c r="H21" s="2123"/>
      <c r="I21" s="2123"/>
      <c r="J21" s="1260" t="s">
        <v>583</v>
      </c>
      <c r="K21" s="2123"/>
      <c r="L21" s="2123"/>
      <c r="M21" s="2123"/>
      <c r="N21" s="2323"/>
      <c r="O21" s="3673"/>
      <c r="P21" s="3674"/>
      <c r="Q21" s="1503"/>
      <c r="R21" s="2376" t="s">
        <v>6620</v>
      </c>
      <c r="S21" s="3575" t="s">
        <v>8409</v>
      </c>
    </row>
    <row r="22" spans="1:19" x14ac:dyDescent="0.35">
      <c r="A22" s="1342">
        <v>22</v>
      </c>
      <c r="B22" s="2067" t="str">
        <f t="shared" si="1"/>
        <v/>
      </c>
      <c r="C22" s="2486" t="s">
        <v>3713</v>
      </c>
      <c r="D22" s="2485" t="s">
        <v>6178</v>
      </c>
      <c r="E22" s="2123"/>
      <c r="F22" s="2123"/>
      <c r="G22" s="2123"/>
      <c r="H22" s="2123"/>
      <c r="I22" s="2123"/>
      <c r="J22" s="1260" t="s">
        <v>1237</v>
      </c>
      <c r="K22" s="2123"/>
      <c r="L22" s="2123"/>
      <c r="M22" s="2123"/>
      <c r="N22" s="2323"/>
      <c r="O22" s="3673"/>
      <c r="P22" s="3674"/>
      <c r="Q22" s="1503"/>
      <c r="R22" s="2376" t="s">
        <v>6620</v>
      </c>
      <c r="S22" s="1793"/>
    </row>
    <row r="23" spans="1:19" x14ac:dyDescent="0.35">
      <c r="A23" s="1342">
        <v>23</v>
      </c>
      <c r="B23" s="2067" t="str">
        <f t="shared" si="1"/>
        <v/>
      </c>
      <c r="C23" s="2127" t="s">
        <v>1125</v>
      </c>
      <c r="D23" s="2128" t="s">
        <v>6167</v>
      </c>
      <c r="E23" s="2471"/>
      <c r="F23" s="2471"/>
      <c r="G23" s="2471"/>
      <c r="H23" s="2471"/>
      <c r="I23" s="2471"/>
      <c r="J23" s="2471"/>
      <c r="K23" s="2471"/>
      <c r="L23" s="2471">
        <v>5001</v>
      </c>
      <c r="M23" s="2471"/>
      <c r="N23" s="2472"/>
      <c r="O23" s="3607"/>
      <c r="P23" s="3675"/>
      <c r="Q23" s="1503"/>
      <c r="R23" s="2376" t="s">
        <v>6654</v>
      </c>
      <c r="S23" s="1793"/>
    </row>
    <row r="24" spans="1:19" ht="20.25" x14ac:dyDescent="0.35">
      <c r="A24" s="1342">
        <v>24</v>
      </c>
      <c r="B24" s="2067" t="str">
        <f t="shared" ref="B24:B66" si="5">IF(PRO_IND&gt;1,IF(HLOOKUP(PRO_IND-1,PRO_RANGE,A24)="","",HLOOKUP(PRO_IND-1,PRO_RANGE,A24)),"")</f>
        <v/>
      </c>
      <c r="C24" s="3792" t="s">
        <v>8405</v>
      </c>
      <c r="D24" s="3793" t="s">
        <v>8401</v>
      </c>
      <c r="E24" s="3583"/>
      <c r="F24" s="3583"/>
      <c r="G24" s="3583"/>
      <c r="H24" s="3583"/>
      <c r="I24" s="3583"/>
      <c r="J24" s="3583"/>
      <c r="K24" s="3583"/>
      <c r="L24" s="3583"/>
      <c r="M24" s="3583"/>
      <c r="N24" s="3583"/>
      <c r="O24" s="3785"/>
      <c r="P24" s="3789"/>
      <c r="Q24" s="3790"/>
      <c r="R24" s="3788" t="s">
        <v>6617</v>
      </c>
      <c r="S24" s="3575" t="s">
        <v>8407</v>
      </c>
    </row>
    <row r="25" spans="1:19" x14ac:dyDescent="0.35">
      <c r="A25" s="1342">
        <v>25</v>
      </c>
      <c r="B25" s="2067" t="str">
        <f t="shared" si="5"/>
        <v/>
      </c>
      <c r="C25" s="3792" t="s">
        <v>8406</v>
      </c>
      <c r="D25" s="3793" t="s">
        <v>8402</v>
      </c>
      <c r="E25" s="3786"/>
      <c r="F25" s="3787"/>
      <c r="G25" s="3787"/>
      <c r="H25" s="3787"/>
      <c r="I25" s="3787"/>
      <c r="J25" s="3787"/>
      <c r="K25" s="3787"/>
      <c r="L25" s="3787"/>
      <c r="M25" s="3787"/>
      <c r="N25" s="3787"/>
      <c r="O25" s="3787"/>
      <c r="P25" s="3791"/>
      <c r="Q25" s="3790"/>
      <c r="R25" s="3788" t="s">
        <v>6620</v>
      </c>
      <c r="S25" s="3586"/>
    </row>
    <row r="26" spans="1:19" x14ac:dyDescent="0.35">
      <c r="A26" s="1342">
        <v>26</v>
      </c>
      <c r="B26" s="2067" t="str">
        <f t="shared" si="5"/>
        <v/>
      </c>
      <c r="C26" s="2127" t="s">
        <v>1126</v>
      </c>
      <c r="D26" s="2128" t="s">
        <v>6168</v>
      </c>
      <c r="E26" s="2471"/>
      <c r="F26" s="2471"/>
      <c r="G26" s="2471"/>
      <c r="H26" s="2471"/>
      <c r="I26" s="2471"/>
      <c r="J26" s="2471"/>
      <c r="K26" s="2471"/>
      <c r="L26" s="2471">
        <v>522</v>
      </c>
      <c r="M26" s="2471"/>
      <c r="N26" s="2472"/>
      <c r="O26" s="3607"/>
      <c r="P26" s="3675"/>
      <c r="Q26" s="1503"/>
      <c r="R26" s="2376" t="s">
        <v>6617</v>
      </c>
      <c r="S26" s="1793"/>
    </row>
    <row r="27" spans="1:19" x14ac:dyDescent="0.35">
      <c r="A27" s="1342">
        <v>27</v>
      </c>
      <c r="B27" s="2067" t="str">
        <f t="shared" si="5"/>
        <v/>
      </c>
      <c r="C27" s="2127" t="s">
        <v>1127</v>
      </c>
      <c r="D27" s="2128" t="s">
        <v>6169</v>
      </c>
      <c r="E27" s="2471"/>
      <c r="F27" s="2471"/>
      <c r="G27" s="2471"/>
      <c r="H27" s="2471"/>
      <c r="I27" s="2471"/>
      <c r="J27" s="2471"/>
      <c r="K27" s="2471"/>
      <c r="L27" s="2471">
        <v>1000</v>
      </c>
      <c r="M27" s="2471"/>
      <c r="N27" s="2472"/>
      <c r="O27" s="3607"/>
      <c r="P27" s="3675"/>
      <c r="Q27" s="1503"/>
      <c r="R27" s="2376" t="s">
        <v>6617</v>
      </c>
      <c r="S27" s="1793"/>
    </row>
    <row r="28" spans="1:19" x14ac:dyDescent="0.35">
      <c r="A28" s="1342">
        <v>28</v>
      </c>
      <c r="B28" s="2067" t="str">
        <f t="shared" si="5"/>
        <v/>
      </c>
      <c r="C28" s="2127" t="s">
        <v>1128</v>
      </c>
      <c r="D28" s="2128" t="s">
        <v>5909</v>
      </c>
      <c r="E28" s="2471"/>
      <c r="F28" s="2471"/>
      <c r="G28" s="2471"/>
      <c r="H28" s="2471"/>
      <c r="I28" s="2471"/>
      <c r="J28" s="2471"/>
      <c r="K28" s="2471"/>
      <c r="L28" s="2471"/>
      <c r="M28" s="2471"/>
      <c r="N28" s="2472"/>
      <c r="O28" s="3607"/>
      <c r="P28" s="3675"/>
      <c r="Q28" s="1503"/>
      <c r="R28" s="2376" t="s">
        <v>6617</v>
      </c>
      <c r="S28" s="1793"/>
    </row>
    <row r="29" spans="1:19" x14ac:dyDescent="0.35">
      <c r="A29" s="1342">
        <v>29</v>
      </c>
      <c r="B29" s="2067" t="str">
        <f t="shared" si="5"/>
        <v/>
      </c>
      <c r="C29" s="2127" t="s">
        <v>1129</v>
      </c>
      <c r="D29" s="2128" t="s">
        <v>1971</v>
      </c>
      <c r="E29" s="2471"/>
      <c r="F29" s="2471"/>
      <c r="G29" s="2471"/>
      <c r="H29" s="2471"/>
      <c r="I29" s="2471"/>
      <c r="J29" s="2471"/>
      <c r="K29" s="2471"/>
      <c r="L29" s="2471"/>
      <c r="M29" s="2471"/>
      <c r="N29" s="2472"/>
      <c r="O29" s="3607"/>
      <c r="P29" s="3675"/>
      <c r="Q29" s="1503"/>
      <c r="R29" s="2376" t="s">
        <v>6617</v>
      </c>
      <c r="S29" s="1793"/>
    </row>
    <row r="30" spans="1:19" x14ac:dyDescent="0.35">
      <c r="A30" s="1342">
        <v>30</v>
      </c>
      <c r="B30" s="2067" t="str">
        <f t="shared" si="5"/>
        <v/>
      </c>
      <c r="C30" s="2127" t="s">
        <v>1130</v>
      </c>
      <c r="D30" s="2128" t="s">
        <v>6170</v>
      </c>
      <c r="E30" s="2471"/>
      <c r="F30" s="2471"/>
      <c r="G30" s="2471"/>
      <c r="H30" s="2471"/>
      <c r="I30" s="2471"/>
      <c r="J30" s="2471"/>
      <c r="K30" s="2471"/>
      <c r="L30" s="2471">
        <v>160</v>
      </c>
      <c r="M30" s="2471"/>
      <c r="N30" s="2472"/>
      <c r="O30" s="3607"/>
      <c r="P30" s="3675"/>
      <c r="Q30" s="1503"/>
      <c r="R30" s="2376" t="s">
        <v>6617</v>
      </c>
      <c r="S30" s="1793" t="s">
        <v>6155</v>
      </c>
    </row>
    <row r="31" spans="1:19" x14ac:dyDescent="0.35">
      <c r="A31" s="1342">
        <v>31</v>
      </c>
      <c r="B31" s="2067" t="str">
        <f t="shared" si="5"/>
        <v/>
      </c>
      <c r="C31" s="2127" t="s">
        <v>1131</v>
      </c>
      <c r="D31" s="2128" t="s">
        <v>5780</v>
      </c>
      <c r="E31" s="2471"/>
      <c r="F31" s="2471"/>
      <c r="G31" s="2471"/>
      <c r="H31" s="2471"/>
      <c r="I31" s="2471"/>
      <c r="J31" s="2471"/>
      <c r="K31" s="2471"/>
      <c r="L31" s="2471"/>
      <c r="M31" s="2471"/>
      <c r="N31" s="2472"/>
      <c r="O31" s="3607"/>
      <c r="P31" s="3675"/>
      <c r="Q31" s="1503"/>
      <c r="R31" s="2376" t="s">
        <v>6617</v>
      </c>
      <c r="S31" s="3575" t="s">
        <v>8408</v>
      </c>
    </row>
    <row r="32" spans="1:19" x14ac:dyDescent="0.35">
      <c r="A32" s="1342">
        <v>32</v>
      </c>
      <c r="B32" s="2067" t="str">
        <f t="shared" si="5"/>
        <v/>
      </c>
      <c r="C32" s="2127" t="s">
        <v>1132</v>
      </c>
      <c r="D32" s="2128" t="s">
        <v>6171</v>
      </c>
      <c r="E32" s="2471"/>
      <c r="F32" s="2471"/>
      <c r="G32" s="2471"/>
      <c r="H32" s="2471"/>
      <c r="I32" s="2471"/>
      <c r="J32" s="2471"/>
      <c r="K32" s="2471"/>
      <c r="L32" s="2471"/>
      <c r="M32" s="2471"/>
      <c r="N32" s="2472"/>
      <c r="O32" s="3607"/>
      <c r="P32" s="3675"/>
      <c r="Q32" s="1503"/>
      <c r="R32" s="2376" t="s">
        <v>6617</v>
      </c>
      <c r="S32" s="1793"/>
    </row>
    <row r="33" spans="1:19" ht="30.4" x14ac:dyDescent="0.35">
      <c r="A33" s="1342">
        <v>33</v>
      </c>
      <c r="B33" s="2067">
        <f t="shared" si="5"/>
        <v>0</v>
      </c>
      <c r="C33" s="2139" t="s">
        <v>3312</v>
      </c>
      <c r="D33" s="2128" t="s">
        <v>6172</v>
      </c>
      <c r="E33" s="2473">
        <f t="shared" ref="E33:K33" si="6">MAX(0,E23+E30+E31-(E26+E27+E28+E29+E32))</f>
        <v>0</v>
      </c>
      <c r="F33" s="2473">
        <f t="shared" si="6"/>
        <v>0</v>
      </c>
      <c r="G33" s="2473">
        <f t="shared" si="6"/>
        <v>0</v>
      </c>
      <c r="H33" s="2473">
        <f t="shared" si="6"/>
        <v>0</v>
      </c>
      <c r="I33" s="2473">
        <f t="shared" si="6"/>
        <v>0</v>
      </c>
      <c r="J33" s="2473">
        <f t="shared" si="6"/>
        <v>0</v>
      </c>
      <c r="K33" s="2473">
        <f t="shared" si="6"/>
        <v>0</v>
      </c>
      <c r="L33" s="2473">
        <f>MAX(0,L23+L30+L31-(L26+L27+L28+L29+L32))</f>
        <v>3639</v>
      </c>
      <c r="M33" s="2473">
        <f>MAX(0,M23+M30+M31-(M26+M27+M28+M29+M32))</f>
        <v>0</v>
      </c>
      <c r="N33" s="2473">
        <f>MAX(0,N23+N30+N31-(N26+N27+N28+N29+N32))</f>
        <v>0</v>
      </c>
      <c r="O33" s="3669">
        <f>MAX(0,O23+O30+O31-(O26+O27+O28+O29+O32))</f>
        <v>0</v>
      </c>
      <c r="P33" s="3676">
        <f>MAX(0,P23+P30+P31-(P26+P27+P28+P29+P32))</f>
        <v>0</v>
      </c>
      <c r="Q33" s="1503"/>
      <c r="R33" s="2377" t="s">
        <v>6654</v>
      </c>
      <c r="S33" s="1793" t="s">
        <v>6156</v>
      </c>
    </row>
    <row r="34" spans="1:19" x14ac:dyDescent="0.35">
      <c r="A34" s="1342">
        <v>34</v>
      </c>
      <c r="B34" s="2067" t="str">
        <f t="shared" si="5"/>
        <v/>
      </c>
      <c r="C34" s="2139" t="s">
        <v>3313</v>
      </c>
      <c r="D34" s="2128" t="s">
        <v>6173</v>
      </c>
      <c r="E34" s="2474"/>
      <c r="F34" s="2474"/>
      <c r="G34" s="2474"/>
      <c r="H34" s="2474"/>
      <c r="I34" s="2474"/>
      <c r="J34" s="2474"/>
      <c r="K34" s="2474"/>
      <c r="L34" s="2474"/>
      <c r="M34" s="2474"/>
      <c r="N34" s="2474"/>
      <c r="O34" s="3668"/>
      <c r="P34" s="3589"/>
      <c r="Q34" s="1503"/>
      <c r="R34" s="2376" t="s">
        <v>6654</v>
      </c>
      <c r="S34" s="1793"/>
    </row>
    <row r="35" spans="1:19" ht="20.25" x14ac:dyDescent="0.35">
      <c r="A35" s="1342">
        <v>35</v>
      </c>
      <c r="B35" s="2067">
        <f t="shared" si="5"/>
        <v>0</v>
      </c>
      <c r="C35" s="2139" t="s">
        <v>3709</v>
      </c>
      <c r="D35" s="2128" t="s">
        <v>6174</v>
      </c>
      <c r="E35" s="2473">
        <f t="shared" ref="E35:K35" si="7">MAX(0,E33-E34)</f>
        <v>0</v>
      </c>
      <c r="F35" s="2473">
        <f t="shared" si="7"/>
        <v>0</v>
      </c>
      <c r="G35" s="2473">
        <f t="shared" si="7"/>
        <v>0</v>
      </c>
      <c r="H35" s="2473">
        <f t="shared" si="7"/>
        <v>0</v>
      </c>
      <c r="I35" s="2473">
        <f t="shared" si="7"/>
        <v>0</v>
      </c>
      <c r="J35" s="2473">
        <f t="shared" si="7"/>
        <v>0</v>
      </c>
      <c r="K35" s="2473">
        <f t="shared" si="7"/>
        <v>0</v>
      </c>
      <c r="L35" s="2473">
        <f>MAX(0,L33-L34)</f>
        <v>3639</v>
      </c>
      <c r="M35" s="2473">
        <f>MAX(0,M33-M34)</f>
        <v>0</v>
      </c>
      <c r="N35" s="2473">
        <f>MAX(0,N33-N34)</f>
        <v>0</v>
      </c>
      <c r="O35" s="3669">
        <f>MAX(0,O33-O34)</f>
        <v>0</v>
      </c>
      <c r="P35" s="3676">
        <f>MAX(0,P33-P34)</f>
        <v>0</v>
      </c>
      <c r="Q35" s="1503"/>
      <c r="R35" s="2376" t="s">
        <v>6654</v>
      </c>
      <c r="S35" s="1793" t="s">
        <v>6157</v>
      </c>
    </row>
    <row r="36" spans="1:19" ht="50.65" x14ac:dyDescent="0.35">
      <c r="A36" s="1342">
        <v>36</v>
      </c>
      <c r="B36" s="2067">
        <f t="shared" si="5"/>
        <v>0</v>
      </c>
      <c r="C36" s="2127" t="s">
        <v>3710</v>
      </c>
      <c r="D36" s="2128" t="s">
        <v>6175</v>
      </c>
      <c r="E36" s="2477">
        <f t="shared" ref="E36:P36" si="8">MAX(0,(E26+E27+E28+E29+E32)-(E23+E30+E31))</f>
        <v>0</v>
      </c>
      <c r="F36" s="2477">
        <f t="shared" si="8"/>
        <v>0</v>
      </c>
      <c r="G36" s="2477">
        <f t="shared" si="8"/>
        <v>0</v>
      </c>
      <c r="H36" s="2477">
        <f t="shared" si="8"/>
        <v>0</v>
      </c>
      <c r="I36" s="2477">
        <f t="shared" si="8"/>
        <v>0</v>
      </c>
      <c r="J36" s="2477">
        <f t="shared" si="8"/>
        <v>0</v>
      </c>
      <c r="K36" s="2477">
        <f t="shared" si="8"/>
        <v>0</v>
      </c>
      <c r="L36" s="2477">
        <f t="shared" si="8"/>
        <v>0</v>
      </c>
      <c r="M36" s="2477">
        <f t="shared" si="8"/>
        <v>0</v>
      </c>
      <c r="N36" s="2477">
        <f t="shared" si="8"/>
        <v>0</v>
      </c>
      <c r="O36" s="3669">
        <f t="shared" si="8"/>
        <v>0</v>
      </c>
      <c r="P36" s="3676">
        <f t="shared" si="8"/>
        <v>0</v>
      </c>
      <c r="Q36" s="1503"/>
      <c r="R36" s="2376" t="s">
        <v>6654</v>
      </c>
      <c r="S36" s="3575" t="s">
        <v>8400</v>
      </c>
    </row>
    <row r="37" spans="1:19" x14ac:dyDescent="0.35">
      <c r="A37" s="1342">
        <v>37</v>
      </c>
      <c r="B37" s="2067" t="str">
        <f t="shared" si="5"/>
        <v/>
      </c>
      <c r="C37" s="2127" t="s">
        <v>3711</v>
      </c>
      <c r="D37" s="2128" t="s">
        <v>6176</v>
      </c>
      <c r="E37" s="2476"/>
      <c r="F37" s="2476"/>
      <c r="G37" s="2476"/>
      <c r="H37" s="2476"/>
      <c r="I37" s="2476"/>
      <c r="J37" s="2476"/>
      <c r="K37" s="2476"/>
      <c r="L37" s="2476"/>
      <c r="M37" s="2476"/>
      <c r="N37" s="2478"/>
      <c r="O37" s="3670"/>
      <c r="P37" s="3677"/>
      <c r="Q37" s="1503"/>
      <c r="R37" s="2376" t="s">
        <v>6654</v>
      </c>
      <c r="S37" s="1793"/>
    </row>
    <row r="38" spans="1:19" ht="30.4" x14ac:dyDescent="0.35">
      <c r="A38" s="1342">
        <v>38</v>
      </c>
      <c r="B38" s="2067" t="str">
        <f t="shared" si="5"/>
        <v/>
      </c>
      <c r="C38" s="2127" t="s">
        <v>3712</v>
      </c>
      <c r="D38" s="2128" t="s">
        <v>6177</v>
      </c>
      <c r="E38" s="2123"/>
      <c r="F38" s="2123"/>
      <c r="G38" s="2123"/>
      <c r="H38" s="2123"/>
      <c r="I38" s="2123"/>
      <c r="J38" s="2123"/>
      <c r="K38" s="2123"/>
      <c r="L38" s="2123" t="s">
        <v>583</v>
      </c>
      <c r="M38" s="2123"/>
      <c r="N38" s="2323"/>
      <c r="O38" s="3673"/>
      <c r="P38" s="3674"/>
      <c r="Q38" s="1503"/>
      <c r="R38" s="2376" t="s">
        <v>6620</v>
      </c>
      <c r="S38" s="3575" t="s">
        <v>8409</v>
      </c>
    </row>
    <row r="39" spans="1:19" ht="13.15" thickBot="1" x14ac:dyDescent="0.4">
      <c r="A39" s="2129">
        <v>39</v>
      </c>
      <c r="B39" s="3794" t="str">
        <f t="shared" si="5"/>
        <v/>
      </c>
      <c r="C39" s="2130" t="s">
        <v>3713</v>
      </c>
      <c r="D39" s="2131" t="s">
        <v>6178</v>
      </c>
      <c r="E39" s="2132"/>
      <c r="F39" s="2132"/>
      <c r="G39" s="2132"/>
      <c r="H39" s="2132"/>
      <c r="I39" s="2132"/>
      <c r="J39" s="2132"/>
      <c r="K39" s="2132"/>
      <c r="L39" s="2132"/>
      <c r="M39" s="2132"/>
      <c r="N39" s="2324"/>
      <c r="O39" s="3678"/>
      <c r="P39" s="2137"/>
      <c r="Q39" s="3795"/>
      <c r="R39" s="3796" t="s">
        <v>6620</v>
      </c>
      <c r="S39" s="3797"/>
    </row>
    <row r="40" spans="1:19" x14ac:dyDescent="0.35">
      <c r="A40" s="2133">
        <v>40</v>
      </c>
      <c r="B40" s="3784">
        <f t="shared" si="5"/>
        <v>53780</v>
      </c>
      <c r="C40" s="2134" t="s">
        <v>3714</v>
      </c>
      <c r="D40" s="2135" t="s">
        <v>6179</v>
      </c>
      <c r="E40" s="2479">
        <v>7800</v>
      </c>
      <c r="F40" s="2479">
        <v>5023</v>
      </c>
      <c r="G40" s="2479">
        <v>45000</v>
      </c>
      <c r="H40" s="2479">
        <v>6852</v>
      </c>
      <c r="I40" s="2479">
        <v>15611</v>
      </c>
      <c r="J40" s="2479">
        <v>38400</v>
      </c>
      <c r="K40" s="2479">
        <v>45005</v>
      </c>
      <c r="L40" s="2479">
        <v>8000</v>
      </c>
      <c r="M40" s="2479">
        <v>53780</v>
      </c>
      <c r="N40" s="2480">
        <v>240000</v>
      </c>
      <c r="O40" s="3679">
        <v>131731</v>
      </c>
      <c r="P40" s="2481"/>
      <c r="Q40" s="3798"/>
      <c r="R40" s="3799" t="s">
        <v>6654</v>
      </c>
      <c r="S40" s="3800"/>
    </row>
    <row r="41" spans="1:19" ht="50.65" x14ac:dyDescent="0.35">
      <c r="A41" s="1342">
        <v>41</v>
      </c>
      <c r="B41" s="2067" t="str">
        <f t="shared" si="5"/>
        <v/>
      </c>
      <c r="C41" s="3792" t="s">
        <v>8398</v>
      </c>
      <c r="D41" s="3793" t="s">
        <v>8401</v>
      </c>
      <c r="E41" s="3583"/>
      <c r="F41" s="3583"/>
      <c r="G41" s="3583"/>
      <c r="H41" s="3583"/>
      <c r="I41" s="3583"/>
      <c r="J41" s="3583"/>
      <c r="K41" s="3583"/>
      <c r="L41" s="3583"/>
      <c r="M41" s="3583"/>
      <c r="N41" s="3583"/>
      <c r="O41" s="3785"/>
      <c r="P41" s="3789"/>
      <c r="Q41" s="3790"/>
      <c r="R41" s="3788" t="s">
        <v>6617</v>
      </c>
      <c r="S41" s="3575" t="s">
        <v>8397</v>
      </c>
    </row>
    <row r="42" spans="1:19" x14ac:dyDescent="0.35">
      <c r="A42" s="1342">
        <v>42</v>
      </c>
      <c r="B42" s="2067" t="str">
        <f t="shared" si="5"/>
        <v/>
      </c>
      <c r="C42" s="3792" t="s">
        <v>8399</v>
      </c>
      <c r="D42" s="3793" t="s">
        <v>8402</v>
      </c>
      <c r="E42" s="3786"/>
      <c r="F42" s="3787"/>
      <c r="G42" s="3787"/>
      <c r="H42" s="3787" t="s">
        <v>583</v>
      </c>
      <c r="I42" s="3787" t="s">
        <v>583</v>
      </c>
      <c r="J42" s="3787" t="s">
        <v>583</v>
      </c>
      <c r="K42" s="3787"/>
      <c r="L42" s="3787"/>
      <c r="M42" s="3787"/>
      <c r="N42" s="3787"/>
      <c r="O42" s="3787"/>
      <c r="P42" s="3791"/>
      <c r="Q42" s="3790"/>
      <c r="R42" s="3788" t="s">
        <v>6620</v>
      </c>
      <c r="S42" s="3586"/>
    </row>
    <row r="43" spans="1:19" x14ac:dyDescent="0.35">
      <c r="A43" s="1342">
        <v>43</v>
      </c>
      <c r="B43" s="2067" t="str">
        <f t="shared" si="5"/>
        <v/>
      </c>
      <c r="C43" s="2138" t="s">
        <v>3715</v>
      </c>
      <c r="D43" s="727" t="s">
        <v>1575</v>
      </c>
      <c r="E43" s="2474"/>
      <c r="F43" s="2474">
        <v>75</v>
      </c>
      <c r="G43" s="2474"/>
      <c r="H43" s="2474"/>
      <c r="I43" s="2474">
        <v>1696</v>
      </c>
      <c r="J43" s="2474"/>
      <c r="K43" s="2474"/>
      <c r="L43" s="2474"/>
      <c r="M43" s="2474"/>
      <c r="N43" s="2474"/>
      <c r="O43" s="3668"/>
      <c r="P43" s="3680"/>
      <c r="Q43" s="1503"/>
      <c r="R43" s="2376" t="s">
        <v>6617</v>
      </c>
      <c r="S43" s="1793"/>
    </row>
    <row r="44" spans="1:19" x14ac:dyDescent="0.35">
      <c r="A44" s="1342">
        <v>44</v>
      </c>
      <c r="B44" s="2067" t="str">
        <f t="shared" si="5"/>
        <v/>
      </c>
      <c r="C44" s="2138" t="s">
        <v>3716</v>
      </c>
      <c r="D44" s="727" t="s">
        <v>6180</v>
      </c>
      <c r="E44" s="2474"/>
      <c r="F44" s="2474"/>
      <c r="G44" s="2474"/>
      <c r="H44" s="2474">
        <v>50</v>
      </c>
      <c r="I44" s="2474"/>
      <c r="J44" s="2474"/>
      <c r="K44" s="2474"/>
      <c r="L44" s="2474"/>
      <c r="M44" s="2474"/>
      <c r="N44" s="2474"/>
      <c r="O44" s="3668"/>
      <c r="P44" s="3680"/>
      <c r="Q44" s="1503"/>
      <c r="R44" s="2376" t="s">
        <v>6617</v>
      </c>
      <c r="S44" s="1793"/>
    </row>
    <row r="45" spans="1:19" x14ac:dyDescent="0.35">
      <c r="A45" s="1342">
        <v>45</v>
      </c>
      <c r="B45" s="2067" t="str">
        <f t="shared" si="5"/>
        <v/>
      </c>
      <c r="C45" s="2126" t="s">
        <v>3717</v>
      </c>
      <c r="D45" s="727" t="s">
        <v>6181</v>
      </c>
      <c r="E45" s="2471"/>
      <c r="F45" s="2471"/>
      <c r="G45" s="2471"/>
      <c r="H45" s="2471"/>
      <c r="I45" s="2471">
        <v>302</v>
      </c>
      <c r="J45" s="2471"/>
      <c r="K45" s="2471"/>
      <c r="L45" s="2471"/>
      <c r="M45" s="2471"/>
      <c r="N45" s="2472"/>
      <c r="O45" s="3607"/>
      <c r="P45" s="3675"/>
      <c r="Q45" s="1503"/>
      <c r="R45" s="2376" t="s">
        <v>6617</v>
      </c>
      <c r="S45" s="1793"/>
    </row>
    <row r="46" spans="1:19" x14ac:dyDescent="0.35">
      <c r="A46" s="1342">
        <v>46</v>
      </c>
      <c r="B46" s="2067" t="str">
        <f t="shared" si="5"/>
        <v/>
      </c>
      <c r="C46" s="2126" t="s">
        <v>3718</v>
      </c>
      <c r="D46" s="727" t="s">
        <v>6182</v>
      </c>
      <c r="E46" s="2471"/>
      <c r="F46" s="2471"/>
      <c r="G46" s="2471">
        <v>1654</v>
      </c>
      <c r="H46" s="2471">
        <v>750</v>
      </c>
      <c r="I46" s="2471"/>
      <c r="J46" s="2471">
        <v>5900</v>
      </c>
      <c r="K46" s="2471">
        <v>4880</v>
      </c>
      <c r="L46" s="2471"/>
      <c r="M46" s="2471"/>
      <c r="N46" s="2472"/>
      <c r="O46" s="3607">
        <v>12218</v>
      </c>
      <c r="P46" s="3675"/>
      <c r="Q46" s="1503"/>
      <c r="R46" s="2376" t="s">
        <v>6617</v>
      </c>
      <c r="S46" s="1793"/>
    </row>
    <row r="47" spans="1:19" x14ac:dyDescent="0.35">
      <c r="A47" s="1342">
        <v>47</v>
      </c>
      <c r="B47" s="2067" t="str">
        <f t="shared" si="5"/>
        <v/>
      </c>
      <c r="C47" s="2126" t="s">
        <v>3719</v>
      </c>
      <c r="D47" s="727" t="s">
        <v>6183</v>
      </c>
      <c r="E47" s="2471"/>
      <c r="F47" s="2471"/>
      <c r="G47" s="2471">
        <v>4000</v>
      </c>
      <c r="H47" s="2471">
        <v>130</v>
      </c>
      <c r="I47" s="2471">
        <v>472</v>
      </c>
      <c r="J47" s="2471">
        <v>4216</v>
      </c>
      <c r="K47" s="2471">
        <v>3775</v>
      </c>
      <c r="L47" s="2471"/>
      <c r="M47" s="2471"/>
      <c r="N47" s="2472">
        <v>20000</v>
      </c>
      <c r="O47" s="3607">
        <v>14935</v>
      </c>
      <c r="P47" s="3675"/>
      <c r="Q47" s="1503"/>
      <c r="R47" s="2376" t="s">
        <v>6617</v>
      </c>
      <c r="S47" s="1793"/>
    </row>
    <row r="48" spans="1:19" x14ac:dyDescent="0.35">
      <c r="A48" s="1342">
        <v>48</v>
      </c>
      <c r="B48" s="2067" t="str">
        <f t="shared" si="5"/>
        <v/>
      </c>
      <c r="C48" s="2126" t="s">
        <v>3720</v>
      </c>
      <c r="D48" s="727" t="s">
        <v>6169</v>
      </c>
      <c r="E48" s="2471"/>
      <c r="F48" s="2471"/>
      <c r="G48" s="2471">
        <v>1500</v>
      </c>
      <c r="H48" s="2471">
        <v>800</v>
      </c>
      <c r="I48" s="2471">
        <v>1460</v>
      </c>
      <c r="J48" s="2471">
        <v>29168</v>
      </c>
      <c r="K48" s="2471"/>
      <c r="L48" s="2471"/>
      <c r="M48" s="2471"/>
      <c r="N48" s="2472"/>
      <c r="O48" s="3607">
        <v>26882</v>
      </c>
      <c r="P48" s="3675"/>
      <c r="Q48" s="1503"/>
      <c r="R48" s="2376" t="s">
        <v>6617</v>
      </c>
      <c r="S48" s="1793"/>
    </row>
    <row r="49" spans="1:19" x14ac:dyDescent="0.35">
      <c r="A49" s="1342">
        <v>49</v>
      </c>
      <c r="B49" s="2067" t="str">
        <f t="shared" si="5"/>
        <v/>
      </c>
      <c r="C49" s="2126" t="s">
        <v>3721</v>
      </c>
      <c r="D49" s="727" t="s">
        <v>5909</v>
      </c>
      <c r="E49" s="2471"/>
      <c r="F49" s="2471"/>
      <c r="G49" s="2471">
        <v>1200</v>
      </c>
      <c r="H49" s="2471">
        <v>300</v>
      </c>
      <c r="I49" s="2471"/>
      <c r="J49" s="2471">
        <v>900</v>
      </c>
      <c r="K49" s="2471"/>
      <c r="L49" s="2471"/>
      <c r="M49" s="2471"/>
      <c r="N49" s="2472">
        <v>10000</v>
      </c>
      <c r="O49" s="3607">
        <v>5527</v>
      </c>
      <c r="P49" s="3675"/>
      <c r="Q49" s="1503"/>
      <c r="R49" s="2376" t="s">
        <v>6617</v>
      </c>
      <c r="S49" s="1793"/>
    </row>
    <row r="50" spans="1:19" x14ac:dyDescent="0.35">
      <c r="A50" s="1342">
        <v>50</v>
      </c>
      <c r="B50" s="2067" t="str">
        <f t="shared" si="5"/>
        <v/>
      </c>
      <c r="C50" s="2126" t="s">
        <v>3648</v>
      </c>
      <c r="D50" s="727" t="s">
        <v>6184</v>
      </c>
      <c r="E50" s="2471"/>
      <c r="F50" s="2471"/>
      <c r="G50" s="2471">
        <v>480</v>
      </c>
      <c r="H50" s="2471"/>
      <c r="I50" s="2471">
        <v>1900</v>
      </c>
      <c r="J50" s="2471"/>
      <c r="K50" s="2471"/>
      <c r="L50" s="2471"/>
      <c r="M50" s="2471"/>
      <c r="N50" s="2472">
        <v>10000</v>
      </c>
      <c r="O50" s="3607"/>
      <c r="P50" s="3675"/>
      <c r="Q50" s="1503"/>
      <c r="R50" s="2376" t="s">
        <v>6617</v>
      </c>
      <c r="S50" s="1793"/>
    </row>
    <row r="51" spans="1:19" x14ac:dyDescent="0.35">
      <c r="A51" s="1342">
        <v>51</v>
      </c>
      <c r="B51" s="2067">
        <f t="shared" si="5"/>
        <v>47197</v>
      </c>
      <c r="C51" s="2126" t="s">
        <v>3649</v>
      </c>
      <c r="D51" s="727" t="s">
        <v>1971</v>
      </c>
      <c r="E51" s="2471">
        <v>4200</v>
      </c>
      <c r="F51" s="2471"/>
      <c r="G51" s="2471">
        <v>6890</v>
      </c>
      <c r="H51" s="2471">
        <v>1200</v>
      </c>
      <c r="I51" s="2471"/>
      <c r="J51" s="2471"/>
      <c r="K51" s="2471"/>
      <c r="L51" s="3835">
        <v>3000</v>
      </c>
      <c r="M51" s="2471">
        <v>47197</v>
      </c>
      <c r="N51" s="2472"/>
      <c r="O51" s="3607">
        <v>7059</v>
      </c>
      <c r="P51" s="3675"/>
      <c r="Q51" s="1503"/>
      <c r="R51" s="2376" t="s">
        <v>6617</v>
      </c>
      <c r="S51" s="1793"/>
    </row>
    <row r="52" spans="1:19" x14ac:dyDescent="0.35">
      <c r="A52" s="1342">
        <v>52</v>
      </c>
      <c r="B52" s="2067" t="str">
        <f t="shared" si="5"/>
        <v/>
      </c>
      <c r="C52" s="2126" t="s">
        <v>3650</v>
      </c>
      <c r="D52" s="727" t="s">
        <v>6170</v>
      </c>
      <c r="E52" s="2471"/>
      <c r="F52" s="2471"/>
      <c r="G52" s="2471"/>
      <c r="H52" s="2471">
        <v>790</v>
      </c>
      <c r="I52" s="2471"/>
      <c r="J52" s="2471"/>
      <c r="K52" s="2471"/>
      <c r="L52" s="2471"/>
      <c r="M52" s="2471"/>
      <c r="N52" s="2472"/>
      <c r="O52" s="3607"/>
      <c r="P52" s="3675"/>
      <c r="Q52" s="1503"/>
      <c r="R52" s="2376" t="s">
        <v>6617</v>
      </c>
      <c r="S52" s="1793"/>
    </row>
    <row r="53" spans="1:19" ht="50.65" x14ac:dyDescent="0.35">
      <c r="A53" s="1342">
        <v>53</v>
      </c>
      <c r="B53" s="2067" t="str">
        <f t="shared" si="5"/>
        <v/>
      </c>
      <c r="C53" s="2126" t="s">
        <v>3651</v>
      </c>
      <c r="D53" s="727" t="s">
        <v>5780</v>
      </c>
      <c r="E53" s="2471"/>
      <c r="F53" s="2471"/>
      <c r="G53" s="2471"/>
      <c r="H53" s="2471"/>
      <c r="I53" s="2471">
        <v>622</v>
      </c>
      <c r="J53" s="2471">
        <v>1521</v>
      </c>
      <c r="K53" s="2471"/>
      <c r="L53" s="2471"/>
      <c r="M53" s="2471"/>
      <c r="N53" s="2472"/>
      <c r="O53" s="3607"/>
      <c r="P53" s="3675"/>
      <c r="Q53" s="1503"/>
      <c r="R53" s="2376" t="s">
        <v>6617</v>
      </c>
      <c r="S53" s="3575" t="s">
        <v>8403</v>
      </c>
    </row>
    <row r="54" spans="1:19" ht="20.25" x14ac:dyDescent="0.35">
      <c r="A54" s="1342">
        <v>54</v>
      </c>
      <c r="B54" s="2067" t="str">
        <f t="shared" si="5"/>
        <v/>
      </c>
      <c r="C54" s="2126" t="s">
        <v>3652</v>
      </c>
      <c r="D54" s="727" t="s">
        <v>6185</v>
      </c>
      <c r="E54" s="2471"/>
      <c r="F54" s="2471"/>
      <c r="G54" s="2471"/>
      <c r="H54" s="2471">
        <v>650</v>
      </c>
      <c r="I54" s="2471">
        <v>1540</v>
      </c>
      <c r="J54" s="2471">
        <v>3621</v>
      </c>
      <c r="K54" s="2471"/>
      <c r="L54" s="3835"/>
      <c r="M54" s="2471"/>
      <c r="N54" s="2472"/>
      <c r="O54" s="3607"/>
      <c r="P54" s="3675"/>
      <c r="Q54" s="1503"/>
      <c r="R54" s="2376" t="s">
        <v>6617</v>
      </c>
      <c r="S54" s="3575" t="s">
        <v>8404</v>
      </c>
    </row>
    <row r="55" spans="1:19" x14ac:dyDescent="0.35">
      <c r="A55" s="1342">
        <v>55</v>
      </c>
      <c r="B55" s="2067" t="str">
        <f t="shared" si="5"/>
        <v/>
      </c>
      <c r="C55" s="3436" t="s">
        <v>3653</v>
      </c>
      <c r="D55" s="3437" t="s">
        <v>3965</v>
      </c>
      <c r="E55" s="3438"/>
      <c r="F55" s="3438"/>
      <c r="G55" s="3438"/>
      <c r="H55" s="3438"/>
      <c r="I55" s="3438"/>
      <c r="J55" s="3438"/>
      <c r="K55" s="3438"/>
      <c r="L55" s="3438"/>
      <c r="M55" s="3438"/>
      <c r="N55" s="3438"/>
      <c r="O55" s="3609"/>
      <c r="P55" s="3681"/>
      <c r="Q55" s="3335"/>
      <c r="R55" s="3439" t="s">
        <v>6654</v>
      </c>
      <c r="S55" s="3585"/>
    </row>
    <row r="56" spans="1:19" x14ac:dyDescent="0.35">
      <c r="A56" s="1342">
        <v>56</v>
      </c>
      <c r="B56" s="2067" t="str">
        <f t="shared" si="5"/>
        <v/>
      </c>
      <c r="C56" s="2700" t="s">
        <v>3654</v>
      </c>
      <c r="D56" s="2699" t="s">
        <v>5764</v>
      </c>
      <c r="E56" s="2482"/>
      <c r="F56" s="2482"/>
      <c r="G56" s="2482"/>
      <c r="H56" s="2482"/>
      <c r="I56" s="2482"/>
      <c r="J56" s="2482"/>
      <c r="K56" s="2482"/>
      <c r="L56" s="2482"/>
      <c r="M56" s="2482"/>
      <c r="N56" s="2483"/>
      <c r="O56" s="3607"/>
      <c r="P56" s="3682"/>
      <c r="Q56" s="1503"/>
      <c r="R56" s="2377" t="s">
        <v>6617</v>
      </c>
      <c r="S56" s="3586"/>
    </row>
    <row r="57" spans="1:19" x14ac:dyDescent="0.35">
      <c r="A57" s="1342">
        <v>57</v>
      </c>
      <c r="B57" s="2067" t="str">
        <f t="shared" si="5"/>
        <v/>
      </c>
      <c r="C57" s="2700" t="s">
        <v>3655</v>
      </c>
      <c r="D57" s="2699" t="s">
        <v>6578</v>
      </c>
      <c r="E57" s="2482"/>
      <c r="F57" s="2482"/>
      <c r="G57" s="2482"/>
      <c r="H57" s="2482"/>
      <c r="I57" s="2482"/>
      <c r="J57" s="2482"/>
      <c r="K57" s="2482"/>
      <c r="L57" s="2482">
        <v>500</v>
      </c>
      <c r="M57" s="2482"/>
      <c r="N57" s="2483"/>
      <c r="O57" s="3607"/>
      <c r="P57" s="3682"/>
      <c r="Q57" s="1503"/>
      <c r="R57" s="2376" t="s">
        <v>6617</v>
      </c>
      <c r="S57" s="3586"/>
    </row>
    <row r="58" spans="1:19" x14ac:dyDescent="0.35">
      <c r="A58" s="1342">
        <v>58</v>
      </c>
      <c r="B58" s="2067">
        <f t="shared" si="5"/>
        <v>5379</v>
      </c>
      <c r="C58" s="2700" t="s">
        <v>1537</v>
      </c>
      <c r="D58" s="2699" t="s">
        <v>6579</v>
      </c>
      <c r="E58" s="2482"/>
      <c r="F58" s="2482"/>
      <c r="G58" s="2482"/>
      <c r="H58" s="2482"/>
      <c r="I58" s="2482">
        <v>770</v>
      </c>
      <c r="J58" s="2482"/>
      <c r="K58" s="2482"/>
      <c r="L58" s="2482"/>
      <c r="M58" s="2471">
        <v>5379</v>
      </c>
      <c r="N58" s="2472"/>
      <c r="O58" s="3607">
        <v>13171</v>
      </c>
      <c r="P58" s="3675"/>
      <c r="Q58" s="1503"/>
      <c r="R58" s="2376" t="s">
        <v>6617</v>
      </c>
      <c r="S58" s="3586" t="s">
        <v>6158</v>
      </c>
    </row>
    <row r="59" spans="1:19" ht="20.25" x14ac:dyDescent="0.35">
      <c r="A59" s="1342">
        <v>59</v>
      </c>
      <c r="B59" s="2067" t="str">
        <f t="shared" si="5"/>
        <v/>
      </c>
      <c r="C59" s="2126" t="s">
        <v>1538</v>
      </c>
      <c r="D59" s="727" t="s">
        <v>6186</v>
      </c>
      <c r="E59" s="2471"/>
      <c r="F59" s="2471"/>
      <c r="G59" s="2471"/>
      <c r="H59" s="2471"/>
      <c r="I59" s="2471"/>
      <c r="J59" s="2471"/>
      <c r="K59" s="2471"/>
      <c r="L59" s="2471"/>
      <c r="M59" s="2471"/>
      <c r="N59" s="2472"/>
      <c r="O59" s="3607"/>
      <c r="P59" s="3675"/>
      <c r="Q59" s="1503"/>
      <c r="R59" s="2376" t="s">
        <v>6617</v>
      </c>
      <c r="S59" s="3586" t="s">
        <v>6159</v>
      </c>
    </row>
    <row r="60" spans="1:19" ht="40.5" x14ac:dyDescent="0.35">
      <c r="A60" s="1342">
        <v>60</v>
      </c>
      <c r="B60" s="2067">
        <f t="shared" si="5"/>
        <v>1204</v>
      </c>
      <c r="C60" s="2138" t="s">
        <v>1539</v>
      </c>
      <c r="D60" s="727" t="s">
        <v>6187</v>
      </c>
      <c r="E60" s="3583">
        <f t="shared" ref="E60:J60" si="9">MAX(0,(E40+E44+E45+E52+E53)-(E46+E47+E48+E49+E50+E51+E54+E56+E57+E58+E59))</f>
        <v>3600</v>
      </c>
      <c r="F60" s="3583">
        <f t="shared" si="9"/>
        <v>5023</v>
      </c>
      <c r="G60" s="3583">
        <f t="shared" si="9"/>
        <v>29276</v>
      </c>
      <c r="H60" s="3583">
        <f t="shared" si="9"/>
        <v>3862</v>
      </c>
      <c r="I60" s="3583">
        <f t="shared" si="9"/>
        <v>10393</v>
      </c>
      <c r="J60" s="3583">
        <f t="shared" si="9"/>
        <v>0</v>
      </c>
      <c r="K60" s="3583">
        <f>MAX(0,(K40+K44+K45+K52+K53)-(K46+K47+K48+K49+K50+K51+K54+K56+K57+K58+K59))</f>
        <v>36350</v>
      </c>
      <c r="L60" s="3583">
        <f t="shared" ref="L60:O60" si="10">MAX(0,(L40+L44+L45+L52+L53)-(L46+L47+L48+L49+L50+L51+L54+L56+L57+L58+L59))</f>
        <v>4500</v>
      </c>
      <c r="M60" s="3583">
        <f t="shared" si="10"/>
        <v>1204</v>
      </c>
      <c r="N60" s="3583">
        <f t="shared" si="10"/>
        <v>200000</v>
      </c>
      <c r="O60" s="3669">
        <f t="shared" si="10"/>
        <v>51939</v>
      </c>
      <c r="P60" s="3683"/>
      <c r="Q60" s="1503"/>
      <c r="R60" s="2376" t="s">
        <v>6654</v>
      </c>
      <c r="S60" s="3586" t="s">
        <v>6160</v>
      </c>
    </row>
    <row r="61" spans="1:19" x14ac:dyDescent="0.35">
      <c r="A61" s="1342">
        <v>61</v>
      </c>
      <c r="B61" s="2067">
        <f t="shared" si="5"/>
        <v>1204</v>
      </c>
      <c r="C61" s="2138" t="s">
        <v>1540</v>
      </c>
      <c r="D61" s="727" t="s">
        <v>6188</v>
      </c>
      <c r="E61" s="2474"/>
      <c r="F61" s="2475"/>
      <c r="G61" s="2475">
        <v>2691</v>
      </c>
      <c r="H61" s="2475"/>
      <c r="I61" s="2474">
        <v>7462</v>
      </c>
      <c r="J61" s="2474"/>
      <c r="K61" s="2474"/>
      <c r="L61" s="2474"/>
      <c r="M61" s="3584">
        <v>1204</v>
      </c>
      <c r="N61" s="2474"/>
      <c r="O61" s="3668">
        <v>1197</v>
      </c>
      <c r="P61" s="3590"/>
      <c r="Q61" s="1503"/>
      <c r="R61" s="2376" t="s">
        <v>6617</v>
      </c>
      <c r="S61" s="3575" t="s">
        <v>8208</v>
      </c>
    </row>
    <row r="62" spans="1:19" ht="20.25" x14ac:dyDescent="0.35">
      <c r="A62" s="1342">
        <v>62</v>
      </c>
      <c r="B62" s="2067">
        <f t="shared" si="5"/>
        <v>0</v>
      </c>
      <c r="C62" s="2138" t="s">
        <v>1541</v>
      </c>
      <c r="D62" s="727" t="s">
        <v>6189</v>
      </c>
      <c r="E62" s="2473">
        <f>MAX(0,E60-E61)</f>
        <v>3600</v>
      </c>
      <c r="F62" s="2473">
        <f t="shared" ref="F62:O62" si="11">MAX(0,F60-F61)</f>
        <v>5023</v>
      </c>
      <c r="G62" s="2473">
        <f t="shared" si="11"/>
        <v>26585</v>
      </c>
      <c r="H62" s="2473">
        <f t="shared" si="11"/>
        <v>3862</v>
      </c>
      <c r="I62" s="2473">
        <f t="shared" si="11"/>
        <v>2931</v>
      </c>
      <c r="J62" s="2473">
        <f t="shared" si="11"/>
        <v>0</v>
      </c>
      <c r="K62" s="3583">
        <f t="shared" si="11"/>
        <v>36350</v>
      </c>
      <c r="L62" s="2473">
        <f t="shared" si="11"/>
        <v>4500</v>
      </c>
      <c r="M62" s="2473">
        <f t="shared" si="11"/>
        <v>0</v>
      </c>
      <c r="N62" s="2473">
        <f t="shared" si="11"/>
        <v>200000</v>
      </c>
      <c r="O62" s="3669">
        <f t="shared" si="11"/>
        <v>50742</v>
      </c>
      <c r="P62" s="3683"/>
      <c r="Q62" s="1503"/>
      <c r="R62" s="2376" t="s">
        <v>6654</v>
      </c>
      <c r="S62" s="1793" t="s">
        <v>6161</v>
      </c>
    </row>
    <row r="63" spans="1:19" ht="40.5" x14ac:dyDescent="0.35">
      <c r="A63" s="1342">
        <v>63</v>
      </c>
      <c r="B63" s="2067">
        <f t="shared" si="5"/>
        <v>0</v>
      </c>
      <c r="C63" s="2126" t="s">
        <v>1542</v>
      </c>
      <c r="D63" s="727" t="s">
        <v>6190</v>
      </c>
      <c r="E63" s="2477">
        <f>MAX(0,(E46+E47+E48+E49+E50+E51+E54+E55+E56+E57+E58+E59)-(E40+E44+E45+E52+E53))</f>
        <v>0</v>
      </c>
      <c r="F63" s="2477">
        <f t="shared" ref="F63:O63" si="12">MAX(0,(F46+F47+F48+F49+F50+F51+F54+F55+F56+F57+F58+F59)-(F40+F44+F45+F52+F53))</f>
        <v>0</v>
      </c>
      <c r="G63" s="2477">
        <f t="shared" si="12"/>
        <v>0</v>
      </c>
      <c r="H63" s="2477">
        <f t="shared" si="12"/>
        <v>0</v>
      </c>
      <c r="I63" s="2477">
        <f t="shared" si="12"/>
        <v>0</v>
      </c>
      <c r="J63" s="2477">
        <f t="shared" si="12"/>
        <v>3884</v>
      </c>
      <c r="K63" s="2477">
        <f t="shared" si="12"/>
        <v>0</v>
      </c>
      <c r="L63" s="2477">
        <f t="shared" si="12"/>
        <v>0</v>
      </c>
      <c r="M63" s="2477">
        <f t="shared" si="12"/>
        <v>0</v>
      </c>
      <c r="N63" s="2484">
        <f t="shared" si="12"/>
        <v>0</v>
      </c>
      <c r="O63" s="3670">
        <f t="shared" si="12"/>
        <v>0</v>
      </c>
      <c r="P63" s="3677"/>
      <c r="Q63" s="1503"/>
      <c r="R63" s="2376" t="s">
        <v>6654</v>
      </c>
      <c r="S63" s="1793" t="s">
        <v>6162</v>
      </c>
    </row>
    <row r="64" spans="1:19" x14ac:dyDescent="0.35">
      <c r="A64" s="1342">
        <v>64</v>
      </c>
      <c r="B64" s="2067" t="str">
        <f t="shared" si="5"/>
        <v/>
      </c>
      <c r="C64" s="3587" t="s">
        <v>1729</v>
      </c>
      <c r="D64" s="3588" t="s">
        <v>6191</v>
      </c>
      <c r="E64" s="3589"/>
      <c r="F64" s="3589"/>
      <c r="G64" s="3589"/>
      <c r="H64" s="3589"/>
      <c r="I64" s="3589"/>
      <c r="J64" s="3589">
        <v>2100</v>
      </c>
      <c r="K64" s="3589"/>
      <c r="L64" s="3589"/>
      <c r="M64" s="3589"/>
      <c r="N64" s="3589"/>
      <c r="O64" s="3668"/>
      <c r="P64" s="3590"/>
      <c r="Q64" s="1503"/>
      <c r="R64" s="2376" t="s">
        <v>6617</v>
      </c>
      <c r="S64" s="3575" t="s">
        <v>8410</v>
      </c>
    </row>
    <row r="65" spans="1:19" x14ac:dyDescent="0.35">
      <c r="A65" s="1342">
        <v>65</v>
      </c>
      <c r="B65" s="2067">
        <f t="shared" si="5"/>
        <v>0</v>
      </c>
      <c r="C65" s="2742" t="s">
        <v>1730</v>
      </c>
      <c r="D65" s="3588" t="s">
        <v>6192</v>
      </c>
      <c r="E65" s="3591">
        <f t="shared" ref="E65:L65" si="13">MAX(0,(E61-E60)+(E63-E64))</f>
        <v>0</v>
      </c>
      <c r="F65" s="3591">
        <f t="shared" si="13"/>
        <v>0</v>
      </c>
      <c r="G65" s="3591">
        <f t="shared" si="13"/>
        <v>0</v>
      </c>
      <c r="H65" s="3591">
        <f t="shared" si="13"/>
        <v>0</v>
      </c>
      <c r="I65" s="3591">
        <f t="shared" si="13"/>
        <v>0</v>
      </c>
      <c r="J65" s="3591">
        <f>MAX(0,(J61-J60)+(J63-J64))</f>
        <v>1784</v>
      </c>
      <c r="K65" s="3591">
        <f t="shared" si="13"/>
        <v>0</v>
      </c>
      <c r="L65" s="3591">
        <f t="shared" si="13"/>
        <v>0</v>
      </c>
      <c r="M65" s="3850">
        <f>MAX(0,(M61-M60)+(M63-M64))</f>
        <v>0</v>
      </c>
      <c r="N65" s="3592">
        <f>MAX(0,(N61-N60)+(N63-N64))</f>
        <v>0</v>
      </c>
      <c r="O65" s="3607">
        <f>MAX(0,(O61-O60)+(O63-O64))</f>
        <v>0</v>
      </c>
      <c r="P65" s="2743"/>
      <c r="Q65" s="1503"/>
      <c r="R65" s="2376" t="s">
        <v>6654</v>
      </c>
      <c r="S65" s="1793"/>
    </row>
    <row r="66" spans="1:19" ht="20.65" thickBot="1" x14ac:dyDescent="0.4">
      <c r="A66" s="1342">
        <v>66</v>
      </c>
      <c r="B66" s="2067" t="str">
        <f t="shared" si="5"/>
        <v/>
      </c>
      <c r="C66" s="2746" t="s">
        <v>6942</v>
      </c>
      <c r="D66" s="3593" t="s">
        <v>6943</v>
      </c>
      <c r="E66" s="3594"/>
      <c r="F66" s="3594"/>
      <c r="G66" s="3594">
        <f>(G48*100/75)*25%</f>
        <v>500</v>
      </c>
      <c r="H66" s="3594">
        <f>(H48*100/75)*25%</f>
        <v>266.66666666666669</v>
      </c>
      <c r="I66" s="3594">
        <f>(I48*100/75)*25%</f>
        <v>486.66666666666669</v>
      </c>
      <c r="J66" s="3594">
        <f>(J48*100/75)*25%</f>
        <v>9722.6666666666661</v>
      </c>
      <c r="K66" s="3594"/>
      <c r="L66" s="3594"/>
      <c r="M66" s="3594"/>
      <c r="N66" s="3594"/>
      <c r="O66" s="3594"/>
      <c r="P66" s="3595"/>
      <c r="Q66" s="1503"/>
      <c r="R66" s="3575" t="s">
        <v>6617</v>
      </c>
      <c r="S66" s="3575" t="s">
        <v>8411</v>
      </c>
    </row>
    <row r="67" spans="1:19" ht="30.4" x14ac:dyDescent="0.35">
      <c r="R67" s="3840" t="s">
        <v>8507</v>
      </c>
      <c r="S67" s="3575" t="s">
        <v>8485</v>
      </c>
    </row>
  </sheetData>
  <phoneticPr fontId="68" type="noConversion"/>
  <dataValidations count="1">
    <dataValidation type="list" allowBlank="1" showInputMessage="1" showErrorMessage="1" sqref="R2:R66">
      <formula1>allowedTypes</formula1>
    </dataValidation>
  </dataValidations>
  <pageMargins left="0.75" right="0.75" top="1" bottom="1" header="0.5" footer="0.5"/>
  <pageSetup paperSize="9" orientation="portrait" horizontalDpi="1200" verticalDpi="1200" r:id="rId1"/>
  <headerFooter alignWithMargins="0"/>
  <ignoredErrors>
    <ignoredError sqref="K65" unlockedFormula="1"/>
  </ignoredError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rgb="FFFFFF99"/>
    <pageSetUpPr fitToPage="1"/>
  </sheetPr>
  <dimension ref="A1:X148"/>
  <sheetViews>
    <sheetView showGridLines="0" zoomScaleNormal="100" workbookViewId="0">
      <pane xSplit="3" ySplit="1" topLeftCell="D74" activePane="bottomRight" state="frozen"/>
      <selection pane="topRight" activeCell="C1" sqref="C1"/>
      <selection pane="bottomLeft" activeCell="A2" sqref="A2"/>
      <selection pane="bottomRight" activeCell="L87" sqref="L87"/>
    </sheetView>
  </sheetViews>
  <sheetFormatPr defaultRowHeight="12.75" x14ac:dyDescent="0.35"/>
  <cols>
    <col min="1" max="1" width="7.1328125" style="1343" customWidth="1"/>
    <col min="2" max="2" width="10.265625" customWidth="1"/>
    <col min="3" max="3" width="15.265625" style="206" bestFit="1" customWidth="1"/>
    <col min="4" max="4" width="40.59765625" style="206" customWidth="1"/>
    <col min="5" max="7" width="7.3984375" style="206" bestFit="1" customWidth="1"/>
    <col min="8" max="8" width="8.3984375" style="206" bestFit="1" customWidth="1"/>
    <col min="9" max="11" width="7.3984375" style="206" bestFit="1" customWidth="1"/>
    <col min="12" max="13" width="9.3984375" style="206" customWidth="1"/>
    <col min="14" max="14" width="13.265625" style="206" bestFit="1" customWidth="1"/>
    <col min="15" max="20" width="9.1328125" style="206"/>
    <col min="21" max="22" width="9.3984375" bestFit="1" customWidth="1"/>
    <col min="23" max="23" width="7.73046875" bestFit="1" customWidth="1"/>
    <col min="24" max="24" width="3.86328125" bestFit="1" customWidth="1"/>
  </cols>
  <sheetData>
    <row r="1" spans="1:24" x14ac:dyDescent="0.35">
      <c r="A1" s="1342" t="s">
        <v>4845</v>
      </c>
      <c r="B1" s="676" t="s">
        <v>4210</v>
      </c>
      <c r="C1" s="2077" t="s">
        <v>3567</v>
      </c>
      <c r="D1" s="2078"/>
      <c r="E1" s="2078">
        <v>1</v>
      </c>
      <c r="F1" s="1348">
        <v>2</v>
      </c>
      <c r="G1" s="1348">
        <v>3</v>
      </c>
      <c r="H1" s="1348">
        <v>4</v>
      </c>
      <c r="I1" s="1348">
        <v>5</v>
      </c>
      <c r="J1" s="1348">
        <v>6</v>
      </c>
      <c r="K1" s="1348">
        <v>7</v>
      </c>
      <c r="L1" s="1348">
        <v>8</v>
      </c>
      <c r="M1" s="1349">
        <v>9</v>
      </c>
    </row>
    <row r="2" spans="1:24" x14ac:dyDescent="0.35">
      <c r="A2" s="1342">
        <v>2</v>
      </c>
      <c r="B2" s="2067" t="str">
        <f t="shared" ref="B2:B65" si="0">IF(FOR_IND&gt;1,IF(HLOOKUP(FOR_IND-1,FOR_RANGE,A2)="","",HLOOKUP(FOR_IND-1,FOR_RANGE,A2)),"")</f>
        <v/>
      </c>
      <c r="C2" s="1580" t="s">
        <v>2241</v>
      </c>
      <c r="D2" s="1784" t="s">
        <v>5766</v>
      </c>
      <c r="E2" s="1582" t="s">
        <v>1237</v>
      </c>
      <c r="F2" s="1582" t="s">
        <v>1237</v>
      </c>
      <c r="G2" s="1582" t="s">
        <v>1237</v>
      </c>
      <c r="H2" s="1582" t="s">
        <v>1237</v>
      </c>
      <c r="I2" s="1582" t="s">
        <v>1237</v>
      </c>
      <c r="J2" s="1582" t="s">
        <v>1237</v>
      </c>
      <c r="K2" s="1582" t="s">
        <v>1237</v>
      </c>
      <c r="L2" s="1582"/>
      <c r="M2" s="1628"/>
      <c r="N2" s="451" t="s">
        <v>1031</v>
      </c>
      <c r="O2" s="737">
        <v>1</v>
      </c>
      <c r="P2" s="738" t="s">
        <v>2835</v>
      </c>
      <c r="Q2" s="738"/>
      <c r="R2" s="739" t="str">
        <f>C50&amp;" to "&amp;C55</f>
        <v>FOR_OVE_A_1 to FOR9_OVE_F_1</v>
      </c>
      <c r="S2" s="738"/>
      <c r="T2" s="740"/>
      <c r="U2" s="206"/>
      <c r="V2" s="206"/>
    </row>
    <row r="3" spans="1:24" x14ac:dyDescent="0.35">
      <c r="A3" s="1342">
        <v>3</v>
      </c>
      <c r="B3" s="2067" t="str">
        <f t="shared" si="0"/>
        <v/>
      </c>
      <c r="C3" s="1580" t="s">
        <v>2242</v>
      </c>
      <c r="D3" s="1784" t="s">
        <v>5767</v>
      </c>
      <c r="E3" s="1623" t="str">
        <f t="shared" ref="E3:L3" si="1">IF(FTCR&lt;&gt;0,FTCR,"")</f>
        <v/>
      </c>
      <c r="F3" s="1623" t="str">
        <f t="shared" si="1"/>
        <v/>
      </c>
      <c r="G3" s="1623" t="str">
        <f t="shared" si="1"/>
        <v/>
      </c>
      <c r="H3" s="1623" t="str">
        <f t="shared" si="1"/>
        <v/>
      </c>
      <c r="I3" s="1623" t="str">
        <f t="shared" si="1"/>
        <v/>
      </c>
      <c r="J3" s="1623" t="str">
        <f t="shared" si="1"/>
        <v/>
      </c>
      <c r="K3" s="1623" t="str">
        <f t="shared" si="1"/>
        <v/>
      </c>
      <c r="L3" s="1623" t="str">
        <f t="shared" si="1"/>
        <v/>
      </c>
      <c r="M3" s="2102"/>
      <c r="O3" s="741">
        <v>3</v>
      </c>
      <c r="P3" s="742" t="s">
        <v>936</v>
      </c>
      <c r="Q3" s="742"/>
      <c r="R3" s="743" t="str">
        <f>C4&amp;" to "&amp;C15</f>
        <v>FOR_INT_A_1 to FOR4_INT_F_2</v>
      </c>
      <c r="S3" s="742"/>
      <c r="T3" s="744"/>
      <c r="U3" s="206"/>
      <c r="V3" s="206"/>
    </row>
    <row r="4" spans="1:24" x14ac:dyDescent="0.35">
      <c r="A4" s="1342">
        <v>4</v>
      </c>
      <c r="B4" s="2067" t="str">
        <f t="shared" si="0"/>
        <v/>
      </c>
      <c r="C4" s="1580" t="s">
        <v>3791</v>
      </c>
      <c r="D4" s="1784" t="s">
        <v>5768</v>
      </c>
      <c r="E4" s="1582" t="s">
        <v>3242</v>
      </c>
      <c r="F4" s="1582" t="s">
        <v>2937</v>
      </c>
      <c r="G4" s="1582" t="s">
        <v>1633</v>
      </c>
      <c r="H4" s="1582" t="s">
        <v>2971</v>
      </c>
      <c r="I4" s="1582" t="s">
        <v>1194</v>
      </c>
      <c r="J4" s="2079"/>
      <c r="K4" s="1627" t="s">
        <v>3242</v>
      </c>
      <c r="L4" s="1627"/>
      <c r="M4" s="2103"/>
      <c r="O4" s="741">
        <v>4</v>
      </c>
      <c r="P4" s="742" t="s">
        <v>1681</v>
      </c>
      <c r="Q4" s="742"/>
      <c r="R4" s="743" t="str">
        <f>C18&amp;" to "&amp;C29</f>
        <v>FOR_DIV_A_1 to FOR6_DIV_F_2</v>
      </c>
      <c r="S4" s="742"/>
      <c r="T4" s="744"/>
      <c r="U4" s="206"/>
      <c r="V4" s="206"/>
    </row>
    <row r="5" spans="1:24" x14ac:dyDescent="0.35">
      <c r="A5" s="1342">
        <v>5</v>
      </c>
      <c r="B5" s="2067" t="str">
        <f t="shared" si="0"/>
        <v/>
      </c>
      <c r="C5" s="1580" t="s">
        <v>3792</v>
      </c>
      <c r="D5" s="1784" t="s">
        <v>5769</v>
      </c>
      <c r="E5" s="2080">
        <v>3562</v>
      </c>
      <c r="F5" s="2080">
        <v>1263</v>
      </c>
      <c r="G5" s="2080">
        <v>500</v>
      </c>
      <c r="H5" s="2081">
        <v>4227</v>
      </c>
      <c r="I5" s="2080">
        <v>500</v>
      </c>
      <c r="J5" s="2081"/>
      <c r="K5" s="2082">
        <v>1697</v>
      </c>
      <c r="L5" s="2082"/>
      <c r="M5" s="2104"/>
      <c r="O5" s="745">
        <v>5</v>
      </c>
      <c r="P5" s="746" t="s">
        <v>3216</v>
      </c>
      <c r="Q5" s="746"/>
      <c r="R5" s="747" t="e">
        <f>#REF!</f>
        <v>#REF!</v>
      </c>
      <c r="S5" s="746"/>
      <c r="T5" s="748"/>
      <c r="U5" s="206"/>
      <c r="V5" s="206"/>
    </row>
    <row r="6" spans="1:24" x14ac:dyDescent="0.35">
      <c r="A6" s="1342">
        <v>6</v>
      </c>
      <c r="B6" s="2067" t="str">
        <f t="shared" si="0"/>
        <v/>
      </c>
      <c r="C6" s="1580" t="s">
        <v>3793</v>
      </c>
      <c r="D6" s="1784" t="s">
        <v>5770</v>
      </c>
      <c r="E6" s="2080">
        <v>356</v>
      </c>
      <c r="F6" s="2080"/>
      <c r="G6" s="2080">
        <v>100</v>
      </c>
      <c r="H6" s="2081">
        <v>507</v>
      </c>
      <c r="I6" s="2080">
        <v>100</v>
      </c>
      <c r="J6" s="2081"/>
      <c r="K6" s="2082">
        <v>170</v>
      </c>
      <c r="L6" s="2082"/>
      <c r="M6" s="2104"/>
      <c r="U6" s="206"/>
      <c r="V6" s="206"/>
    </row>
    <row r="7" spans="1:24" x14ac:dyDescent="0.35">
      <c r="A7" s="1342">
        <v>7</v>
      </c>
      <c r="B7" s="2067" t="str">
        <f t="shared" si="0"/>
        <v/>
      </c>
      <c r="C7" s="1580" t="s">
        <v>3795</v>
      </c>
      <c r="D7" s="1784" t="s">
        <v>5771</v>
      </c>
      <c r="E7" s="2080"/>
      <c r="F7" s="2080">
        <v>252</v>
      </c>
      <c r="G7" s="2080"/>
      <c r="H7" s="2081"/>
      <c r="I7" s="2080">
        <v>75</v>
      </c>
      <c r="J7" s="2081"/>
      <c r="K7" s="2083"/>
      <c r="L7" s="2083"/>
      <c r="M7" s="2105"/>
      <c r="U7" s="206"/>
      <c r="V7" s="206"/>
    </row>
    <row r="8" spans="1:24" x14ac:dyDescent="0.35">
      <c r="A8" s="1342">
        <v>8</v>
      </c>
      <c r="B8" s="2067" t="str">
        <f t="shared" si="0"/>
        <v/>
      </c>
      <c r="C8" s="1580" t="s">
        <v>3794</v>
      </c>
      <c r="D8" s="1784" t="s">
        <v>5772</v>
      </c>
      <c r="E8" s="1582" t="s">
        <v>583</v>
      </c>
      <c r="F8" s="1582"/>
      <c r="G8" s="1582"/>
      <c r="H8" s="2079"/>
      <c r="I8" s="1582" t="s">
        <v>583</v>
      </c>
      <c r="J8" s="2079"/>
      <c r="K8" s="1627" t="s">
        <v>583</v>
      </c>
      <c r="L8" s="1627"/>
      <c r="M8" s="2103"/>
      <c r="N8" s="206" t="s">
        <v>3862</v>
      </c>
      <c r="O8" s="682">
        <v>1</v>
      </c>
      <c r="P8" s="586">
        <v>2</v>
      </c>
      <c r="Q8" s="586">
        <v>3</v>
      </c>
      <c r="R8" s="586">
        <v>4</v>
      </c>
      <c r="S8" s="586">
        <v>5</v>
      </c>
      <c r="T8" s="586">
        <v>6</v>
      </c>
      <c r="U8" s="586">
        <v>7</v>
      </c>
      <c r="V8" s="586">
        <v>8</v>
      </c>
      <c r="W8" s="627" t="s">
        <v>4210</v>
      </c>
      <c r="X8" s="1247" t="s">
        <v>4845</v>
      </c>
    </row>
    <row r="9" spans="1:24" ht="13.15" thickBot="1" x14ac:dyDescent="0.4">
      <c r="A9" s="1342">
        <v>9</v>
      </c>
      <c r="B9" s="2067" t="str">
        <f t="shared" si="0"/>
        <v/>
      </c>
      <c r="C9" s="1580" t="s">
        <v>3796</v>
      </c>
      <c r="D9" s="1784" t="s">
        <v>5773</v>
      </c>
      <c r="E9" s="2084">
        <f t="shared" ref="E9:K9" si="2">IF(E8="Y",E5,MAX(0,E5-E6))</f>
        <v>3562</v>
      </c>
      <c r="F9" s="2084">
        <f t="shared" si="2"/>
        <v>1263</v>
      </c>
      <c r="G9" s="2084">
        <f t="shared" si="2"/>
        <v>400</v>
      </c>
      <c r="H9" s="2084">
        <f t="shared" si="2"/>
        <v>3720</v>
      </c>
      <c r="I9" s="2084">
        <f t="shared" si="2"/>
        <v>500</v>
      </c>
      <c r="J9" s="2325"/>
      <c r="K9" s="2085">
        <f t="shared" si="2"/>
        <v>1697</v>
      </c>
      <c r="L9" s="2325"/>
      <c r="M9" s="2106"/>
      <c r="N9" s="451" t="s">
        <v>4209</v>
      </c>
      <c r="O9" s="891" t="b">
        <v>1</v>
      </c>
      <c r="P9" s="891" t="b">
        <v>1</v>
      </c>
      <c r="Q9" s="891" t="b">
        <v>0</v>
      </c>
      <c r="R9" s="891" t="b">
        <v>0</v>
      </c>
      <c r="S9" s="891" t="b">
        <v>1</v>
      </c>
      <c r="T9" s="891" t="b">
        <v>1</v>
      </c>
      <c r="U9" s="1126" t="b">
        <v>1</v>
      </c>
      <c r="V9" s="1126" t="b">
        <v>1</v>
      </c>
      <c r="W9" s="627" t="str">
        <f>IF(FOR_IND&gt;1,HLOOKUP(FOR_IND-1,TCR_RANGE,Library!A2+1),"FALSE")</f>
        <v>FALSE</v>
      </c>
      <c r="X9" s="1248">
        <v>2</v>
      </c>
    </row>
    <row r="10" spans="1:24" x14ac:dyDescent="0.35">
      <c r="A10" s="1342">
        <v>10</v>
      </c>
      <c r="B10" s="2067" t="str">
        <f t="shared" si="0"/>
        <v/>
      </c>
      <c r="C10" s="1580" t="s">
        <v>2821</v>
      </c>
      <c r="D10" s="1784" t="s">
        <v>5768</v>
      </c>
      <c r="E10" s="1582"/>
      <c r="F10" s="1582"/>
      <c r="G10" s="1582"/>
      <c r="H10" s="1582"/>
      <c r="I10" s="1582"/>
      <c r="J10" s="2079"/>
      <c r="K10" s="1627" t="s">
        <v>2043</v>
      </c>
      <c r="L10" s="1627"/>
      <c r="M10" s="2103"/>
      <c r="N10" s="1107" t="s">
        <v>1351</v>
      </c>
      <c r="O10" s="1477">
        <v>1</v>
      </c>
      <c r="P10" s="1478">
        <v>4</v>
      </c>
      <c r="Q10" s="1472">
        <v>1</v>
      </c>
      <c r="R10" s="1472">
        <v>1</v>
      </c>
      <c r="S10" s="1472">
        <v>1</v>
      </c>
      <c r="T10" s="1472">
        <v>4</v>
      </c>
      <c r="U10" s="1479">
        <v>1</v>
      </c>
      <c r="V10" s="1479">
        <v>1</v>
      </c>
      <c r="W10" s="1106" t="str">
        <f t="shared" ref="W10:W49" si="3">IF(FOR_IND&gt;1,IF(HLOOKUP(FOR_IND-1,TCR_RANGE,X10)="","",HLOOKUP(FOR_IND-1,TCR_RANGE,X10)),"")</f>
        <v/>
      </c>
      <c r="X10" s="1248">
        <v>3</v>
      </c>
    </row>
    <row r="11" spans="1:24" x14ac:dyDescent="0.35">
      <c r="A11" s="1342">
        <v>11</v>
      </c>
      <c r="B11" s="2067" t="str">
        <f t="shared" si="0"/>
        <v/>
      </c>
      <c r="C11" s="1580" t="s">
        <v>2822</v>
      </c>
      <c r="D11" s="1784" t="s">
        <v>5769</v>
      </c>
      <c r="E11" s="2080"/>
      <c r="F11" s="2080"/>
      <c r="G11" s="2080"/>
      <c r="H11" s="2081"/>
      <c r="I11" s="2080"/>
      <c r="J11" s="2081"/>
      <c r="K11" s="2082">
        <v>5759</v>
      </c>
      <c r="L11" s="2082"/>
      <c r="M11" s="2104"/>
      <c r="N11" s="1107" t="s">
        <v>1679</v>
      </c>
      <c r="O11" s="898">
        <v>1</v>
      </c>
      <c r="P11" s="899">
        <v>8</v>
      </c>
      <c r="Q11" s="899">
        <v>1</v>
      </c>
      <c r="R11" s="899">
        <v>1</v>
      </c>
      <c r="S11" s="899">
        <v>1</v>
      </c>
      <c r="T11" s="415">
        <v>9</v>
      </c>
      <c r="U11" s="1476">
        <v>1</v>
      </c>
      <c r="V11" s="1476">
        <v>1</v>
      </c>
      <c r="W11" s="1106" t="str">
        <f t="shared" si="3"/>
        <v/>
      </c>
      <c r="X11" s="1248">
        <v>4</v>
      </c>
    </row>
    <row r="12" spans="1:24" x14ac:dyDescent="0.35">
      <c r="A12" s="1342">
        <v>12</v>
      </c>
      <c r="B12" s="2067" t="str">
        <f t="shared" si="0"/>
        <v/>
      </c>
      <c r="C12" s="1580" t="s">
        <v>2823</v>
      </c>
      <c r="D12" s="1784" t="s">
        <v>5770</v>
      </c>
      <c r="E12" s="2080"/>
      <c r="F12" s="2080"/>
      <c r="G12" s="2080"/>
      <c r="H12" s="2081"/>
      <c r="I12" s="2080"/>
      <c r="J12" s="2081"/>
      <c r="K12" s="2082">
        <v>575.9</v>
      </c>
      <c r="L12" s="2082"/>
      <c r="M12" s="2104"/>
      <c r="N12" s="1107" t="s">
        <v>1350</v>
      </c>
      <c r="O12" s="1480">
        <f>E55</f>
        <v>6741</v>
      </c>
      <c r="P12" s="1481">
        <f>F23</f>
        <v>422</v>
      </c>
      <c r="Q12" s="1482">
        <v>0</v>
      </c>
      <c r="R12" s="1482">
        <v>0</v>
      </c>
      <c r="S12" s="1483">
        <f>I57</f>
        <v>1360</v>
      </c>
      <c r="T12" s="1483">
        <f>J19</f>
        <v>500</v>
      </c>
      <c r="U12" s="1484">
        <v>291486</v>
      </c>
      <c r="V12" s="2902">
        <f>L51</f>
        <v>131762</v>
      </c>
      <c r="W12" s="1106" t="str">
        <f t="shared" si="3"/>
        <v/>
      </c>
      <c r="X12" s="1248">
        <v>5</v>
      </c>
    </row>
    <row r="13" spans="1:24" ht="13.15" thickBot="1" x14ac:dyDescent="0.4">
      <c r="A13" s="1342">
        <v>13</v>
      </c>
      <c r="B13" s="2067" t="str">
        <f t="shared" si="0"/>
        <v/>
      </c>
      <c r="C13" s="1580" t="s">
        <v>2824</v>
      </c>
      <c r="D13" s="1784" t="s">
        <v>5771</v>
      </c>
      <c r="E13" s="2080"/>
      <c r="F13" s="2080"/>
      <c r="G13" s="2080"/>
      <c r="H13" s="2081"/>
      <c r="I13" s="2080"/>
      <c r="J13" s="2081"/>
      <c r="K13" s="2083"/>
      <c r="L13" s="2083"/>
      <c r="M13" s="2105"/>
      <c r="N13" s="1107" t="s">
        <v>1364</v>
      </c>
      <c r="O13" s="1485">
        <f>E52</f>
        <v>1685</v>
      </c>
      <c r="P13" s="1486">
        <f>F20</f>
        <v>42</v>
      </c>
      <c r="Q13" s="1487">
        <v>0</v>
      </c>
      <c r="R13" s="1487">
        <v>0</v>
      </c>
      <c r="S13" s="1488">
        <f>I52</f>
        <v>340</v>
      </c>
      <c r="T13" s="1488">
        <f>J20</f>
        <v>75</v>
      </c>
      <c r="U13" s="1489">
        <v>121168</v>
      </c>
      <c r="V13" s="1489">
        <v>35299</v>
      </c>
      <c r="W13" s="1106" t="str">
        <f t="shared" si="3"/>
        <v/>
      </c>
      <c r="X13" s="1248">
        <v>6</v>
      </c>
    </row>
    <row r="14" spans="1:24" x14ac:dyDescent="0.35">
      <c r="A14" s="1342">
        <v>14</v>
      </c>
      <c r="B14" s="2067" t="str">
        <f t="shared" si="0"/>
        <v/>
      </c>
      <c r="C14" s="1580" t="s">
        <v>2825</v>
      </c>
      <c r="D14" s="1784" t="s">
        <v>5772</v>
      </c>
      <c r="E14" s="1582"/>
      <c r="F14" s="1582"/>
      <c r="G14" s="1582"/>
      <c r="H14" s="2079"/>
      <c r="I14" s="1582"/>
      <c r="J14" s="2079"/>
      <c r="K14" s="1627" t="s">
        <v>583</v>
      </c>
      <c r="L14" s="1627"/>
      <c r="M14" s="2103"/>
      <c r="N14" s="1107" t="s">
        <v>2843</v>
      </c>
      <c r="O14" s="1501">
        <v>4</v>
      </c>
      <c r="P14" s="893">
        <v>1</v>
      </c>
      <c r="Q14" s="894">
        <v>1</v>
      </c>
      <c r="R14" s="894">
        <v>1</v>
      </c>
      <c r="S14" s="1472">
        <v>3</v>
      </c>
      <c r="T14" s="1472">
        <v>4</v>
      </c>
      <c r="U14" s="1490">
        <v>1</v>
      </c>
      <c r="V14" s="1491">
        <v>1</v>
      </c>
      <c r="W14" s="1106" t="str">
        <f t="shared" si="3"/>
        <v/>
      </c>
      <c r="X14" s="1248">
        <v>7</v>
      </c>
    </row>
    <row r="15" spans="1:24" x14ac:dyDescent="0.35">
      <c r="A15" s="1342">
        <v>15</v>
      </c>
      <c r="B15" s="2067" t="str">
        <f t="shared" si="0"/>
        <v/>
      </c>
      <c r="C15" s="1580" t="s">
        <v>2826</v>
      </c>
      <c r="D15" s="1784" t="s">
        <v>5773</v>
      </c>
      <c r="E15" s="2325"/>
      <c r="F15" s="2325"/>
      <c r="G15" s="2325"/>
      <c r="H15" s="2325"/>
      <c r="I15" s="2325"/>
      <c r="J15" s="2325"/>
      <c r="K15" s="2084">
        <f>IF(K14="Y",K11,MAX(0,K11-K12))</f>
        <v>5759</v>
      </c>
      <c r="L15" s="2325"/>
      <c r="M15" s="2106"/>
      <c r="N15" s="1107" t="s">
        <v>1680</v>
      </c>
      <c r="O15" s="898">
        <v>10</v>
      </c>
      <c r="P15" s="899">
        <v>1</v>
      </c>
      <c r="Q15" s="899">
        <v>1</v>
      </c>
      <c r="R15" s="899">
        <v>1</v>
      </c>
      <c r="S15" s="899">
        <v>8</v>
      </c>
      <c r="T15" s="415">
        <v>9</v>
      </c>
      <c r="U15" s="1474">
        <v>1</v>
      </c>
      <c r="V15" s="1475">
        <v>1</v>
      </c>
      <c r="W15" s="1106" t="str">
        <f t="shared" si="3"/>
        <v/>
      </c>
      <c r="X15" s="1248">
        <v>8</v>
      </c>
    </row>
    <row r="16" spans="1:24" x14ac:dyDescent="0.35">
      <c r="A16" s="1342">
        <v>16</v>
      </c>
      <c r="B16" s="2067" t="str">
        <f t="shared" si="0"/>
        <v/>
      </c>
      <c r="C16" s="1991" t="s">
        <v>148</v>
      </c>
      <c r="D16" s="1784" t="s">
        <v>2708</v>
      </c>
      <c r="E16" s="2326"/>
      <c r="F16" s="2086">
        <f>F7+F13</f>
        <v>252</v>
      </c>
      <c r="G16" s="2326"/>
      <c r="H16" s="2326"/>
      <c r="I16" s="2086">
        <f>I7+I13</f>
        <v>75</v>
      </c>
      <c r="J16" s="2326"/>
      <c r="K16" s="2326"/>
      <c r="L16" s="2326"/>
      <c r="M16" s="2107"/>
      <c r="N16" s="1107" t="s">
        <v>3257</v>
      </c>
      <c r="O16" s="1120">
        <f>E23</f>
        <v>2679</v>
      </c>
      <c r="P16" s="855">
        <v>0</v>
      </c>
      <c r="Q16" s="750">
        <v>0</v>
      </c>
      <c r="R16" s="750">
        <v>0</v>
      </c>
      <c r="S16" s="751">
        <f>I9</f>
        <v>500</v>
      </c>
      <c r="T16" s="1483">
        <f>J25</f>
        <v>500</v>
      </c>
      <c r="U16" s="1492">
        <v>23904</v>
      </c>
      <c r="V16" s="1493">
        <v>0</v>
      </c>
      <c r="W16" s="1106" t="str">
        <f t="shared" si="3"/>
        <v/>
      </c>
      <c r="X16" s="1248">
        <v>9</v>
      </c>
    </row>
    <row r="17" spans="1:24" ht="13.15" thickBot="1" x14ac:dyDescent="0.4">
      <c r="A17" s="1342">
        <v>17</v>
      </c>
      <c r="B17" s="2067" t="str">
        <f t="shared" si="0"/>
        <v/>
      </c>
      <c r="C17" s="1991" t="s">
        <v>149</v>
      </c>
      <c r="D17" s="1784" t="s">
        <v>2708</v>
      </c>
      <c r="E17" s="2086">
        <f>E9+E15</f>
        <v>3562</v>
      </c>
      <c r="F17" s="2086">
        <f t="shared" ref="F17:K17" si="4">F9+F15</f>
        <v>1263</v>
      </c>
      <c r="G17" s="2086">
        <f t="shared" si="4"/>
        <v>400</v>
      </c>
      <c r="H17" s="2086">
        <f t="shared" si="4"/>
        <v>3720</v>
      </c>
      <c r="I17" s="2086">
        <f t="shared" si="4"/>
        <v>500</v>
      </c>
      <c r="J17" s="2326"/>
      <c r="K17" s="2086">
        <f t="shared" si="4"/>
        <v>7456</v>
      </c>
      <c r="L17" s="2326"/>
      <c r="M17" s="2107"/>
      <c r="N17" s="1107" t="s">
        <v>2523</v>
      </c>
      <c r="O17" s="895">
        <f>E20</f>
        <v>401</v>
      </c>
      <c r="P17" s="1122">
        <v>0</v>
      </c>
      <c r="Q17" s="1123">
        <v>0</v>
      </c>
      <c r="R17" s="1123">
        <v>0</v>
      </c>
      <c r="S17" s="896">
        <f>I6</f>
        <v>100</v>
      </c>
      <c r="T17" s="1488">
        <f>J26</f>
        <v>75</v>
      </c>
      <c r="U17" s="1489">
        <v>8836</v>
      </c>
      <c r="V17" s="1494">
        <v>0</v>
      </c>
      <c r="W17" s="1106" t="str">
        <f t="shared" si="3"/>
        <v/>
      </c>
      <c r="X17" s="1248">
        <v>10</v>
      </c>
    </row>
    <row r="18" spans="1:24" x14ac:dyDescent="0.35">
      <c r="A18" s="1342">
        <v>18</v>
      </c>
      <c r="B18" s="2067" t="str">
        <f t="shared" si="0"/>
        <v/>
      </c>
      <c r="C18" s="1580" t="s">
        <v>3797</v>
      </c>
      <c r="D18" s="1784" t="s">
        <v>5768</v>
      </c>
      <c r="E18" s="1582" t="s">
        <v>3494</v>
      </c>
      <c r="F18" s="1582" t="s">
        <v>3243</v>
      </c>
      <c r="G18" s="1582" t="s">
        <v>1633</v>
      </c>
      <c r="H18" s="1582" t="s">
        <v>1194</v>
      </c>
      <c r="I18" s="1627" t="s">
        <v>2003</v>
      </c>
      <c r="J18" s="1625" t="s">
        <v>1633</v>
      </c>
      <c r="K18" s="1627" t="s">
        <v>2036</v>
      </c>
      <c r="L18" s="1627"/>
      <c r="M18" s="2103"/>
      <c r="N18" s="1107" t="s">
        <v>2524</v>
      </c>
      <c r="O18" s="1501">
        <v>3</v>
      </c>
      <c r="P18" s="1478">
        <v>1</v>
      </c>
      <c r="Q18" s="1472">
        <v>1</v>
      </c>
      <c r="R18" s="1472">
        <v>1</v>
      </c>
      <c r="S18" s="1472">
        <v>4</v>
      </c>
      <c r="T18" s="1472">
        <v>4</v>
      </c>
      <c r="U18" s="1490">
        <v>1</v>
      </c>
      <c r="V18" s="1491">
        <v>1</v>
      </c>
      <c r="W18" s="1106" t="str">
        <f t="shared" si="3"/>
        <v/>
      </c>
      <c r="X18" s="1248">
        <v>11</v>
      </c>
    </row>
    <row r="19" spans="1:24" x14ac:dyDescent="0.35">
      <c r="A19" s="1342">
        <v>19</v>
      </c>
      <c r="B19" s="2067" t="str">
        <f t="shared" si="0"/>
        <v/>
      </c>
      <c r="C19" s="1580" t="s">
        <v>3798</v>
      </c>
      <c r="D19" s="1784" t="s">
        <v>5769</v>
      </c>
      <c r="E19" s="2080">
        <v>2679</v>
      </c>
      <c r="F19" s="2087">
        <v>422</v>
      </c>
      <c r="G19" s="2087">
        <v>1500</v>
      </c>
      <c r="H19" s="2083">
        <v>16200</v>
      </c>
      <c r="I19" s="2087">
        <v>659</v>
      </c>
      <c r="J19" s="2082">
        <v>500</v>
      </c>
      <c r="K19" s="2082">
        <v>500</v>
      </c>
      <c r="L19" s="2082"/>
      <c r="M19" s="2104"/>
      <c r="N19" s="1107" t="s">
        <v>3218</v>
      </c>
      <c r="O19" s="1473">
        <v>6</v>
      </c>
      <c r="P19" s="899">
        <v>1</v>
      </c>
      <c r="Q19" s="899">
        <v>1</v>
      </c>
      <c r="R19" s="899">
        <v>1</v>
      </c>
      <c r="S19" s="415">
        <v>2</v>
      </c>
      <c r="T19" s="415">
        <v>2</v>
      </c>
      <c r="U19" s="1474">
        <v>1</v>
      </c>
      <c r="V19" s="1475">
        <v>1</v>
      </c>
      <c r="W19" s="1106" t="str">
        <f t="shared" si="3"/>
        <v/>
      </c>
      <c r="X19" s="1248">
        <v>12</v>
      </c>
    </row>
    <row r="20" spans="1:24" x14ac:dyDescent="0.35">
      <c r="A20" s="1342">
        <v>20</v>
      </c>
      <c r="B20" s="2067" t="str">
        <f t="shared" si="0"/>
        <v/>
      </c>
      <c r="C20" s="1580" t="s">
        <v>3799</v>
      </c>
      <c r="D20" s="1784" t="s">
        <v>5770</v>
      </c>
      <c r="E20" s="2080">
        <v>401</v>
      </c>
      <c r="F20" s="2080">
        <v>42</v>
      </c>
      <c r="G20" s="2080">
        <v>225</v>
      </c>
      <c r="H20" s="2081">
        <v>2430</v>
      </c>
      <c r="I20" s="2087">
        <v>98.85</v>
      </c>
      <c r="J20" s="2082">
        <v>75</v>
      </c>
      <c r="K20" s="2082">
        <v>75</v>
      </c>
      <c r="L20" s="2082"/>
      <c r="M20" s="2104"/>
      <c r="N20" s="1107" t="s">
        <v>4207</v>
      </c>
      <c r="O20" s="1497">
        <f>E9</f>
        <v>3562</v>
      </c>
      <c r="P20" s="1498">
        <v>0</v>
      </c>
      <c r="Q20" s="1482">
        <v>0</v>
      </c>
      <c r="R20" s="1482">
        <v>0</v>
      </c>
      <c r="S20" s="1495">
        <f>I23</f>
        <v>659</v>
      </c>
      <c r="T20" s="1495">
        <f>I49</f>
        <v>659</v>
      </c>
      <c r="U20" s="1492">
        <v>2110</v>
      </c>
      <c r="V20" s="1493">
        <v>0</v>
      </c>
      <c r="W20" s="1106" t="str">
        <f t="shared" si="3"/>
        <v/>
      </c>
      <c r="X20" s="1248">
        <v>13</v>
      </c>
    </row>
    <row r="21" spans="1:24" ht="13.15" thickBot="1" x14ac:dyDescent="0.4">
      <c r="A21" s="1342">
        <v>21</v>
      </c>
      <c r="B21" s="2067" t="str">
        <f t="shared" si="0"/>
        <v/>
      </c>
      <c r="C21" s="1580" t="s">
        <v>3801</v>
      </c>
      <c r="D21" s="1784" t="s">
        <v>5771</v>
      </c>
      <c r="E21" s="2080"/>
      <c r="F21" s="2080"/>
      <c r="G21" s="2080"/>
      <c r="H21" s="2081"/>
      <c r="I21" s="2080"/>
      <c r="J21" s="2081"/>
      <c r="K21" s="2081"/>
      <c r="L21" s="2083"/>
      <c r="M21" s="2105"/>
      <c r="N21" s="1107" t="s">
        <v>4208</v>
      </c>
      <c r="O21" s="1499">
        <f>E6</f>
        <v>356</v>
      </c>
      <c r="P21" s="1500">
        <v>0</v>
      </c>
      <c r="Q21" s="1487">
        <v>0</v>
      </c>
      <c r="R21" s="1487">
        <v>0</v>
      </c>
      <c r="S21" s="1488">
        <f>I20</f>
        <v>98.85</v>
      </c>
      <c r="T21" s="1488">
        <f>J32</f>
        <v>98.85</v>
      </c>
      <c r="U21" s="1489">
        <v>686</v>
      </c>
      <c r="V21" s="1494">
        <v>0</v>
      </c>
      <c r="W21" s="1106" t="str">
        <f t="shared" si="3"/>
        <v/>
      </c>
      <c r="X21" s="1248">
        <v>14</v>
      </c>
    </row>
    <row r="22" spans="1:24" x14ac:dyDescent="0.35">
      <c r="A22" s="1342">
        <v>22</v>
      </c>
      <c r="B22" s="2067" t="str">
        <f t="shared" si="0"/>
        <v/>
      </c>
      <c r="C22" s="1580" t="s">
        <v>3800</v>
      </c>
      <c r="D22" s="1784" t="s">
        <v>5772</v>
      </c>
      <c r="E22" s="1582" t="s">
        <v>583</v>
      </c>
      <c r="F22" s="1582" t="s">
        <v>583</v>
      </c>
      <c r="G22" s="1582"/>
      <c r="H22" s="2079"/>
      <c r="I22" s="1582" t="s">
        <v>583</v>
      </c>
      <c r="J22" s="1582" t="s">
        <v>583</v>
      </c>
      <c r="K22" s="1627" t="s">
        <v>583</v>
      </c>
      <c r="L22" s="1627"/>
      <c r="M22" s="2103"/>
      <c r="N22" s="1107" t="s">
        <v>1866</v>
      </c>
      <c r="O22" s="892">
        <v>1</v>
      </c>
      <c r="P22" s="893">
        <v>1</v>
      </c>
      <c r="Q22" s="894">
        <v>1</v>
      </c>
      <c r="R22" s="894">
        <v>1</v>
      </c>
      <c r="S22" s="894">
        <v>4</v>
      </c>
      <c r="T22" s="1472">
        <v>4</v>
      </c>
      <c r="U22" s="1490">
        <v>1</v>
      </c>
      <c r="V22" s="1491">
        <v>1</v>
      </c>
      <c r="W22" s="1106" t="str">
        <f t="shared" si="3"/>
        <v/>
      </c>
      <c r="X22" s="1248">
        <v>15</v>
      </c>
    </row>
    <row r="23" spans="1:24" x14ac:dyDescent="0.35">
      <c r="A23" s="1342">
        <v>23</v>
      </c>
      <c r="B23" s="2067" t="str">
        <f t="shared" si="0"/>
        <v/>
      </c>
      <c r="C23" s="1580" t="s">
        <v>3802</v>
      </c>
      <c r="D23" s="1784" t="s">
        <v>5773</v>
      </c>
      <c r="E23" s="2084">
        <f t="shared" ref="E23:K23" si="5">IF(E22="Y",E19,MAX(0,E19-E20))</f>
        <v>2679</v>
      </c>
      <c r="F23" s="2084">
        <f t="shared" si="5"/>
        <v>422</v>
      </c>
      <c r="G23" s="2084">
        <f t="shared" si="5"/>
        <v>1275</v>
      </c>
      <c r="H23" s="2084">
        <f t="shared" si="5"/>
        <v>13770</v>
      </c>
      <c r="I23" s="2084">
        <f t="shared" si="5"/>
        <v>659</v>
      </c>
      <c r="J23" s="2084">
        <f t="shared" si="5"/>
        <v>500</v>
      </c>
      <c r="K23" s="2085">
        <f t="shared" si="5"/>
        <v>500</v>
      </c>
      <c r="L23" s="2325"/>
      <c r="M23" s="2106"/>
      <c r="N23" s="1107" t="s">
        <v>3217</v>
      </c>
      <c r="O23" s="898">
        <v>1</v>
      </c>
      <c r="P23" s="899">
        <v>1</v>
      </c>
      <c r="Q23" s="899">
        <v>1</v>
      </c>
      <c r="R23" s="899">
        <v>1</v>
      </c>
      <c r="S23" s="415">
        <v>9</v>
      </c>
      <c r="T23" s="415">
        <v>6</v>
      </c>
      <c r="U23" s="1474">
        <v>1</v>
      </c>
      <c r="V23" s="1475">
        <v>1</v>
      </c>
      <c r="W23" s="1106" t="str">
        <f t="shared" si="3"/>
        <v/>
      </c>
      <c r="X23" s="1248">
        <v>16</v>
      </c>
    </row>
    <row r="24" spans="1:24" x14ac:dyDescent="0.35">
      <c r="A24" s="1342">
        <v>24</v>
      </c>
      <c r="B24" s="2067" t="str">
        <f t="shared" si="0"/>
        <v/>
      </c>
      <c r="C24" s="1580" t="s">
        <v>3803</v>
      </c>
      <c r="D24" s="1784" t="s">
        <v>5768</v>
      </c>
      <c r="E24" s="1582"/>
      <c r="F24" s="1582"/>
      <c r="G24" s="1582"/>
      <c r="H24" s="1582"/>
      <c r="I24" s="1582"/>
      <c r="J24" s="1627" t="s">
        <v>1633</v>
      </c>
      <c r="K24" s="1627" t="s">
        <v>2043</v>
      </c>
      <c r="L24" s="1627"/>
      <c r="M24" s="2103"/>
      <c r="N24" s="1107" t="s">
        <v>961</v>
      </c>
      <c r="O24" s="897">
        <v>0</v>
      </c>
      <c r="P24" s="855">
        <v>0</v>
      </c>
      <c r="Q24" s="750">
        <v>0</v>
      </c>
      <c r="R24" s="750">
        <v>0</v>
      </c>
      <c r="S24" s="1119">
        <f>I63</f>
        <v>3620</v>
      </c>
      <c r="T24" s="1495">
        <f>J37</f>
        <v>500</v>
      </c>
      <c r="U24" s="1492">
        <v>14655</v>
      </c>
      <c r="V24" s="1493">
        <v>0</v>
      </c>
      <c r="W24" s="1106" t="str">
        <f t="shared" si="3"/>
        <v/>
      </c>
      <c r="X24" s="1248">
        <v>17</v>
      </c>
    </row>
    <row r="25" spans="1:24" ht="13.15" thickBot="1" x14ac:dyDescent="0.4">
      <c r="A25" s="1342">
        <v>25</v>
      </c>
      <c r="B25" s="2067" t="str">
        <f t="shared" si="0"/>
        <v/>
      </c>
      <c r="C25" s="1580" t="s">
        <v>3804</v>
      </c>
      <c r="D25" s="1784" t="s">
        <v>5769</v>
      </c>
      <c r="E25" s="2080"/>
      <c r="F25" s="2087"/>
      <c r="G25" s="2087"/>
      <c r="H25" s="2083"/>
      <c r="I25" s="2087"/>
      <c r="J25" s="2082">
        <v>500</v>
      </c>
      <c r="K25" s="2082">
        <v>1000</v>
      </c>
      <c r="L25" s="2082"/>
      <c r="M25" s="2104"/>
      <c r="N25" s="1107" t="s">
        <v>962</v>
      </c>
      <c r="O25" s="1121">
        <v>0</v>
      </c>
      <c r="P25" s="1122">
        <v>0</v>
      </c>
      <c r="Q25" s="1123">
        <v>0</v>
      </c>
      <c r="R25" s="1123">
        <v>0</v>
      </c>
      <c r="S25" s="1123">
        <f>I60</f>
        <v>724</v>
      </c>
      <c r="T25" s="1488">
        <f>J38</f>
        <v>50</v>
      </c>
      <c r="U25" s="1489">
        <v>3394</v>
      </c>
      <c r="V25" s="1494">
        <v>0</v>
      </c>
      <c r="W25" s="1106" t="str">
        <f t="shared" si="3"/>
        <v/>
      </c>
      <c r="X25" s="1248">
        <v>18</v>
      </c>
    </row>
    <row r="26" spans="1:24" x14ac:dyDescent="0.35">
      <c r="A26" s="1342">
        <v>26</v>
      </c>
      <c r="B26" s="2067" t="str">
        <f t="shared" si="0"/>
        <v/>
      </c>
      <c r="C26" s="1580" t="s">
        <v>3805</v>
      </c>
      <c r="D26" s="1784" t="s">
        <v>5770</v>
      </c>
      <c r="E26" s="2080"/>
      <c r="F26" s="2080"/>
      <c r="G26" s="2080"/>
      <c r="H26" s="2081"/>
      <c r="I26" s="2080"/>
      <c r="J26" s="2082">
        <v>75</v>
      </c>
      <c r="K26" s="2082">
        <v>100</v>
      </c>
      <c r="L26" s="2082"/>
      <c r="M26" s="2104"/>
      <c r="N26" s="1107" t="s">
        <v>1796</v>
      </c>
      <c r="O26" s="1501">
        <v>1</v>
      </c>
      <c r="P26" s="1478">
        <v>1</v>
      </c>
      <c r="Q26" s="1472">
        <v>1</v>
      </c>
      <c r="R26" s="1472">
        <v>1</v>
      </c>
      <c r="S26" s="1472">
        <v>1</v>
      </c>
      <c r="T26" s="1472">
        <v>1</v>
      </c>
      <c r="U26" s="1490">
        <v>1</v>
      </c>
      <c r="V26" s="1491">
        <v>1</v>
      </c>
      <c r="W26" s="1106" t="str">
        <f t="shared" si="3"/>
        <v/>
      </c>
      <c r="X26" s="1248">
        <v>19</v>
      </c>
    </row>
    <row r="27" spans="1:24" x14ac:dyDescent="0.35">
      <c r="A27" s="1342">
        <v>27</v>
      </c>
      <c r="B27" s="2067" t="str">
        <f t="shared" si="0"/>
        <v/>
      </c>
      <c r="C27" s="1580" t="s">
        <v>3806</v>
      </c>
      <c r="D27" s="1784" t="s">
        <v>5771</v>
      </c>
      <c r="E27" s="2080"/>
      <c r="F27" s="2080"/>
      <c r="G27" s="2080"/>
      <c r="H27" s="2081"/>
      <c r="I27" s="2080"/>
      <c r="J27" s="2087"/>
      <c r="K27" s="2083"/>
      <c r="L27" s="2083"/>
      <c r="M27" s="2105"/>
      <c r="N27" s="1107" t="s">
        <v>1797</v>
      </c>
      <c r="O27" s="898">
        <v>1</v>
      </c>
      <c r="P27" s="899">
        <v>1</v>
      </c>
      <c r="Q27" s="899">
        <v>1</v>
      </c>
      <c r="R27" s="899">
        <v>1</v>
      </c>
      <c r="S27" s="899">
        <v>1</v>
      </c>
      <c r="T27" s="899">
        <v>1</v>
      </c>
      <c r="U27" s="1474">
        <v>1</v>
      </c>
      <c r="V27" s="1475">
        <v>1</v>
      </c>
      <c r="W27" s="1106" t="str">
        <f t="shared" si="3"/>
        <v/>
      </c>
      <c r="X27" s="1248">
        <v>20</v>
      </c>
    </row>
    <row r="28" spans="1:24" x14ac:dyDescent="0.35">
      <c r="A28" s="1342">
        <v>28</v>
      </c>
      <c r="B28" s="2067" t="str">
        <f t="shared" si="0"/>
        <v/>
      </c>
      <c r="C28" s="1580" t="s">
        <v>146</v>
      </c>
      <c r="D28" s="1784" t="s">
        <v>5772</v>
      </c>
      <c r="E28" s="1582"/>
      <c r="F28" s="1582"/>
      <c r="G28" s="1582"/>
      <c r="H28" s="2079"/>
      <c r="I28" s="1582"/>
      <c r="J28" s="1625" t="s">
        <v>583</v>
      </c>
      <c r="K28" s="1625" t="s">
        <v>583</v>
      </c>
      <c r="L28" s="1625"/>
      <c r="M28" s="1626"/>
      <c r="N28" s="1107" t="s">
        <v>1798</v>
      </c>
      <c r="O28" s="1497">
        <v>0</v>
      </c>
      <c r="P28" s="1498">
        <v>0</v>
      </c>
      <c r="Q28" s="1482">
        <v>0</v>
      </c>
      <c r="R28" s="1482">
        <v>0</v>
      </c>
      <c r="S28" s="1495">
        <v>0</v>
      </c>
      <c r="T28" s="1482">
        <v>0</v>
      </c>
      <c r="U28" s="1492">
        <v>7434</v>
      </c>
      <c r="V28" s="1493">
        <v>0</v>
      </c>
      <c r="W28" s="1106" t="str">
        <f t="shared" si="3"/>
        <v/>
      </c>
      <c r="X28" s="1248">
        <v>21</v>
      </c>
    </row>
    <row r="29" spans="1:24" ht="13.15" thickBot="1" x14ac:dyDescent="0.4">
      <c r="A29" s="1342">
        <v>29</v>
      </c>
      <c r="B29" s="2067" t="str">
        <f t="shared" si="0"/>
        <v/>
      </c>
      <c r="C29" s="1580" t="s">
        <v>147</v>
      </c>
      <c r="D29" s="1784" t="s">
        <v>5773</v>
      </c>
      <c r="E29" s="2325"/>
      <c r="F29" s="2325"/>
      <c r="G29" s="2325"/>
      <c r="H29" s="2325"/>
      <c r="I29" s="2325"/>
      <c r="J29" s="2084">
        <f>IF(J28="Y",J25,MAX(0,J25-J26))</f>
        <v>500</v>
      </c>
      <c r="K29" s="2084">
        <f>IF(K28="Y",K25,MAX(0,K25-K26))</f>
        <v>1000</v>
      </c>
      <c r="L29" s="2325"/>
      <c r="M29" s="2106"/>
      <c r="N29" s="1107" t="s">
        <v>1799</v>
      </c>
      <c r="O29" s="1499">
        <v>0</v>
      </c>
      <c r="P29" s="1500">
        <v>0</v>
      </c>
      <c r="Q29" s="1487">
        <v>0</v>
      </c>
      <c r="R29" s="1487">
        <v>0</v>
      </c>
      <c r="S29" s="1488">
        <v>0</v>
      </c>
      <c r="T29" s="1487">
        <v>0</v>
      </c>
      <c r="U29" s="1489">
        <v>1651</v>
      </c>
      <c r="V29" s="1494">
        <v>0</v>
      </c>
      <c r="W29" s="1106" t="str">
        <f t="shared" si="3"/>
        <v/>
      </c>
      <c r="X29" s="1248">
        <v>22</v>
      </c>
    </row>
    <row r="30" spans="1:24" x14ac:dyDescent="0.35">
      <c r="A30" s="1342">
        <v>30</v>
      </c>
      <c r="B30" s="2067" t="str">
        <f t="shared" si="0"/>
        <v/>
      </c>
      <c r="C30" s="2088" t="s">
        <v>4366</v>
      </c>
      <c r="D30" s="1784" t="s">
        <v>5768</v>
      </c>
      <c r="E30" s="1627"/>
      <c r="F30" s="1627"/>
      <c r="G30" s="1627"/>
      <c r="H30" s="1627"/>
      <c r="I30" s="1627"/>
      <c r="J30" s="1629" t="s">
        <v>2003</v>
      </c>
      <c r="K30" s="1629" t="s">
        <v>2043</v>
      </c>
      <c r="L30" s="1627"/>
      <c r="M30" s="1632"/>
      <c r="N30" s="1107" t="s">
        <v>1800</v>
      </c>
      <c r="O30" s="892">
        <v>1</v>
      </c>
      <c r="P30" s="893">
        <v>1</v>
      </c>
      <c r="Q30" s="894">
        <v>1</v>
      </c>
      <c r="R30" s="894">
        <v>1</v>
      </c>
      <c r="S30" s="894">
        <v>1</v>
      </c>
      <c r="T30" s="1472">
        <v>1</v>
      </c>
      <c r="U30" s="1490">
        <v>4</v>
      </c>
      <c r="V30" s="1491">
        <v>1</v>
      </c>
      <c r="W30" s="1106" t="str">
        <f t="shared" si="3"/>
        <v/>
      </c>
      <c r="X30" s="1248">
        <v>23</v>
      </c>
    </row>
    <row r="31" spans="1:24" x14ac:dyDescent="0.35">
      <c r="A31" s="1342">
        <v>31</v>
      </c>
      <c r="B31" s="2067" t="str">
        <f t="shared" si="0"/>
        <v/>
      </c>
      <c r="C31" s="2088" t="s">
        <v>4367</v>
      </c>
      <c r="D31" s="1784" t="s">
        <v>5769</v>
      </c>
      <c r="E31" s="2082"/>
      <c r="F31" s="2082"/>
      <c r="G31" s="2082"/>
      <c r="H31" s="2090"/>
      <c r="I31" s="2082"/>
      <c r="J31" s="2082">
        <v>659</v>
      </c>
      <c r="K31" s="2082">
        <v>500</v>
      </c>
      <c r="L31" s="2082"/>
      <c r="M31" s="2104"/>
      <c r="N31" s="1107" t="s">
        <v>1801</v>
      </c>
      <c r="O31" s="898">
        <v>1</v>
      </c>
      <c r="P31" s="899">
        <v>1</v>
      </c>
      <c r="Q31" s="899">
        <v>1</v>
      </c>
      <c r="R31" s="899">
        <v>1</v>
      </c>
      <c r="S31" s="899">
        <v>1</v>
      </c>
      <c r="T31" s="899">
        <v>1</v>
      </c>
      <c r="U31" s="1474">
        <v>9</v>
      </c>
      <c r="V31" s="1475">
        <v>1</v>
      </c>
      <c r="W31" s="1106" t="str">
        <f t="shared" si="3"/>
        <v/>
      </c>
      <c r="X31" s="1248">
        <v>24</v>
      </c>
    </row>
    <row r="32" spans="1:24" x14ac:dyDescent="0.35">
      <c r="A32" s="1342">
        <v>32</v>
      </c>
      <c r="B32" s="2067" t="str">
        <f t="shared" si="0"/>
        <v/>
      </c>
      <c r="C32" s="2088" t="s">
        <v>4368</v>
      </c>
      <c r="D32" s="1784" t="s">
        <v>5770</v>
      </c>
      <c r="E32" s="2082"/>
      <c r="F32" s="2082"/>
      <c r="G32" s="2082"/>
      <c r="H32" s="2090"/>
      <c r="I32" s="2082"/>
      <c r="J32" s="2089">
        <v>98.85</v>
      </c>
      <c r="K32" s="2089">
        <v>50</v>
      </c>
      <c r="L32" s="2082"/>
      <c r="M32" s="2108"/>
      <c r="N32" s="1107" t="s">
        <v>1802</v>
      </c>
      <c r="O32" s="897">
        <v>0</v>
      </c>
      <c r="P32" s="855">
        <v>0</v>
      </c>
      <c r="Q32" s="750">
        <v>0</v>
      </c>
      <c r="R32" s="750">
        <v>0</v>
      </c>
      <c r="S32" s="1119">
        <v>0</v>
      </c>
      <c r="T32" s="1482">
        <v>0</v>
      </c>
      <c r="U32" s="1492">
        <v>500</v>
      </c>
      <c r="V32" s="1493">
        <v>0</v>
      </c>
      <c r="W32" s="1106" t="str">
        <f t="shared" si="3"/>
        <v/>
      </c>
      <c r="X32" s="1248">
        <v>25</v>
      </c>
    </row>
    <row r="33" spans="1:24" ht="13.15" thickBot="1" x14ac:dyDescent="0.4">
      <c r="A33" s="1342">
        <v>33</v>
      </c>
      <c r="B33" s="2067" t="str">
        <f t="shared" si="0"/>
        <v/>
      </c>
      <c r="C33" s="2088" t="s">
        <v>4369</v>
      </c>
      <c r="D33" s="1784" t="s">
        <v>5771</v>
      </c>
      <c r="E33" s="2082"/>
      <c r="F33" s="2082"/>
      <c r="G33" s="2082"/>
      <c r="H33" s="2090"/>
      <c r="I33" s="2082"/>
      <c r="J33" s="2089"/>
      <c r="K33" s="2089"/>
      <c r="L33" s="2082"/>
      <c r="M33" s="2108"/>
      <c r="N33" s="1107" t="s">
        <v>1803</v>
      </c>
      <c r="O33" s="1121">
        <v>0</v>
      </c>
      <c r="P33" s="1122">
        <v>0</v>
      </c>
      <c r="Q33" s="1123">
        <v>0</v>
      </c>
      <c r="R33" s="1123">
        <v>0</v>
      </c>
      <c r="S33" s="1123">
        <v>0</v>
      </c>
      <c r="T33" s="1487">
        <v>0</v>
      </c>
      <c r="U33" s="1489">
        <v>75</v>
      </c>
      <c r="V33" s="1494">
        <v>0</v>
      </c>
      <c r="W33" s="1106" t="str">
        <f t="shared" si="3"/>
        <v/>
      </c>
      <c r="X33" s="1248">
        <v>26</v>
      </c>
    </row>
    <row r="34" spans="1:24" x14ac:dyDescent="0.35">
      <c r="A34" s="1342">
        <v>34</v>
      </c>
      <c r="B34" s="2067" t="str">
        <f t="shared" si="0"/>
        <v/>
      </c>
      <c r="C34" s="2088" t="s">
        <v>4370</v>
      </c>
      <c r="D34" s="1784" t="s">
        <v>5772</v>
      </c>
      <c r="E34" s="1627"/>
      <c r="F34" s="1627"/>
      <c r="G34" s="1627"/>
      <c r="H34" s="2328"/>
      <c r="I34" s="1627"/>
      <c r="J34" s="1629" t="s">
        <v>583</v>
      </c>
      <c r="K34" s="1629" t="s">
        <v>583</v>
      </c>
      <c r="L34" s="1627"/>
      <c r="M34" s="1632"/>
      <c r="N34" s="1107" t="s">
        <v>1804</v>
      </c>
      <c r="O34" s="1501">
        <v>1</v>
      </c>
      <c r="P34" s="1478">
        <v>1</v>
      </c>
      <c r="Q34" s="1472">
        <v>1</v>
      </c>
      <c r="R34" s="1472">
        <v>1</v>
      </c>
      <c r="S34" s="1472">
        <v>1</v>
      </c>
      <c r="T34" s="1472">
        <v>1</v>
      </c>
      <c r="U34" s="1490">
        <v>3</v>
      </c>
      <c r="V34" s="1491">
        <v>1</v>
      </c>
      <c r="W34" s="1106" t="str">
        <f t="shared" si="3"/>
        <v/>
      </c>
      <c r="X34" s="1248">
        <v>27</v>
      </c>
    </row>
    <row r="35" spans="1:24" x14ac:dyDescent="0.35">
      <c r="A35" s="1342">
        <v>35</v>
      </c>
      <c r="B35" s="2067" t="str">
        <f t="shared" si="0"/>
        <v/>
      </c>
      <c r="C35" s="2088" t="s">
        <v>4371</v>
      </c>
      <c r="D35" s="1784" t="s">
        <v>5773</v>
      </c>
      <c r="E35" s="2327"/>
      <c r="F35" s="2327"/>
      <c r="G35" s="2327"/>
      <c r="H35" s="2327"/>
      <c r="I35" s="2327"/>
      <c r="J35" s="2092">
        <f>IF(J34="Y",J31,MAX(0,J31-J32))</f>
        <v>659</v>
      </c>
      <c r="K35" s="2092">
        <f>IF(K34="Y",K31,MAX(0,K31-K32))</f>
        <v>500</v>
      </c>
      <c r="L35" s="2327"/>
      <c r="M35" s="2109"/>
      <c r="N35" s="1107" t="s">
        <v>1805</v>
      </c>
      <c r="O35" s="898">
        <v>1</v>
      </c>
      <c r="P35" s="899">
        <v>1</v>
      </c>
      <c r="Q35" s="899">
        <v>1</v>
      </c>
      <c r="R35" s="899">
        <v>1</v>
      </c>
      <c r="S35" s="899">
        <v>1</v>
      </c>
      <c r="T35" s="899">
        <v>1</v>
      </c>
      <c r="U35" s="1474">
        <v>6</v>
      </c>
      <c r="V35" s="1475">
        <v>1</v>
      </c>
      <c r="W35" s="1106" t="str">
        <f t="shared" si="3"/>
        <v/>
      </c>
      <c r="X35" s="1248">
        <v>28</v>
      </c>
    </row>
    <row r="36" spans="1:24" x14ac:dyDescent="0.35">
      <c r="A36" s="1342">
        <v>36</v>
      </c>
      <c r="B36" s="2067" t="str">
        <f t="shared" si="0"/>
        <v/>
      </c>
      <c r="C36" s="2088" t="s">
        <v>4372</v>
      </c>
      <c r="D36" s="1784" t="s">
        <v>5768</v>
      </c>
      <c r="E36" s="1627"/>
      <c r="F36" s="1627"/>
      <c r="G36" s="1627"/>
      <c r="H36" s="1627"/>
      <c r="I36" s="1627"/>
      <c r="J36" s="1629" t="s">
        <v>2043</v>
      </c>
      <c r="K36" s="1629"/>
      <c r="L36" s="1627"/>
      <c r="M36" s="1632"/>
      <c r="N36" s="1107" t="s">
        <v>1806</v>
      </c>
      <c r="O36" s="1497">
        <v>0</v>
      </c>
      <c r="P36" s="1498">
        <v>0</v>
      </c>
      <c r="Q36" s="1482">
        <v>0</v>
      </c>
      <c r="R36" s="1482">
        <v>0</v>
      </c>
      <c r="S36" s="1495">
        <v>0</v>
      </c>
      <c r="T36" s="1482">
        <v>0</v>
      </c>
      <c r="U36" s="1492">
        <v>5759</v>
      </c>
      <c r="V36" s="1493">
        <v>0</v>
      </c>
      <c r="W36" s="1106" t="str">
        <f t="shared" si="3"/>
        <v/>
      </c>
      <c r="X36" s="1248">
        <v>29</v>
      </c>
    </row>
    <row r="37" spans="1:24" ht="13.15" thickBot="1" x14ac:dyDescent="0.4">
      <c r="A37" s="1342">
        <v>37</v>
      </c>
      <c r="B37" s="2067" t="str">
        <f t="shared" si="0"/>
        <v/>
      </c>
      <c r="C37" s="2088" t="s">
        <v>4373</v>
      </c>
      <c r="D37" s="1784" t="s">
        <v>5769</v>
      </c>
      <c r="E37" s="2082"/>
      <c r="F37" s="2082"/>
      <c r="G37" s="2082"/>
      <c r="H37" s="2090"/>
      <c r="I37" s="2082"/>
      <c r="J37" s="2082">
        <v>500</v>
      </c>
      <c r="K37" s="2090"/>
      <c r="L37" s="2090"/>
      <c r="M37" s="2110"/>
      <c r="N37" s="1107" t="s">
        <v>1807</v>
      </c>
      <c r="O37" s="1499">
        <v>0</v>
      </c>
      <c r="P37" s="1500">
        <v>0</v>
      </c>
      <c r="Q37" s="1487">
        <v>0</v>
      </c>
      <c r="R37" s="1487">
        <v>0</v>
      </c>
      <c r="S37" s="1488">
        <v>0</v>
      </c>
      <c r="T37" s="1487">
        <v>0</v>
      </c>
      <c r="U37" s="1489">
        <v>575.9</v>
      </c>
      <c r="V37" s="1494">
        <v>0</v>
      </c>
      <c r="W37" s="1106" t="str">
        <f t="shared" si="3"/>
        <v/>
      </c>
      <c r="X37" s="1248">
        <v>30</v>
      </c>
    </row>
    <row r="38" spans="1:24" x14ac:dyDescent="0.35">
      <c r="A38" s="1342">
        <v>38</v>
      </c>
      <c r="B38" s="2067" t="str">
        <f t="shared" si="0"/>
        <v/>
      </c>
      <c r="C38" s="2088" t="s">
        <v>4374</v>
      </c>
      <c r="D38" s="1784" t="s">
        <v>5770</v>
      </c>
      <c r="E38" s="2082"/>
      <c r="F38" s="2082"/>
      <c r="G38" s="2082"/>
      <c r="H38" s="2090"/>
      <c r="I38" s="2082"/>
      <c r="J38" s="2089">
        <v>50</v>
      </c>
      <c r="K38" s="2091"/>
      <c r="L38" s="2090"/>
      <c r="M38" s="2111"/>
      <c r="N38" s="1107" t="s">
        <v>1808</v>
      </c>
      <c r="O38" s="892">
        <v>1</v>
      </c>
      <c r="P38" s="893">
        <v>1</v>
      </c>
      <c r="Q38" s="894">
        <v>1</v>
      </c>
      <c r="R38" s="894">
        <v>1</v>
      </c>
      <c r="S38" s="894">
        <v>1</v>
      </c>
      <c r="T38" s="1472">
        <v>1</v>
      </c>
      <c r="U38" s="1490">
        <v>3</v>
      </c>
      <c r="V38" s="1491">
        <v>1</v>
      </c>
      <c r="W38" s="1106" t="str">
        <f t="shared" si="3"/>
        <v/>
      </c>
      <c r="X38" s="1248">
        <v>31</v>
      </c>
    </row>
    <row r="39" spans="1:24" x14ac:dyDescent="0.35">
      <c r="A39" s="1342">
        <v>39</v>
      </c>
      <c r="B39" s="2067" t="str">
        <f t="shared" si="0"/>
        <v/>
      </c>
      <c r="C39" s="2088" t="s">
        <v>4375</v>
      </c>
      <c r="D39" s="1784" t="s">
        <v>5771</v>
      </c>
      <c r="E39" s="2082"/>
      <c r="F39" s="2082"/>
      <c r="G39" s="2082"/>
      <c r="H39" s="2090"/>
      <c r="I39" s="2082"/>
      <c r="J39" s="2089"/>
      <c r="K39" s="2091"/>
      <c r="L39" s="2090"/>
      <c r="M39" s="2111"/>
      <c r="N39" s="1107" t="s">
        <v>1809</v>
      </c>
      <c r="O39" s="898">
        <v>1</v>
      </c>
      <c r="P39" s="899">
        <v>1</v>
      </c>
      <c r="Q39" s="899">
        <v>1</v>
      </c>
      <c r="R39" s="899">
        <v>1</v>
      </c>
      <c r="S39" s="899">
        <v>1</v>
      </c>
      <c r="T39" s="899">
        <v>1</v>
      </c>
      <c r="U39" s="1474">
        <v>6</v>
      </c>
      <c r="V39" s="1475">
        <v>1</v>
      </c>
      <c r="W39" s="1106" t="str">
        <f t="shared" si="3"/>
        <v/>
      </c>
      <c r="X39" s="1248">
        <v>32</v>
      </c>
    </row>
    <row r="40" spans="1:24" x14ac:dyDescent="0.35">
      <c r="A40" s="1342">
        <v>40</v>
      </c>
      <c r="B40" s="2067" t="str">
        <f t="shared" si="0"/>
        <v/>
      </c>
      <c r="C40" s="2088" t="s">
        <v>4376</v>
      </c>
      <c r="D40" s="1784" t="s">
        <v>5772</v>
      </c>
      <c r="E40" s="1627"/>
      <c r="F40" s="1627"/>
      <c r="G40" s="1627"/>
      <c r="H40" s="2328"/>
      <c r="I40" s="1627"/>
      <c r="J40" s="1629" t="s">
        <v>583</v>
      </c>
      <c r="K40" s="1629"/>
      <c r="L40" s="1627"/>
      <c r="M40" s="1632"/>
      <c r="N40" s="1107" t="s">
        <v>1810</v>
      </c>
      <c r="O40" s="897">
        <v>0</v>
      </c>
      <c r="P40" s="855">
        <v>0</v>
      </c>
      <c r="Q40" s="750">
        <v>0</v>
      </c>
      <c r="R40" s="750">
        <v>0</v>
      </c>
      <c r="S40" s="1119">
        <v>0</v>
      </c>
      <c r="T40" s="1482">
        <v>0</v>
      </c>
      <c r="U40" s="1492">
        <v>1697</v>
      </c>
      <c r="V40" s="1493">
        <v>0</v>
      </c>
      <c r="W40" s="1106" t="str">
        <f t="shared" si="3"/>
        <v/>
      </c>
      <c r="X40" s="1248">
        <v>33</v>
      </c>
    </row>
    <row r="41" spans="1:24" ht="13.15" thickBot="1" x14ac:dyDescent="0.4">
      <c r="A41" s="1342">
        <v>41</v>
      </c>
      <c r="B41" s="2067" t="str">
        <f t="shared" si="0"/>
        <v/>
      </c>
      <c r="C41" s="2088" t="s">
        <v>4377</v>
      </c>
      <c r="D41" s="1784" t="s">
        <v>5773</v>
      </c>
      <c r="E41" s="2327"/>
      <c r="F41" s="2327"/>
      <c r="G41" s="2327"/>
      <c r="H41" s="2327"/>
      <c r="I41" s="2327"/>
      <c r="J41" s="2092">
        <f>IF(J40="Y",J37,MAX(0,J37-J38))</f>
        <v>500</v>
      </c>
      <c r="K41" s="2327"/>
      <c r="L41" s="2327"/>
      <c r="M41" s="2109"/>
      <c r="N41" s="1107" t="s">
        <v>1811</v>
      </c>
      <c r="O41" s="1121">
        <v>0</v>
      </c>
      <c r="P41" s="1122">
        <v>0</v>
      </c>
      <c r="Q41" s="1123">
        <v>0</v>
      </c>
      <c r="R41" s="1123">
        <v>0</v>
      </c>
      <c r="S41" s="1123">
        <v>0</v>
      </c>
      <c r="T41" s="1487">
        <v>0</v>
      </c>
      <c r="U41" s="1496">
        <v>170</v>
      </c>
      <c r="V41" s="1494">
        <v>0</v>
      </c>
      <c r="W41" s="1106" t="str">
        <f t="shared" si="3"/>
        <v/>
      </c>
      <c r="X41" s="1248">
        <v>34</v>
      </c>
    </row>
    <row r="42" spans="1:24" x14ac:dyDescent="0.35">
      <c r="A42" s="1342">
        <v>42</v>
      </c>
      <c r="B42" s="2067" t="str">
        <f t="shared" si="0"/>
        <v/>
      </c>
      <c r="C42" s="2088" t="s">
        <v>4378</v>
      </c>
      <c r="D42" s="1784" t="s">
        <v>5768</v>
      </c>
      <c r="E42" s="1629"/>
      <c r="F42" s="1629"/>
      <c r="G42" s="1629"/>
      <c r="H42" s="1629"/>
      <c r="I42" s="1629"/>
      <c r="J42" s="1629"/>
      <c r="K42" s="1629"/>
      <c r="L42" s="1629"/>
      <c r="M42" s="1632"/>
      <c r="N42" s="1107" t="s">
        <v>116</v>
      </c>
      <c r="O42" s="1501">
        <v>1</v>
      </c>
      <c r="P42" s="1478">
        <v>1</v>
      </c>
      <c r="Q42" s="1472">
        <v>1</v>
      </c>
      <c r="R42" s="1472">
        <v>1</v>
      </c>
      <c r="S42" s="1472">
        <v>1</v>
      </c>
      <c r="T42" s="1472">
        <v>1</v>
      </c>
      <c r="U42" s="1490">
        <v>4</v>
      </c>
      <c r="V42" s="1491">
        <v>1</v>
      </c>
      <c r="W42" s="1106" t="str">
        <f t="shared" si="3"/>
        <v/>
      </c>
      <c r="X42" s="1248">
        <v>35</v>
      </c>
    </row>
    <row r="43" spans="1:24" x14ac:dyDescent="0.35">
      <c r="A43" s="1342">
        <v>43</v>
      </c>
      <c r="B43" s="2067" t="str">
        <f t="shared" si="0"/>
        <v/>
      </c>
      <c r="C43" s="2088" t="s">
        <v>4379</v>
      </c>
      <c r="D43" s="1784" t="s">
        <v>5769</v>
      </c>
      <c r="E43" s="2089"/>
      <c r="F43" s="2082"/>
      <c r="G43" s="2082"/>
      <c r="H43" s="2090"/>
      <c r="I43" s="2082"/>
      <c r="J43" s="2082"/>
      <c r="K43" s="2090"/>
      <c r="L43" s="2090"/>
      <c r="M43" s="2110"/>
      <c r="N43" s="1107" t="s">
        <v>117</v>
      </c>
      <c r="O43" s="898">
        <v>1</v>
      </c>
      <c r="P43" s="899">
        <v>1</v>
      </c>
      <c r="Q43" s="899">
        <v>1</v>
      </c>
      <c r="R43" s="899">
        <v>1</v>
      </c>
      <c r="S43" s="899">
        <v>1</v>
      </c>
      <c r="T43" s="899">
        <v>1</v>
      </c>
      <c r="U43" s="1474">
        <v>6</v>
      </c>
      <c r="V43" s="1475">
        <v>1</v>
      </c>
      <c r="W43" s="1106" t="str">
        <f t="shared" si="3"/>
        <v/>
      </c>
      <c r="X43" s="1248">
        <v>36</v>
      </c>
    </row>
    <row r="44" spans="1:24" x14ac:dyDescent="0.35">
      <c r="A44" s="1342">
        <v>44</v>
      </c>
      <c r="B44" s="2067" t="str">
        <f t="shared" si="0"/>
        <v/>
      </c>
      <c r="C44" s="2088" t="s">
        <v>4380</v>
      </c>
      <c r="D44" s="1784" t="s">
        <v>5770</v>
      </c>
      <c r="E44" s="2089"/>
      <c r="F44" s="2089"/>
      <c r="G44" s="2089"/>
      <c r="H44" s="2091"/>
      <c r="I44" s="2089"/>
      <c r="J44" s="2089"/>
      <c r="K44" s="2091"/>
      <c r="L44" s="2091"/>
      <c r="M44" s="2111"/>
      <c r="N44" s="1107" t="s">
        <v>118</v>
      </c>
      <c r="O44" s="1497">
        <v>0</v>
      </c>
      <c r="P44" s="1498">
        <v>0</v>
      </c>
      <c r="Q44" s="1482">
        <v>0</v>
      </c>
      <c r="R44" s="1482">
        <v>0</v>
      </c>
      <c r="S44" s="1495">
        <v>0</v>
      </c>
      <c r="T44" s="1482">
        <v>0</v>
      </c>
      <c r="U44" s="1492">
        <v>1000</v>
      </c>
      <c r="V44" s="1493">
        <v>0</v>
      </c>
      <c r="W44" s="1106" t="str">
        <f t="shared" si="3"/>
        <v/>
      </c>
      <c r="X44" s="1248">
        <v>37</v>
      </c>
    </row>
    <row r="45" spans="1:24" ht="13.15" thickBot="1" x14ac:dyDescent="0.4">
      <c r="A45" s="1342">
        <v>45</v>
      </c>
      <c r="B45" s="2067" t="str">
        <f t="shared" si="0"/>
        <v/>
      </c>
      <c r="C45" s="2088" t="s">
        <v>4381</v>
      </c>
      <c r="D45" s="1784" t="s">
        <v>5771</v>
      </c>
      <c r="E45" s="2089"/>
      <c r="F45" s="2089"/>
      <c r="G45" s="2089"/>
      <c r="H45" s="2091"/>
      <c r="I45" s="2089"/>
      <c r="J45" s="2089"/>
      <c r="K45" s="2091"/>
      <c r="L45" s="2091"/>
      <c r="M45" s="2111"/>
      <c r="N45" s="1107" t="s">
        <v>119</v>
      </c>
      <c r="O45" s="1499">
        <v>0</v>
      </c>
      <c r="P45" s="1500">
        <v>0</v>
      </c>
      <c r="Q45" s="1487">
        <v>0</v>
      </c>
      <c r="R45" s="1487">
        <v>0</v>
      </c>
      <c r="S45" s="1488">
        <v>0</v>
      </c>
      <c r="T45" s="1487">
        <v>0</v>
      </c>
      <c r="U45" s="1489">
        <v>100</v>
      </c>
      <c r="V45" s="1494">
        <v>0</v>
      </c>
      <c r="W45" s="1106" t="str">
        <f t="shared" si="3"/>
        <v/>
      </c>
      <c r="X45" s="1248">
        <v>38</v>
      </c>
    </row>
    <row r="46" spans="1:24" x14ac:dyDescent="0.35">
      <c r="A46" s="1342">
        <v>46</v>
      </c>
      <c r="B46" s="2067" t="str">
        <f t="shared" si="0"/>
        <v/>
      </c>
      <c r="C46" s="2088" t="s">
        <v>4382</v>
      </c>
      <c r="D46" s="1784" t="s">
        <v>5772</v>
      </c>
      <c r="E46" s="1629"/>
      <c r="F46" s="1629"/>
      <c r="G46" s="1629"/>
      <c r="H46" s="1238"/>
      <c r="I46" s="1629"/>
      <c r="J46" s="1629"/>
      <c r="K46" s="1629"/>
      <c r="L46" s="1629"/>
      <c r="M46" s="1632"/>
      <c r="N46" s="1107" t="s">
        <v>120</v>
      </c>
      <c r="O46" s="892">
        <v>1</v>
      </c>
      <c r="P46" s="893">
        <v>1</v>
      </c>
      <c r="Q46" s="894">
        <v>1</v>
      </c>
      <c r="R46" s="894">
        <v>1</v>
      </c>
      <c r="S46" s="894">
        <v>1</v>
      </c>
      <c r="T46" s="1472">
        <v>1</v>
      </c>
      <c r="U46" s="1490">
        <v>4</v>
      </c>
      <c r="V46" s="1491">
        <v>1</v>
      </c>
      <c r="W46" s="1106" t="str">
        <f t="shared" si="3"/>
        <v/>
      </c>
      <c r="X46" s="1248">
        <v>39</v>
      </c>
    </row>
    <row r="47" spans="1:24" x14ac:dyDescent="0.35">
      <c r="A47" s="1342">
        <v>47</v>
      </c>
      <c r="B47" s="2067" t="str">
        <f t="shared" si="0"/>
        <v/>
      </c>
      <c r="C47" s="2088" t="s">
        <v>4383</v>
      </c>
      <c r="D47" s="1784" t="s">
        <v>5773</v>
      </c>
      <c r="E47" s="2327"/>
      <c r="F47" s="2327"/>
      <c r="G47" s="2327"/>
      <c r="H47" s="2327"/>
      <c r="I47" s="2327"/>
      <c r="J47" s="2327"/>
      <c r="K47" s="2327"/>
      <c r="L47" s="2327"/>
      <c r="M47" s="2109"/>
      <c r="N47" s="1107" t="s">
        <v>121</v>
      </c>
      <c r="O47" s="898">
        <v>1</v>
      </c>
      <c r="P47" s="899">
        <v>1</v>
      </c>
      <c r="Q47" s="899">
        <v>1</v>
      </c>
      <c r="R47" s="899">
        <v>1</v>
      </c>
      <c r="S47" s="899">
        <v>1</v>
      </c>
      <c r="T47" s="899">
        <v>1</v>
      </c>
      <c r="U47" s="1474">
        <v>6</v>
      </c>
      <c r="V47" s="1475">
        <v>1</v>
      </c>
      <c r="W47" s="1106" t="str">
        <f t="shared" si="3"/>
        <v/>
      </c>
      <c r="X47" s="1248">
        <v>40</v>
      </c>
    </row>
    <row r="48" spans="1:24" x14ac:dyDescent="0.35">
      <c r="A48" s="1342">
        <v>48</v>
      </c>
      <c r="B48" s="2067" t="str">
        <f t="shared" si="0"/>
        <v/>
      </c>
      <c r="C48" s="1991" t="s">
        <v>150</v>
      </c>
      <c r="D48" s="1784" t="s">
        <v>2708</v>
      </c>
      <c r="E48" s="2326"/>
      <c r="F48" s="2326"/>
      <c r="G48" s="2326"/>
      <c r="H48" s="2326"/>
      <c r="I48" s="2326"/>
      <c r="J48" s="2326"/>
      <c r="K48" s="2326"/>
      <c r="L48" s="2326"/>
      <c r="M48" s="2107"/>
      <c r="N48" s="1107" t="s">
        <v>122</v>
      </c>
      <c r="O48" s="897">
        <v>0</v>
      </c>
      <c r="P48" s="855">
        <v>0</v>
      </c>
      <c r="Q48" s="750">
        <v>0</v>
      </c>
      <c r="R48" s="750">
        <v>0</v>
      </c>
      <c r="S48" s="1119">
        <v>0</v>
      </c>
      <c r="T48" s="750">
        <v>0</v>
      </c>
      <c r="U48" s="1492">
        <v>500</v>
      </c>
      <c r="V48" s="1493">
        <v>0</v>
      </c>
      <c r="W48" s="1106" t="str">
        <f t="shared" si="3"/>
        <v/>
      </c>
      <c r="X48" s="1248">
        <v>41</v>
      </c>
    </row>
    <row r="49" spans="1:24" ht="13.15" thickBot="1" x14ac:dyDescent="0.4">
      <c r="A49" s="1342">
        <v>49</v>
      </c>
      <c r="B49" s="2067" t="str">
        <f t="shared" si="0"/>
        <v/>
      </c>
      <c r="C49" s="1991" t="s">
        <v>151</v>
      </c>
      <c r="D49" s="1784" t="s">
        <v>2708</v>
      </c>
      <c r="E49" s="2086">
        <f t="shared" ref="E49:K49" si="6">E23+E29+E35+E41+E47</f>
        <v>2679</v>
      </c>
      <c r="F49" s="2086">
        <f t="shared" si="6"/>
        <v>422</v>
      </c>
      <c r="G49" s="2086">
        <f t="shared" si="6"/>
        <v>1275</v>
      </c>
      <c r="H49" s="2086">
        <f t="shared" si="6"/>
        <v>13770</v>
      </c>
      <c r="I49" s="2086">
        <f t="shared" si="6"/>
        <v>659</v>
      </c>
      <c r="J49" s="2086">
        <f t="shared" si="6"/>
        <v>2159</v>
      </c>
      <c r="K49" s="2086">
        <f t="shared" si="6"/>
        <v>2000</v>
      </c>
      <c r="L49" s="2326"/>
      <c r="M49" s="2107"/>
      <c r="N49" s="1107" t="s">
        <v>123</v>
      </c>
      <c r="O49" s="1121">
        <v>0</v>
      </c>
      <c r="P49" s="1122">
        <v>0</v>
      </c>
      <c r="Q49" s="1123">
        <v>0</v>
      </c>
      <c r="R49" s="1123">
        <v>0</v>
      </c>
      <c r="S49" s="1123">
        <v>0</v>
      </c>
      <c r="T49" s="1123">
        <v>0</v>
      </c>
      <c r="U49" s="1496">
        <v>50</v>
      </c>
      <c r="V49" s="1494">
        <v>0</v>
      </c>
      <c r="W49" s="1106" t="str">
        <f t="shared" si="3"/>
        <v/>
      </c>
      <c r="X49" s="1248">
        <v>42</v>
      </c>
    </row>
    <row r="50" spans="1:24" x14ac:dyDescent="0.35">
      <c r="A50" s="1342">
        <v>50</v>
      </c>
      <c r="B50" s="2067" t="str">
        <f t="shared" si="0"/>
        <v/>
      </c>
      <c r="C50" s="1580" t="s">
        <v>2827</v>
      </c>
      <c r="D50" s="1784" t="s">
        <v>5768</v>
      </c>
      <c r="E50" s="1617" t="s">
        <v>3242</v>
      </c>
      <c r="F50" s="1617"/>
      <c r="G50" s="1617"/>
      <c r="H50" s="1617" t="s">
        <v>2972</v>
      </c>
      <c r="I50" s="1617" t="s">
        <v>1194</v>
      </c>
      <c r="J50" s="1589"/>
      <c r="K50" s="1589"/>
      <c r="L50" s="1784" t="s">
        <v>1633</v>
      </c>
      <c r="M50" s="2112"/>
      <c r="U50" s="206"/>
      <c r="V50" s="206"/>
      <c r="W50" s="206"/>
    </row>
    <row r="51" spans="1:24" x14ac:dyDescent="0.35">
      <c r="A51" s="1342">
        <v>51</v>
      </c>
      <c r="B51" s="2067" t="str">
        <f t="shared" si="0"/>
        <v/>
      </c>
      <c r="C51" s="1580" t="s">
        <v>2828</v>
      </c>
      <c r="D51" s="1784" t="s">
        <v>5769</v>
      </c>
      <c r="E51" s="2093">
        <v>6741</v>
      </c>
      <c r="F51" s="2093"/>
      <c r="G51" s="2093"/>
      <c r="H51" s="2094">
        <v>4620</v>
      </c>
      <c r="I51" s="2093">
        <v>1360</v>
      </c>
      <c r="J51" s="2094"/>
      <c r="K51" s="2094"/>
      <c r="L51" s="2094">
        <v>131762</v>
      </c>
      <c r="M51" s="2113"/>
      <c r="O51" s="908" t="s">
        <v>1898</v>
      </c>
      <c r="P51" s="900" t="s">
        <v>1899</v>
      </c>
      <c r="U51" s="206"/>
      <c r="V51" s="206"/>
      <c r="W51" s="206"/>
    </row>
    <row r="52" spans="1:24" x14ac:dyDescent="0.35">
      <c r="A52" s="1342">
        <v>52</v>
      </c>
      <c r="B52" s="2067" t="str">
        <f t="shared" si="0"/>
        <v/>
      </c>
      <c r="C52" s="1580" t="s">
        <v>2829</v>
      </c>
      <c r="D52" s="1784" t="s">
        <v>5770</v>
      </c>
      <c r="E52" s="2093">
        <v>1685</v>
      </c>
      <c r="F52" s="2093"/>
      <c r="G52" s="2093"/>
      <c r="H52" s="2094"/>
      <c r="I52" s="2093">
        <v>340</v>
      </c>
      <c r="J52" s="2094"/>
      <c r="K52" s="2094"/>
      <c r="L52" s="2094">
        <v>35299</v>
      </c>
      <c r="M52" s="2113"/>
      <c r="O52" s="901">
        <v>1</v>
      </c>
      <c r="P52" s="902">
        <v>1</v>
      </c>
      <c r="U52" s="206"/>
      <c r="V52" s="206"/>
      <c r="W52" s="206"/>
    </row>
    <row r="53" spans="1:24" x14ac:dyDescent="0.35">
      <c r="A53" s="1342">
        <v>53</v>
      </c>
      <c r="B53" s="2067" t="str">
        <f t="shared" si="0"/>
        <v/>
      </c>
      <c r="C53" s="1580" t="s">
        <v>2830</v>
      </c>
      <c r="D53" s="1784" t="s">
        <v>5771</v>
      </c>
      <c r="E53" s="2093"/>
      <c r="F53" s="2093"/>
      <c r="G53" s="2093"/>
      <c r="H53" s="2094"/>
      <c r="I53" s="2093"/>
      <c r="J53" s="2094"/>
      <c r="K53" s="2094"/>
      <c r="L53" s="2094"/>
      <c r="M53" s="2113"/>
      <c r="O53" s="903">
        <v>0</v>
      </c>
      <c r="P53" s="904">
        <v>2</v>
      </c>
      <c r="U53" s="206"/>
      <c r="V53" s="206"/>
      <c r="W53" s="206"/>
    </row>
    <row r="54" spans="1:24" x14ac:dyDescent="0.35">
      <c r="A54" s="1342">
        <v>54</v>
      </c>
      <c r="B54" s="2067" t="str">
        <f t="shared" si="0"/>
        <v/>
      </c>
      <c r="C54" s="1580" t="s">
        <v>2831</v>
      </c>
      <c r="D54" s="1784" t="s">
        <v>5772</v>
      </c>
      <c r="E54" s="1617" t="s">
        <v>583</v>
      </c>
      <c r="F54" s="1617"/>
      <c r="G54" s="1617"/>
      <c r="H54" s="1589"/>
      <c r="I54" s="1617" t="s">
        <v>583</v>
      </c>
      <c r="J54" s="1589"/>
      <c r="K54" s="1589"/>
      <c r="L54" s="1617" t="s">
        <v>583</v>
      </c>
      <c r="M54" s="2114"/>
      <c r="O54" s="901">
        <v>0.05</v>
      </c>
      <c r="P54" s="902">
        <v>3</v>
      </c>
      <c r="U54" s="206"/>
      <c r="V54" s="206"/>
      <c r="W54" s="206"/>
    </row>
    <row r="55" spans="1:24" x14ac:dyDescent="0.35">
      <c r="A55" s="1342">
        <v>55</v>
      </c>
      <c r="B55" s="2067" t="str">
        <f t="shared" si="0"/>
        <v/>
      </c>
      <c r="C55" s="1580" t="s">
        <v>2832</v>
      </c>
      <c r="D55" s="1784" t="s">
        <v>5773</v>
      </c>
      <c r="E55" s="2084">
        <f>IF(E54="Y",E51,MAX(0,E51-E52))</f>
        <v>6741</v>
      </c>
      <c r="F55" s="2325"/>
      <c r="G55" s="2325"/>
      <c r="H55" s="2084">
        <f>IF(H54="Y",H51,MAX(0,H51-H52))</f>
        <v>4620</v>
      </c>
      <c r="I55" s="2084">
        <f>IF(I54="Y",I51,MAX(0,I51-I52))</f>
        <v>1360</v>
      </c>
      <c r="J55" s="2325"/>
      <c r="K55" s="2325"/>
      <c r="L55" s="2084">
        <f>IF(L54="Y",L51,MAX(0,L51-L52))</f>
        <v>131762</v>
      </c>
      <c r="M55" s="2106"/>
      <c r="O55" s="903">
        <v>0.08</v>
      </c>
      <c r="P55" s="904">
        <v>4</v>
      </c>
      <c r="U55" s="206"/>
      <c r="V55" s="206"/>
      <c r="W55" s="206"/>
    </row>
    <row r="56" spans="1:24" x14ac:dyDescent="0.35">
      <c r="A56" s="1342">
        <v>56</v>
      </c>
      <c r="B56" s="2067" t="str">
        <f t="shared" si="0"/>
        <v/>
      </c>
      <c r="C56" s="1991" t="s">
        <v>152</v>
      </c>
      <c r="D56" s="1784" t="s">
        <v>2708</v>
      </c>
      <c r="E56" s="2326"/>
      <c r="F56" s="2326"/>
      <c r="G56" s="2326"/>
      <c r="H56" s="2326"/>
      <c r="I56" s="2326"/>
      <c r="J56" s="2326"/>
      <c r="K56" s="2326"/>
      <c r="L56" s="2326"/>
      <c r="M56" s="2107"/>
      <c r="O56" s="901">
        <v>0.1</v>
      </c>
      <c r="P56" s="902">
        <v>5</v>
      </c>
      <c r="U56" s="206"/>
      <c r="V56" s="206"/>
    </row>
    <row r="57" spans="1:24" x14ac:dyDescent="0.35">
      <c r="A57" s="1342">
        <v>57</v>
      </c>
      <c r="B57" s="2067" t="str">
        <f t="shared" si="0"/>
        <v/>
      </c>
      <c r="C57" s="1991" t="s">
        <v>153</v>
      </c>
      <c r="D57" s="1784" t="s">
        <v>2708</v>
      </c>
      <c r="E57" s="2086">
        <f>E55</f>
        <v>6741</v>
      </c>
      <c r="F57" s="2326"/>
      <c r="G57" s="2326"/>
      <c r="H57" s="2086">
        <f>H55</f>
        <v>4620</v>
      </c>
      <c r="I57" s="2086">
        <f>I55</f>
        <v>1360</v>
      </c>
      <c r="J57" s="2326"/>
      <c r="K57" s="2326"/>
      <c r="L57" s="2086">
        <f>L55</f>
        <v>131762</v>
      </c>
      <c r="M57" s="2107"/>
      <c r="O57" s="903">
        <v>0.12</v>
      </c>
      <c r="P57" s="904">
        <v>6</v>
      </c>
      <c r="U57" s="206"/>
      <c r="V57" s="206"/>
    </row>
    <row r="58" spans="1:24" x14ac:dyDescent="0.35">
      <c r="A58" s="1342">
        <v>58</v>
      </c>
      <c r="B58" s="2067" t="str">
        <f t="shared" si="0"/>
        <v/>
      </c>
      <c r="C58" s="1580" t="s">
        <v>154</v>
      </c>
      <c r="D58" s="1784" t="s">
        <v>5768</v>
      </c>
      <c r="E58" s="1582"/>
      <c r="F58" s="1582"/>
      <c r="G58" s="1582"/>
      <c r="H58" s="1582" t="s">
        <v>2972</v>
      </c>
      <c r="I58" s="1582" t="s">
        <v>3909</v>
      </c>
      <c r="J58" s="2095"/>
      <c r="K58" s="2095"/>
      <c r="L58" s="2079"/>
      <c r="M58" s="1718"/>
      <c r="O58" s="905">
        <v>0.125</v>
      </c>
      <c r="P58" s="902">
        <v>7</v>
      </c>
      <c r="U58" s="206"/>
      <c r="V58" s="206"/>
    </row>
    <row r="59" spans="1:24" x14ac:dyDescent="0.35">
      <c r="A59" s="1342">
        <v>59</v>
      </c>
      <c r="B59" s="2067" t="str">
        <f t="shared" si="0"/>
        <v/>
      </c>
      <c r="C59" s="1580" t="s">
        <v>155</v>
      </c>
      <c r="D59" s="1784" t="s">
        <v>5769</v>
      </c>
      <c r="E59" s="1582"/>
      <c r="F59" s="1582"/>
      <c r="G59" s="1582"/>
      <c r="H59" s="1582">
        <v>1263</v>
      </c>
      <c r="I59" s="1582">
        <v>3620</v>
      </c>
      <c r="J59" s="2095"/>
      <c r="K59" s="2095"/>
      <c r="L59" s="2079"/>
      <c r="M59" s="1718"/>
      <c r="O59" s="903">
        <v>0.15</v>
      </c>
      <c r="P59" s="904">
        <v>8</v>
      </c>
      <c r="U59" s="206"/>
      <c r="V59" s="206"/>
    </row>
    <row r="60" spans="1:24" x14ac:dyDescent="0.35">
      <c r="A60" s="1342">
        <v>60</v>
      </c>
      <c r="B60" s="2067" t="str">
        <f t="shared" si="0"/>
        <v/>
      </c>
      <c r="C60" s="1580" t="s">
        <v>156</v>
      </c>
      <c r="D60" s="1784" t="s">
        <v>5770</v>
      </c>
      <c r="E60" s="1582"/>
      <c r="F60" s="1582"/>
      <c r="G60" s="1582"/>
      <c r="H60" s="1582">
        <v>189</v>
      </c>
      <c r="I60" s="1582">
        <v>724</v>
      </c>
      <c r="J60" s="2095"/>
      <c r="K60" s="2095"/>
      <c r="L60" s="2079"/>
      <c r="M60" s="1718"/>
      <c r="O60" s="901">
        <v>0.17</v>
      </c>
      <c r="P60" s="902">
        <v>9</v>
      </c>
      <c r="U60" s="206"/>
      <c r="V60" s="206"/>
    </row>
    <row r="61" spans="1:24" x14ac:dyDescent="0.35">
      <c r="A61" s="1342">
        <v>61</v>
      </c>
      <c r="B61" s="2067" t="str">
        <f t="shared" si="0"/>
        <v/>
      </c>
      <c r="C61" s="1580" t="s">
        <v>158</v>
      </c>
      <c r="D61" s="1784" t="s">
        <v>5771</v>
      </c>
      <c r="E61" s="1582"/>
      <c r="F61" s="1582"/>
      <c r="G61" s="1582"/>
      <c r="H61" s="2079"/>
      <c r="I61" s="1582"/>
      <c r="J61" s="2095"/>
      <c r="K61" s="2095"/>
      <c r="L61" s="2079"/>
      <c r="M61" s="1718"/>
      <c r="O61" s="903">
        <v>0.2</v>
      </c>
      <c r="P61" s="904">
        <v>10</v>
      </c>
      <c r="U61" s="206"/>
      <c r="V61" s="206"/>
    </row>
    <row r="62" spans="1:24" x14ac:dyDescent="0.35">
      <c r="A62" s="1342">
        <v>62</v>
      </c>
      <c r="B62" s="2067" t="str">
        <f t="shared" si="0"/>
        <v/>
      </c>
      <c r="C62" s="1580" t="s">
        <v>157</v>
      </c>
      <c r="D62" s="1784" t="s">
        <v>5772</v>
      </c>
      <c r="E62" s="1582"/>
      <c r="F62" s="1582"/>
      <c r="G62" s="1582"/>
      <c r="H62" s="2079"/>
      <c r="I62" s="1582" t="s">
        <v>583</v>
      </c>
      <c r="J62" s="2095"/>
      <c r="K62" s="2095"/>
      <c r="L62" s="2079"/>
      <c r="M62" s="1718"/>
      <c r="O62" s="906">
        <v>0.25</v>
      </c>
      <c r="P62" s="907">
        <v>11</v>
      </c>
      <c r="U62" s="206"/>
      <c r="V62" s="206"/>
    </row>
    <row r="63" spans="1:24" x14ac:dyDescent="0.35">
      <c r="A63" s="1342">
        <v>63</v>
      </c>
      <c r="B63" s="2067" t="str">
        <f t="shared" si="0"/>
        <v/>
      </c>
      <c r="C63" s="1580" t="s">
        <v>159</v>
      </c>
      <c r="D63" s="1784" t="s">
        <v>5773</v>
      </c>
      <c r="E63" s="2325"/>
      <c r="F63" s="2325"/>
      <c r="G63" s="2325"/>
      <c r="H63" s="2084">
        <f>IF(H62="Y",H59,MAX(0,H59-H60))</f>
        <v>1074</v>
      </c>
      <c r="I63" s="2084">
        <f>IF(I62="Y",I59,MAX(0,I59-I60))</f>
        <v>3620</v>
      </c>
      <c r="J63" s="2325"/>
      <c r="K63" s="2325"/>
      <c r="L63" s="2325"/>
      <c r="M63" s="2106"/>
    </row>
    <row r="64" spans="1:24" x14ac:dyDescent="0.35">
      <c r="A64" s="1342">
        <v>64</v>
      </c>
      <c r="B64" s="2067" t="str">
        <f t="shared" si="0"/>
        <v/>
      </c>
      <c r="C64" s="1991" t="s">
        <v>160</v>
      </c>
      <c r="D64" s="1784" t="s">
        <v>2319</v>
      </c>
      <c r="E64" s="2326"/>
      <c r="F64" s="2326"/>
      <c r="G64" s="2326"/>
      <c r="H64" s="2326"/>
      <c r="I64" s="2326"/>
      <c r="J64" s="2326"/>
      <c r="K64" s="2326"/>
      <c r="L64" s="2326"/>
      <c r="M64" s="2107"/>
    </row>
    <row r="65" spans="1:13" x14ac:dyDescent="0.35">
      <c r="A65" s="1342">
        <v>65</v>
      </c>
      <c r="B65" s="2067" t="str">
        <f t="shared" si="0"/>
        <v/>
      </c>
      <c r="C65" s="1991" t="s">
        <v>161</v>
      </c>
      <c r="D65" s="1784" t="s">
        <v>2319</v>
      </c>
      <c r="E65" s="2326"/>
      <c r="F65" s="2326"/>
      <c r="G65" s="2326"/>
      <c r="H65" s="2086">
        <f>H63</f>
        <v>1074</v>
      </c>
      <c r="I65" s="2086">
        <f>I63</f>
        <v>3620</v>
      </c>
      <c r="J65" s="2326"/>
      <c r="K65" s="2326"/>
      <c r="L65" s="2326"/>
      <c r="M65" s="2107"/>
    </row>
    <row r="66" spans="1:13" x14ac:dyDescent="0.35">
      <c r="A66" s="1342">
        <v>66</v>
      </c>
      <c r="B66" s="2067" t="str">
        <f t="shared" ref="B66:B75" si="7">IF(FOR_IND&gt;1,IF(HLOOKUP(FOR_IND-1,FOR_RANGE,A66)="","",HLOOKUP(FOR_IND-1,FOR_RANGE,A66)),"")</f>
        <v/>
      </c>
      <c r="C66" s="1580" t="s">
        <v>164</v>
      </c>
      <c r="D66" s="1784" t="s">
        <v>5768</v>
      </c>
      <c r="E66" s="1625"/>
      <c r="F66" s="1625"/>
      <c r="G66" s="1625"/>
      <c r="H66" s="1625" t="s">
        <v>2972</v>
      </c>
      <c r="I66" s="1625"/>
      <c r="J66" s="2095"/>
      <c r="K66" s="2095"/>
      <c r="L66" s="2095"/>
      <c r="M66" s="2115"/>
    </row>
    <row r="67" spans="1:13" x14ac:dyDescent="0.35">
      <c r="A67" s="1342">
        <v>67</v>
      </c>
      <c r="B67" s="2067" t="str">
        <f t="shared" si="7"/>
        <v/>
      </c>
      <c r="C67" s="1580" t="s">
        <v>165</v>
      </c>
      <c r="D67" s="1784" t="s">
        <v>5769</v>
      </c>
      <c r="E67" s="1625"/>
      <c r="F67" s="1625"/>
      <c r="G67" s="1625"/>
      <c r="H67" s="1582">
        <v>6921</v>
      </c>
      <c r="I67" s="1625"/>
      <c r="J67" s="2095"/>
      <c r="K67" s="2095"/>
      <c r="L67" s="2095"/>
      <c r="M67" s="2115"/>
    </row>
    <row r="68" spans="1:13" x14ac:dyDescent="0.35">
      <c r="A68" s="1342">
        <v>68</v>
      </c>
      <c r="B68" s="2067" t="str">
        <f t="shared" si="7"/>
        <v/>
      </c>
      <c r="C68" s="1580" t="s">
        <v>166</v>
      </c>
      <c r="D68" s="1784" t="s">
        <v>5770</v>
      </c>
      <c r="E68" s="1625"/>
      <c r="F68" s="1625"/>
      <c r="G68" s="1625"/>
      <c r="H68" s="1582">
        <v>2076</v>
      </c>
      <c r="I68" s="1625"/>
      <c r="J68" s="2095"/>
      <c r="K68" s="2095"/>
      <c r="L68" s="2095"/>
      <c r="M68" s="2115"/>
    </row>
    <row r="69" spans="1:13" x14ac:dyDescent="0.35">
      <c r="A69" s="1342">
        <v>69</v>
      </c>
      <c r="B69" s="2067" t="str">
        <f t="shared" si="7"/>
        <v/>
      </c>
      <c r="C69" s="1580" t="s">
        <v>167</v>
      </c>
      <c r="D69" s="1784" t="s">
        <v>5771</v>
      </c>
      <c r="E69" s="1625"/>
      <c r="F69" s="1625"/>
      <c r="G69" s="1625"/>
      <c r="H69" s="2079"/>
      <c r="I69" s="1582"/>
      <c r="J69" s="2095"/>
      <c r="K69" s="2095"/>
      <c r="L69" s="2095"/>
      <c r="M69" s="1718"/>
    </row>
    <row r="70" spans="1:13" x14ac:dyDescent="0.35">
      <c r="A70" s="1342">
        <v>70</v>
      </c>
      <c r="B70" s="2067" t="str">
        <f t="shared" si="7"/>
        <v/>
      </c>
      <c r="C70" s="1580" t="s">
        <v>168</v>
      </c>
      <c r="D70" s="1784" t="s">
        <v>5772</v>
      </c>
      <c r="E70" s="1625"/>
      <c r="F70" s="1625"/>
      <c r="G70" s="1625"/>
      <c r="H70" s="2079"/>
      <c r="I70" s="1582"/>
      <c r="J70" s="2095"/>
      <c r="K70" s="2095"/>
      <c r="L70" s="2095"/>
      <c r="M70" s="1718"/>
    </row>
    <row r="71" spans="1:13" x14ac:dyDescent="0.35">
      <c r="A71" s="1342">
        <v>71</v>
      </c>
      <c r="B71" s="2067" t="str">
        <f t="shared" si="7"/>
        <v/>
      </c>
      <c r="C71" s="1580" t="s">
        <v>169</v>
      </c>
      <c r="D71" s="1784" t="s">
        <v>5773</v>
      </c>
      <c r="E71" s="2325"/>
      <c r="F71" s="2325"/>
      <c r="G71" s="2325"/>
      <c r="H71" s="2084">
        <f>IF(H70="Y",H67,MAX(0,H67-H68))</f>
        <v>4845</v>
      </c>
      <c r="I71" s="2325"/>
      <c r="J71" s="2325"/>
      <c r="K71" s="2325"/>
      <c r="L71" s="2325"/>
      <c r="M71" s="2106"/>
    </row>
    <row r="72" spans="1:13" x14ac:dyDescent="0.35">
      <c r="A72" s="1342">
        <v>72</v>
      </c>
      <c r="B72" s="2067" t="str">
        <f t="shared" si="7"/>
        <v/>
      </c>
      <c r="C72" s="1991" t="s">
        <v>162</v>
      </c>
      <c r="D72" s="1784" t="s">
        <v>2319</v>
      </c>
      <c r="E72" s="2326"/>
      <c r="F72" s="2326"/>
      <c r="G72" s="2326"/>
      <c r="H72" s="2326"/>
      <c r="I72" s="2326"/>
      <c r="J72" s="2326"/>
      <c r="K72" s="2326"/>
      <c r="L72" s="2326"/>
      <c r="M72" s="2107"/>
    </row>
    <row r="73" spans="1:13" x14ac:dyDescent="0.35">
      <c r="A73" s="1342">
        <v>73</v>
      </c>
      <c r="B73" s="2067" t="str">
        <f t="shared" si="7"/>
        <v/>
      </c>
      <c r="C73" s="1991" t="s">
        <v>163</v>
      </c>
      <c r="D73" s="1784" t="s">
        <v>2319</v>
      </c>
      <c r="E73" s="2326"/>
      <c r="F73" s="2326"/>
      <c r="G73" s="2326"/>
      <c r="H73" s="2086">
        <f>H71</f>
        <v>4845</v>
      </c>
      <c r="I73" s="2326"/>
      <c r="J73" s="2326"/>
      <c r="K73" s="2326"/>
      <c r="L73" s="2326"/>
      <c r="M73" s="2107"/>
    </row>
    <row r="74" spans="1:13" x14ac:dyDescent="0.35">
      <c r="A74" s="2744">
        <v>74</v>
      </c>
      <c r="B74" s="2745" t="str">
        <f t="shared" si="7"/>
        <v/>
      </c>
      <c r="C74" s="3141" t="s">
        <v>7702</v>
      </c>
      <c r="D74" s="3581" t="s">
        <v>7703</v>
      </c>
      <c r="E74" s="3142"/>
      <c r="F74" s="3142"/>
      <c r="G74" s="3142"/>
      <c r="H74" s="3142">
        <v>900</v>
      </c>
      <c r="I74" s="3142"/>
      <c r="J74" s="3142"/>
      <c r="K74" s="3142"/>
      <c r="L74" s="3142"/>
      <c r="M74" s="3143"/>
    </row>
    <row r="75" spans="1:13" x14ac:dyDescent="0.35">
      <c r="A75" s="1342">
        <v>75</v>
      </c>
      <c r="B75" s="2067" t="str">
        <f t="shared" si="7"/>
        <v/>
      </c>
      <c r="C75" s="1580" t="s">
        <v>3864</v>
      </c>
      <c r="D75" s="1784" t="s">
        <v>5774</v>
      </c>
      <c r="E75" s="2089">
        <v>3602</v>
      </c>
      <c r="F75" s="2081"/>
      <c r="G75" s="2081"/>
      <c r="H75" s="2081"/>
      <c r="I75" s="2081"/>
      <c r="J75" s="2081"/>
      <c r="K75" s="2081"/>
      <c r="L75" s="2081"/>
      <c r="M75" s="2116"/>
    </row>
    <row r="76" spans="1:13" x14ac:dyDescent="0.35">
      <c r="A76" s="2744">
        <v>76</v>
      </c>
      <c r="B76" s="2745" t="str">
        <f t="shared" ref="B76:B132" si="8">IF(FOR_IND&gt;1,IF(HLOOKUP(FOR_IND-1,FOR_RANGE,A76)="","",HLOOKUP(FOR_IND-1,FOR_RANGE,A76)),"")</f>
        <v/>
      </c>
      <c r="C76" s="3145" t="s">
        <v>8419</v>
      </c>
      <c r="D76" s="3801" t="s">
        <v>8421</v>
      </c>
      <c r="E76" s="3802"/>
      <c r="F76" s="3802"/>
      <c r="G76" s="3802"/>
      <c r="H76" s="3802"/>
      <c r="I76" s="3802"/>
      <c r="J76" s="3802"/>
      <c r="K76" s="3802"/>
      <c r="L76" s="3802"/>
      <c r="M76" s="3803"/>
    </row>
    <row r="77" spans="1:13" x14ac:dyDescent="0.35">
      <c r="A77" s="2744">
        <v>77</v>
      </c>
      <c r="B77" s="2745" t="str">
        <f t="shared" si="8"/>
        <v/>
      </c>
      <c r="C77" s="3145" t="s">
        <v>8420</v>
      </c>
      <c r="D77" s="3801" t="s">
        <v>8402</v>
      </c>
      <c r="E77" s="3802"/>
      <c r="F77" s="3802"/>
      <c r="G77" s="3802"/>
      <c r="H77" s="3802"/>
      <c r="I77" s="3802"/>
      <c r="J77" s="3802"/>
      <c r="K77" s="3802"/>
      <c r="L77" s="3802" t="s">
        <v>583</v>
      </c>
      <c r="M77" s="3803"/>
    </row>
    <row r="78" spans="1:13" x14ac:dyDescent="0.35">
      <c r="A78" s="1342">
        <v>78</v>
      </c>
      <c r="B78" s="2067" t="str">
        <f t="shared" si="8"/>
        <v/>
      </c>
      <c r="C78" s="1580" t="s">
        <v>3865</v>
      </c>
      <c r="D78" s="1784" t="s">
        <v>5775</v>
      </c>
      <c r="E78" s="1582">
        <v>1</v>
      </c>
      <c r="F78" s="1582"/>
      <c r="G78" s="1582"/>
      <c r="H78" s="1582"/>
      <c r="I78" s="1582"/>
      <c r="J78" s="1582"/>
      <c r="K78" s="1582"/>
      <c r="L78" s="1582"/>
      <c r="M78" s="1628"/>
    </row>
    <row r="79" spans="1:13" x14ac:dyDescent="0.35">
      <c r="A79" s="1342">
        <v>79</v>
      </c>
      <c r="B79" s="2067" t="str">
        <f t="shared" si="8"/>
        <v/>
      </c>
      <c r="C79" s="1580" t="s">
        <v>3866</v>
      </c>
      <c r="D79" s="1784" t="s">
        <v>5776</v>
      </c>
      <c r="E79" s="2079"/>
      <c r="F79" s="2079"/>
      <c r="G79" s="2079"/>
      <c r="H79" s="2079"/>
      <c r="I79" s="2079"/>
      <c r="J79" s="2079"/>
      <c r="K79" s="2079"/>
      <c r="L79" s="2079"/>
      <c r="M79" s="1718"/>
    </row>
    <row r="80" spans="1:13" x14ac:dyDescent="0.35">
      <c r="A80" s="1342">
        <v>80</v>
      </c>
      <c r="B80" s="2067" t="str">
        <f t="shared" si="8"/>
        <v/>
      </c>
      <c r="C80" s="1580" t="s">
        <v>3867</v>
      </c>
      <c r="D80" s="1784" t="s">
        <v>5777</v>
      </c>
      <c r="E80" s="2089">
        <v>2510</v>
      </c>
      <c r="F80" s="2081"/>
      <c r="G80" s="2081"/>
      <c r="H80" s="2081"/>
      <c r="I80" s="2081"/>
      <c r="J80" s="2081"/>
      <c r="K80" s="2081"/>
      <c r="L80" s="2090">
        <v>2278</v>
      </c>
      <c r="M80" s="2116"/>
    </row>
    <row r="81" spans="1:20" x14ac:dyDescent="0.35">
      <c r="A81" s="1342">
        <v>81</v>
      </c>
      <c r="B81" s="2067" t="str">
        <f t="shared" si="8"/>
        <v/>
      </c>
      <c r="C81" s="1580" t="s">
        <v>3868</v>
      </c>
      <c r="D81" s="1784" t="s">
        <v>5778</v>
      </c>
      <c r="E81" s="2707">
        <f>E75+E79-E80</f>
        <v>1092</v>
      </c>
      <c r="F81" s="2704"/>
      <c r="G81" s="2704"/>
      <c r="H81" s="2704"/>
      <c r="I81" s="2704"/>
      <c r="J81" s="2704"/>
      <c r="K81" s="2704"/>
      <c r="L81" s="2704">
        <f>L75+L79-L80</f>
        <v>-2278</v>
      </c>
      <c r="M81" s="2117"/>
    </row>
    <row r="82" spans="1:20" x14ac:dyDescent="0.35">
      <c r="A82" s="1342">
        <v>82</v>
      </c>
      <c r="B82" s="2067" t="str">
        <f t="shared" si="8"/>
        <v/>
      </c>
      <c r="C82" s="1580" t="s">
        <v>3869</v>
      </c>
      <c r="D82" s="1784" t="s">
        <v>5779</v>
      </c>
      <c r="E82" s="2089">
        <v>90</v>
      </c>
      <c r="F82" s="2091"/>
      <c r="G82" s="2091"/>
      <c r="H82" s="2091"/>
      <c r="I82" s="2091"/>
      <c r="J82" s="2091"/>
      <c r="K82" s="2091"/>
      <c r="L82" s="2090"/>
      <c r="M82" s="2116"/>
    </row>
    <row r="83" spans="1:20" x14ac:dyDescent="0.35">
      <c r="A83" s="1342">
        <v>83</v>
      </c>
      <c r="B83" s="2067" t="str">
        <f t="shared" si="8"/>
        <v/>
      </c>
      <c r="C83" s="1580" t="s">
        <v>3870</v>
      </c>
      <c r="D83" s="1784" t="s">
        <v>5780</v>
      </c>
      <c r="E83" s="2089"/>
      <c r="F83" s="2091"/>
      <c r="G83" s="2091"/>
      <c r="H83" s="2091"/>
      <c r="I83" s="2091"/>
      <c r="J83" s="2091"/>
      <c r="K83" s="2091"/>
      <c r="L83" s="2090"/>
      <c r="M83" s="2116"/>
    </row>
    <row r="84" spans="1:20" x14ac:dyDescent="0.35">
      <c r="A84" s="1342">
        <v>84</v>
      </c>
      <c r="B84" s="2067" t="str">
        <f t="shared" si="8"/>
        <v/>
      </c>
      <c r="C84" s="1580" t="s">
        <v>3871</v>
      </c>
      <c r="D84" s="1784" t="s">
        <v>5781</v>
      </c>
      <c r="E84" s="2089"/>
      <c r="F84" s="2091"/>
      <c r="G84" s="2091"/>
      <c r="H84" s="2091"/>
      <c r="I84" s="2091"/>
      <c r="J84" s="2091"/>
      <c r="K84" s="2091"/>
      <c r="L84" s="2090"/>
      <c r="M84" s="2116"/>
    </row>
    <row r="85" spans="1:20" x14ac:dyDescent="0.35">
      <c r="A85" s="1342">
        <v>85</v>
      </c>
      <c r="B85" s="2067" t="str">
        <f t="shared" si="8"/>
        <v/>
      </c>
      <c r="C85" s="1580" t="s">
        <v>3872</v>
      </c>
      <c r="D85" s="1292" t="s">
        <v>5764</v>
      </c>
      <c r="E85" s="2089"/>
      <c r="F85" s="2091"/>
      <c r="G85" s="2091"/>
      <c r="H85" s="2091"/>
      <c r="I85" s="2091"/>
      <c r="J85" s="2091"/>
      <c r="K85" s="2091"/>
      <c r="L85" s="2090"/>
      <c r="M85" s="2116"/>
    </row>
    <row r="86" spans="1:20" x14ac:dyDescent="0.35">
      <c r="A86" s="1342">
        <v>86</v>
      </c>
      <c r="B86" s="2067" t="str">
        <f t="shared" si="8"/>
        <v/>
      </c>
      <c r="C86" s="1580" t="s">
        <v>1600</v>
      </c>
      <c r="D86" s="1292" t="s">
        <v>5765</v>
      </c>
      <c r="E86" s="2089">
        <v>360</v>
      </c>
      <c r="F86" s="2091"/>
      <c r="G86" s="2091"/>
      <c r="H86" s="2091"/>
      <c r="I86" s="2091"/>
      <c r="J86" s="2091"/>
      <c r="K86" s="2091"/>
      <c r="L86" s="2090"/>
      <c r="M86" s="2116"/>
    </row>
    <row r="87" spans="1:20" x14ac:dyDescent="0.35">
      <c r="A87" s="1342">
        <v>87</v>
      </c>
      <c r="B87" s="2067" t="str">
        <f t="shared" si="8"/>
        <v/>
      </c>
      <c r="C87" s="1580" t="s">
        <v>1601</v>
      </c>
      <c r="D87" s="1784" t="s">
        <v>5782</v>
      </c>
      <c r="E87" s="2707">
        <f>E81+E82+E83-(E84+E85+E86)</f>
        <v>822</v>
      </c>
      <c r="F87" s="2704"/>
      <c r="G87" s="2704"/>
      <c r="H87" s="2704"/>
      <c r="I87" s="2704"/>
      <c r="J87" s="2704"/>
      <c r="K87" s="2704"/>
      <c r="L87" s="2704">
        <f>L81+L82+L83-(L84+L85+L86)</f>
        <v>-2278</v>
      </c>
      <c r="M87" s="2117"/>
    </row>
    <row r="88" spans="1:20" s="5" customFormat="1" ht="13.15" x14ac:dyDescent="0.4">
      <c r="A88" s="2744">
        <v>88</v>
      </c>
      <c r="B88" s="2745" t="str">
        <f t="shared" si="8"/>
        <v/>
      </c>
      <c r="C88" s="3136" t="s">
        <v>7688</v>
      </c>
      <c r="D88" s="3736" t="s">
        <v>8299</v>
      </c>
      <c r="E88" s="3137">
        <v>120</v>
      </c>
      <c r="F88" s="3137"/>
      <c r="G88" s="3137"/>
      <c r="H88" s="3137"/>
      <c r="I88" s="3137"/>
      <c r="J88" s="3137"/>
      <c r="K88" s="3137"/>
      <c r="L88" s="3137"/>
      <c r="M88" s="3138"/>
      <c r="N88" s="137"/>
      <c r="O88" s="137"/>
      <c r="P88" s="137"/>
      <c r="Q88" s="137"/>
      <c r="R88" s="137"/>
      <c r="S88" s="137"/>
      <c r="T88" s="137"/>
    </row>
    <row r="89" spans="1:20" x14ac:dyDescent="0.35">
      <c r="A89" s="1342">
        <v>89</v>
      </c>
      <c r="B89" s="2067" t="str">
        <f t="shared" si="8"/>
        <v/>
      </c>
      <c r="C89" s="1580" t="s">
        <v>170</v>
      </c>
      <c r="D89" s="1784" t="s">
        <v>5768</v>
      </c>
      <c r="E89" s="1629" t="s">
        <v>3242</v>
      </c>
      <c r="F89" s="1238"/>
      <c r="G89" s="1238"/>
      <c r="H89" s="1238"/>
      <c r="I89" s="1238"/>
      <c r="J89" s="1238"/>
      <c r="K89" s="1629" t="s">
        <v>2036</v>
      </c>
      <c r="L89" s="1627" t="s">
        <v>2972</v>
      </c>
      <c r="M89" s="1632"/>
    </row>
    <row r="90" spans="1:20" x14ac:dyDescent="0.35">
      <c r="A90" s="1342">
        <v>90</v>
      </c>
      <c r="B90" s="2067" t="str">
        <f t="shared" si="8"/>
        <v/>
      </c>
      <c r="C90" s="1580" t="s">
        <v>171</v>
      </c>
      <c r="D90" s="1784" t="s">
        <v>5769</v>
      </c>
      <c r="E90" s="2089">
        <v>822</v>
      </c>
      <c r="F90" s="2091"/>
      <c r="G90" s="2091"/>
      <c r="H90" s="2091"/>
      <c r="I90" s="2091"/>
      <c r="J90" s="2091"/>
      <c r="K90" s="2089">
        <v>2110</v>
      </c>
      <c r="L90" s="2710">
        <v>-2278</v>
      </c>
      <c r="M90" s="2108"/>
    </row>
    <row r="91" spans="1:20" x14ac:dyDescent="0.35">
      <c r="A91" s="1342">
        <v>91</v>
      </c>
      <c r="B91" s="2067" t="str">
        <f t="shared" si="8"/>
        <v/>
      </c>
      <c r="C91" s="1580" t="s">
        <v>172</v>
      </c>
      <c r="D91" s="1784" t="s">
        <v>5770</v>
      </c>
      <c r="E91" s="2091"/>
      <c r="F91" s="2091"/>
      <c r="G91" s="2091"/>
      <c r="H91" s="2091"/>
      <c r="I91" s="2091"/>
      <c r="J91" s="2091"/>
      <c r="K91" s="2089">
        <v>686</v>
      </c>
      <c r="L91" s="2082"/>
      <c r="M91" s="2108"/>
    </row>
    <row r="92" spans="1:20" x14ac:dyDescent="0.35">
      <c r="A92" s="1342">
        <v>92</v>
      </c>
      <c r="B92" s="2067" t="str">
        <f t="shared" si="8"/>
        <v/>
      </c>
      <c r="C92" s="1580" t="s">
        <v>173</v>
      </c>
      <c r="D92" s="1784" t="s">
        <v>5771</v>
      </c>
      <c r="E92" s="2091"/>
      <c r="F92" s="2091"/>
      <c r="G92" s="2091"/>
      <c r="H92" s="2091"/>
      <c r="I92" s="2091"/>
      <c r="J92" s="2091"/>
      <c r="K92" s="2082"/>
      <c r="L92" s="2082"/>
      <c r="M92" s="2108"/>
    </row>
    <row r="93" spans="1:20" x14ac:dyDescent="0.35">
      <c r="A93" s="1342">
        <v>93</v>
      </c>
      <c r="B93" s="2067" t="str">
        <f t="shared" si="8"/>
        <v/>
      </c>
      <c r="C93" s="1580" t="s">
        <v>174</v>
      </c>
      <c r="D93" s="1784" t="s">
        <v>5772</v>
      </c>
      <c r="E93" s="2708"/>
      <c r="F93" s="2708"/>
      <c r="G93" s="2708"/>
      <c r="H93" s="2708"/>
      <c r="I93" s="2708"/>
      <c r="J93" s="2708"/>
      <c r="K93" s="2075" t="s">
        <v>583</v>
      </c>
      <c r="L93" s="2703"/>
      <c r="M93" s="2118"/>
    </row>
    <row r="94" spans="1:20" x14ac:dyDescent="0.35">
      <c r="A94" s="1342">
        <v>94</v>
      </c>
      <c r="B94" s="2067" t="str">
        <f t="shared" si="8"/>
        <v/>
      </c>
      <c r="C94" s="1580" t="s">
        <v>175</v>
      </c>
      <c r="D94" s="1784" t="s">
        <v>5773</v>
      </c>
      <c r="E94" s="2709">
        <f>IF(E93="Y",E90,MAX(0,E90-E91))</f>
        <v>822</v>
      </c>
      <c r="F94" s="2705"/>
      <c r="G94" s="2705"/>
      <c r="H94" s="2705"/>
      <c r="I94" s="2705"/>
      <c r="J94" s="2705"/>
      <c r="K94" s="2709">
        <f>IF(K93="Y",K90,MAX(0,K90-K91))</f>
        <v>2110</v>
      </c>
      <c r="L94" s="2705">
        <f>IF(L93="Y",L90,MAX(0,L90-L91))</f>
        <v>0</v>
      </c>
      <c r="M94" s="2119"/>
    </row>
    <row r="95" spans="1:20" x14ac:dyDescent="0.35">
      <c r="A95" s="1342">
        <v>95</v>
      </c>
      <c r="B95" s="2067" t="str">
        <f t="shared" si="8"/>
        <v/>
      </c>
      <c r="C95" s="1580" t="s">
        <v>176</v>
      </c>
      <c r="D95" s="1784" t="s">
        <v>2708</v>
      </c>
      <c r="E95" s="2707">
        <f>E90</f>
        <v>822</v>
      </c>
      <c r="F95" s="2704"/>
      <c r="G95" s="2704"/>
      <c r="H95" s="2704"/>
      <c r="I95" s="2704"/>
      <c r="J95" s="2704"/>
      <c r="K95" s="2707">
        <f>K90</f>
        <v>2110</v>
      </c>
      <c r="L95" s="2704">
        <f>L90</f>
        <v>-2278</v>
      </c>
      <c r="M95" s="2117"/>
    </row>
    <row r="96" spans="1:20" x14ac:dyDescent="0.35">
      <c r="A96" s="1342">
        <v>96</v>
      </c>
      <c r="B96" s="2067" t="str">
        <f t="shared" si="8"/>
        <v/>
      </c>
      <c r="C96" s="1991" t="s">
        <v>1518</v>
      </c>
      <c r="D96" s="1784" t="s">
        <v>4502</v>
      </c>
      <c r="E96" s="2096">
        <v>320</v>
      </c>
      <c r="F96" s="2329"/>
      <c r="G96" s="2329"/>
      <c r="H96" s="2329"/>
      <c r="I96" s="2329"/>
      <c r="J96" s="2329"/>
      <c r="K96" s="2096"/>
      <c r="L96" s="2329"/>
      <c r="M96" s="2037"/>
    </row>
    <row r="97" spans="1:13" x14ac:dyDescent="0.35">
      <c r="A97" s="1342">
        <v>97</v>
      </c>
      <c r="B97" s="2067" t="str">
        <f t="shared" si="8"/>
        <v/>
      </c>
      <c r="C97" s="1580" t="s">
        <v>1519</v>
      </c>
      <c r="D97" s="1784" t="s">
        <v>5783</v>
      </c>
      <c r="E97" s="2097">
        <f>MAX(0,E95-E96)</f>
        <v>502</v>
      </c>
      <c r="F97" s="2330"/>
      <c r="G97" s="2330"/>
      <c r="H97" s="2330"/>
      <c r="I97" s="2330"/>
      <c r="J97" s="2330"/>
      <c r="K97" s="2097">
        <f>MAX(0,K95-K96)</f>
        <v>2110</v>
      </c>
      <c r="L97" s="2706"/>
      <c r="M97" s="1545"/>
    </row>
    <row r="98" spans="1:13" x14ac:dyDescent="0.35">
      <c r="A98" s="1342">
        <v>98</v>
      </c>
      <c r="B98" s="2067" t="str">
        <f t="shared" si="8"/>
        <v/>
      </c>
      <c r="C98" s="1580" t="s">
        <v>2180</v>
      </c>
      <c r="D98" s="1784" t="s">
        <v>5784</v>
      </c>
      <c r="E98" s="2330"/>
      <c r="F98" s="2330"/>
      <c r="G98" s="2330"/>
      <c r="H98" s="2330"/>
      <c r="I98" s="2330"/>
      <c r="J98" s="2330"/>
      <c r="K98" s="2097">
        <f>K91</f>
        <v>686</v>
      </c>
      <c r="L98" s="2706"/>
      <c r="M98" s="1545"/>
    </row>
    <row r="99" spans="1:13" x14ac:dyDescent="0.35">
      <c r="A99" s="1342">
        <v>99</v>
      </c>
      <c r="B99" s="2067" t="str">
        <f t="shared" si="8"/>
        <v/>
      </c>
      <c r="C99" s="1991" t="s">
        <v>2181</v>
      </c>
      <c r="D99" s="1784" t="s">
        <v>2708</v>
      </c>
      <c r="E99" s="2331"/>
      <c r="F99" s="2331"/>
      <c r="G99" s="2331"/>
      <c r="H99" s="2331"/>
      <c r="I99" s="2331"/>
      <c r="J99" s="2331"/>
      <c r="K99" s="2331"/>
      <c r="L99" s="2331"/>
      <c r="M99" s="2019"/>
    </row>
    <row r="100" spans="1:13" x14ac:dyDescent="0.35">
      <c r="A100" s="1342">
        <v>100</v>
      </c>
      <c r="B100" s="2067" t="str">
        <f t="shared" si="8"/>
        <v/>
      </c>
      <c r="C100" s="1991" t="s">
        <v>2182</v>
      </c>
      <c r="D100" s="1784" t="s">
        <v>5785</v>
      </c>
      <c r="E100" s="2098">
        <f>MAX(0,E94-E96)</f>
        <v>502</v>
      </c>
      <c r="F100" s="2331"/>
      <c r="G100" s="2331"/>
      <c r="H100" s="2331"/>
      <c r="I100" s="2331"/>
      <c r="J100" s="2331"/>
      <c r="K100" s="2098">
        <f>MAX(0,K94-K96)</f>
        <v>2110</v>
      </c>
      <c r="L100" s="2331"/>
      <c r="M100" s="2019"/>
    </row>
    <row r="101" spans="1:13" x14ac:dyDescent="0.35">
      <c r="A101" s="1342">
        <v>101</v>
      </c>
      <c r="B101" s="2067" t="str">
        <f t="shared" si="8"/>
        <v/>
      </c>
      <c r="C101" s="1991" t="s">
        <v>1520</v>
      </c>
      <c r="D101" s="1784" t="s">
        <v>4462</v>
      </c>
      <c r="E101" s="2071"/>
      <c r="F101" s="2025"/>
      <c r="G101" s="2025"/>
      <c r="H101" s="2025"/>
      <c r="I101" s="2025"/>
      <c r="J101" s="2025"/>
      <c r="K101" s="2071"/>
      <c r="L101" s="2025">
        <v>2278</v>
      </c>
      <c r="M101" s="2002"/>
    </row>
    <row r="102" spans="1:13" x14ac:dyDescent="0.35">
      <c r="A102" s="1342">
        <v>102</v>
      </c>
      <c r="B102" s="2067" t="str">
        <f t="shared" si="8"/>
        <v/>
      </c>
      <c r="C102" s="1991" t="s">
        <v>1521</v>
      </c>
      <c r="D102" s="1784" t="s">
        <v>4983</v>
      </c>
      <c r="E102" s="2332"/>
      <c r="F102" s="2332"/>
      <c r="G102" s="2332"/>
      <c r="H102" s="2332"/>
      <c r="I102" s="2332"/>
      <c r="J102" s="2332"/>
      <c r="K102" s="2332"/>
      <c r="L102" s="2332"/>
      <c r="M102" s="2120"/>
    </row>
    <row r="103" spans="1:13" x14ac:dyDescent="0.35">
      <c r="A103" s="1342">
        <v>103</v>
      </c>
      <c r="B103" s="2067" t="str">
        <f t="shared" si="8"/>
        <v/>
      </c>
      <c r="C103" s="2088" t="s">
        <v>4384</v>
      </c>
      <c r="D103" s="1784" t="s">
        <v>5768</v>
      </c>
      <c r="E103" s="1238"/>
      <c r="F103" s="1238"/>
      <c r="G103" s="1238"/>
      <c r="H103" s="1238"/>
      <c r="I103" s="1238"/>
      <c r="J103" s="1238"/>
      <c r="K103" s="1627" t="s">
        <v>2036</v>
      </c>
      <c r="L103" s="1627"/>
      <c r="M103" s="2103"/>
    </row>
    <row r="104" spans="1:13" x14ac:dyDescent="0.35">
      <c r="A104" s="1342">
        <v>104</v>
      </c>
      <c r="B104" s="2067" t="str">
        <f t="shared" si="8"/>
        <v/>
      </c>
      <c r="C104" s="2088" t="s">
        <v>4385</v>
      </c>
      <c r="D104" s="1784" t="s">
        <v>3205</v>
      </c>
      <c r="E104" s="1238"/>
      <c r="F104" s="1238"/>
      <c r="G104" s="1238"/>
      <c r="H104" s="1238"/>
      <c r="I104" s="1238"/>
      <c r="J104" s="1238"/>
      <c r="K104" s="2099">
        <v>8836</v>
      </c>
      <c r="L104" s="2099"/>
      <c r="M104" s="2121"/>
    </row>
    <row r="105" spans="1:13" x14ac:dyDescent="0.35">
      <c r="A105" s="1342">
        <v>105</v>
      </c>
      <c r="B105" s="2067" t="str">
        <f t="shared" si="8"/>
        <v/>
      </c>
      <c r="C105" s="2088" t="s">
        <v>4386</v>
      </c>
      <c r="D105" s="1784" t="s">
        <v>5786</v>
      </c>
      <c r="E105" s="1238"/>
      <c r="F105" s="1238"/>
      <c r="G105" s="1238"/>
      <c r="H105" s="1238"/>
      <c r="I105" s="1238"/>
      <c r="J105" s="1238"/>
      <c r="K105" s="2100" t="s">
        <v>583</v>
      </c>
      <c r="L105" s="2100"/>
      <c r="M105" s="2122"/>
    </row>
    <row r="106" spans="1:13" x14ac:dyDescent="0.35">
      <c r="A106" s="1342">
        <v>106</v>
      </c>
      <c r="B106" s="2067" t="str">
        <f t="shared" si="8"/>
        <v/>
      </c>
      <c r="C106" s="2088" t="s">
        <v>4387</v>
      </c>
      <c r="D106" s="1784" t="s">
        <v>5773</v>
      </c>
      <c r="E106" s="1238"/>
      <c r="F106" s="1238"/>
      <c r="G106" s="1238"/>
      <c r="H106" s="1238"/>
      <c r="I106" s="1238"/>
      <c r="J106" s="1238"/>
      <c r="K106" s="2099">
        <v>23904</v>
      </c>
      <c r="L106" s="2099"/>
      <c r="M106" s="2121"/>
    </row>
    <row r="107" spans="1:13" x14ac:dyDescent="0.35">
      <c r="A107" s="1342">
        <v>107</v>
      </c>
      <c r="B107" s="2067" t="str">
        <f t="shared" si="8"/>
        <v/>
      </c>
      <c r="C107" s="2088" t="s">
        <v>4388</v>
      </c>
      <c r="D107" s="1784" t="s">
        <v>5768</v>
      </c>
      <c r="E107" s="1238"/>
      <c r="F107" s="1238"/>
      <c r="G107" s="1238"/>
      <c r="H107" s="1238"/>
      <c r="I107" s="1238"/>
      <c r="J107" s="1238"/>
      <c r="K107" s="1627" t="s">
        <v>2073</v>
      </c>
      <c r="L107" s="1627"/>
      <c r="M107" s="2103"/>
    </row>
    <row r="108" spans="1:13" x14ac:dyDescent="0.35">
      <c r="A108" s="1342">
        <v>108</v>
      </c>
      <c r="B108" s="2067" t="str">
        <f t="shared" si="8"/>
        <v/>
      </c>
      <c r="C108" s="2088" t="s">
        <v>4389</v>
      </c>
      <c r="D108" s="1784" t="s">
        <v>3205</v>
      </c>
      <c r="E108" s="1238"/>
      <c r="F108" s="1238"/>
      <c r="G108" s="1238"/>
      <c r="H108" s="1238"/>
      <c r="I108" s="1238"/>
      <c r="J108" s="1238"/>
      <c r="K108" s="2099">
        <v>3394</v>
      </c>
      <c r="L108" s="2099"/>
      <c r="M108" s="2121"/>
    </row>
    <row r="109" spans="1:13" x14ac:dyDescent="0.35">
      <c r="A109" s="1342">
        <v>109</v>
      </c>
      <c r="B109" s="2067" t="str">
        <f t="shared" si="8"/>
        <v/>
      </c>
      <c r="C109" s="2088" t="s">
        <v>4390</v>
      </c>
      <c r="D109" s="1784" t="s">
        <v>5786</v>
      </c>
      <c r="E109" s="1238"/>
      <c r="F109" s="1238"/>
      <c r="G109" s="1238"/>
      <c r="H109" s="1238"/>
      <c r="I109" s="1238"/>
      <c r="J109" s="1238"/>
      <c r="K109" s="2100" t="s">
        <v>583</v>
      </c>
      <c r="L109" s="2100"/>
      <c r="M109" s="2122"/>
    </row>
    <row r="110" spans="1:13" x14ac:dyDescent="0.35">
      <c r="A110" s="1342">
        <v>110</v>
      </c>
      <c r="B110" s="2067" t="str">
        <f t="shared" si="8"/>
        <v/>
      </c>
      <c r="C110" s="2088" t="s">
        <v>4391</v>
      </c>
      <c r="D110" s="1784" t="s">
        <v>5773</v>
      </c>
      <c r="E110" s="1238"/>
      <c r="F110" s="1238"/>
      <c r="G110" s="1238"/>
      <c r="H110" s="1238"/>
      <c r="I110" s="1238"/>
      <c r="J110" s="1238"/>
      <c r="K110" s="2099">
        <v>14655</v>
      </c>
      <c r="L110" s="2099"/>
      <c r="M110" s="2121"/>
    </row>
    <row r="111" spans="1:13" x14ac:dyDescent="0.35">
      <c r="A111" s="1342">
        <v>111</v>
      </c>
      <c r="B111" s="2067" t="str">
        <f t="shared" si="8"/>
        <v/>
      </c>
      <c r="C111" s="2088" t="s">
        <v>4392</v>
      </c>
      <c r="D111" s="1784" t="s">
        <v>5768</v>
      </c>
      <c r="E111" s="1238"/>
      <c r="F111" s="1238"/>
      <c r="G111" s="1238"/>
      <c r="H111" s="1238"/>
      <c r="I111" s="1238"/>
      <c r="J111" s="1238"/>
      <c r="K111" s="1627" t="s">
        <v>3242</v>
      </c>
      <c r="L111" s="1627"/>
      <c r="M111" s="2103"/>
    </row>
    <row r="112" spans="1:13" x14ac:dyDescent="0.35">
      <c r="A112" s="1342">
        <v>112</v>
      </c>
      <c r="B112" s="2067" t="str">
        <f t="shared" si="8"/>
        <v/>
      </c>
      <c r="C112" s="2088" t="s">
        <v>4393</v>
      </c>
      <c r="D112" s="1784" t="s">
        <v>3205</v>
      </c>
      <c r="E112" s="1238"/>
      <c r="F112" s="1238"/>
      <c r="G112" s="1238"/>
      <c r="H112" s="1238"/>
      <c r="I112" s="1238"/>
      <c r="J112" s="1238"/>
      <c r="K112" s="2099">
        <v>1651</v>
      </c>
      <c r="L112" s="2099"/>
      <c r="M112" s="2121"/>
    </row>
    <row r="113" spans="1:13" x14ac:dyDescent="0.35">
      <c r="A113" s="1342">
        <v>113</v>
      </c>
      <c r="B113" s="2067" t="str">
        <f t="shared" si="8"/>
        <v/>
      </c>
      <c r="C113" s="2088" t="s">
        <v>4394</v>
      </c>
      <c r="D113" s="1784" t="s">
        <v>5786</v>
      </c>
      <c r="E113" s="1238"/>
      <c r="F113" s="1238"/>
      <c r="G113" s="1238"/>
      <c r="H113" s="1238"/>
      <c r="I113" s="1238"/>
      <c r="J113" s="1238"/>
      <c r="K113" s="2100" t="s">
        <v>583</v>
      </c>
      <c r="L113" s="2100"/>
      <c r="M113" s="2122"/>
    </row>
    <row r="114" spans="1:13" x14ac:dyDescent="0.35">
      <c r="A114" s="1342">
        <v>114</v>
      </c>
      <c r="B114" s="2067" t="str">
        <f t="shared" si="8"/>
        <v/>
      </c>
      <c r="C114" s="2088" t="s">
        <v>4395</v>
      </c>
      <c r="D114" s="1784" t="s">
        <v>5773</v>
      </c>
      <c r="E114" s="1238"/>
      <c r="F114" s="1238"/>
      <c r="G114" s="1238"/>
      <c r="H114" s="1238"/>
      <c r="I114" s="1238"/>
      <c r="J114" s="1238"/>
      <c r="K114" s="2099">
        <v>7434</v>
      </c>
      <c r="L114" s="2099"/>
      <c r="M114" s="2121"/>
    </row>
    <row r="115" spans="1:13" x14ac:dyDescent="0.35">
      <c r="A115" s="1342">
        <v>115</v>
      </c>
      <c r="B115" s="2067" t="str">
        <f t="shared" si="8"/>
        <v/>
      </c>
      <c r="C115" s="2088" t="s">
        <v>4396</v>
      </c>
      <c r="D115" s="1784" t="s">
        <v>5768</v>
      </c>
      <c r="E115" s="1238"/>
      <c r="F115" s="1238"/>
      <c r="G115" s="1238"/>
      <c r="H115" s="1238"/>
      <c r="I115" s="1238"/>
      <c r="J115" s="1238"/>
      <c r="K115" s="1627" t="s">
        <v>2043</v>
      </c>
      <c r="L115" s="1627"/>
      <c r="M115" s="2103"/>
    </row>
    <row r="116" spans="1:13" x14ac:dyDescent="0.35">
      <c r="A116" s="1342">
        <v>116</v>
      </c>
      <c r="B116" s="2067" t="str">
        <f t="shared" si="8"/>
        <v/>
      </c>
      <c r="C116" s="2088" t="s">
        <v>4397</v>
      </c>
      <c r="D116" s="1784" t="s">
        <v>3205</v>
      </c>
      <c r="E116" s="1238"/>
      <c r="F116" s="1238"/>
      <c r="G116" s="1238"/>
      <c r="H116" s="1238"/>
      <c r="I116" s="1238"/>
      <c r="J116" s="1238"/>
      <c r="K116" s="2099">
        <v>121168</v>
      </c>
      <c r="L116" s="2099"/>
      <c r="M116" s="2121"/>
    </row>
    <row r="117" spans="1:13" x14ac:dyDescent="0.35">
      <c r="A117" s="1342">
        <v>117</v>
      </c>
      <c r="B117" s="2067" t="str">
        <f t="shared" si="8"/>
        <v/>
      </c>
      <c r="C117" s="2088" t="s">
        <v>4398</v>
      </c>
      <c r="D117" s="1784" t="s">
        <v>5786</v>
      </c>
      <c r="E117" s="1238"/>
      <c r="F117" s="1238"/>
      <c r="G117" s="1238"/>
      <c r="H117" s="1238"/>
      <c r="I117" s="1238"/>
      <c r="J117" s="1238"/>
      <c r="K117" s="2100" t="s">
        <v>583</v>
      </c>
      <c r="L117" s="2100"/>
      <c r="M117" s="2122"/>
    </row>
    <row r="118" spans="1:13" x14ac:dyDescent="0.35">
      <c r="A118" s="1342">
        <v>118</v>
      </c>
      <c r="B118" s="2067" t="str">
        <f t="shared" si="8"/>
        <v/>
      </c>
      <c r="C118" s="2088" t="s">
        <v>4399</v>
      </c>
      <c r="D118" s="1784" t="s">
        <v>5773</v>
      </c>
      <c r="E118" s="1238"/>
      <c r="F118" s="1238"/>
      <c r="G118" s="1238"/>
      <c r="H118" s="1238"/>
      <c r="I118" s="1238"/>
      <c r="J118" s="1238"/>
      <c r="K118" s="2099">
        <v>291486</v>
      </c>
      <c r="L118" s="2099"/>
      <c r="M118" s="2121"/>
    </row>
    <row r="119" spans="1:13" x14ac:dyDescent="0.35">
      <c r="A119" s="1342">
        <v>119</v>
      </c>
      <c r="B119" s="2067" t="str">
        <f t="shared" si="8"/>
        <v/>
      </c>
      <c r="C119" s="1580" t="s">
        <v>1693</v>
      </c>
      <c r="D119" s="1784" t="s">
        <v>5787</v>
      </c>
      <c r="E119" s="2079"/>
      <c r="F119" s="2079"/>
      <c r="G119" s="2079"/>
      <c r="H119" s="2079"/>
      <c r="I119" s="2079"/>
      <c r="J119" s="2079"/>
      <c r="K119" s="2079"/>
      <c r="L119" s="2099">
        <v>49140</v>
      </c>
      <c r="M119" s="2121"/>
    </row>
    <row r="120" spans="1:13" x14ac:dyDescent="0.35">
      <c r="A120" s="1342">
        <v>120</v>
      </c>
      <c r="B120" s="2067" t="str">
        <f t="shared" si="8"/>
        <v/>
      </c>
      <c r="C120" s="1580" t="s">
        <v>1694</v>
      </c>
      <c r="D120" s="1784" t="s">
        <v>5788</v>
      </c>
      <c r="E120" s="2079"/>
      <c r="F120" s="2079"/>
      <c r="G120" s="2079"/>
      <c r="H120" s="2079"/>
      <c r="I120" s="2079"/>
      <c r="J120" s="2079"/>
      <c r="K120" s="2079"/>
      <c r="L120" s="2079"/>
      <c r="M120" s="1718"/>
    </row>
    <row r="121" spans="1:13" x14ac:dyDescent="0.35">
      <c r="A121" s="1342">
        <v>121</v>
      </c>
      <c r="B121" s="2067" t="str">
        <f t="shared" si="8"/>
        <v/>
      </c>
      <c r="C121" s="1580" t="s">
        <v>1695</v>
      </c>
      <c r="D121" s="1784" t="s">
        <v>5789</v>
      </c>
      <c r="E121" s="2079"/>
      <c r="F121" s="2079"/>
      <c r="G121" s="2095"/>
      <c r="H121" s="2095"/>
      <c r="I121" s="2095"/>
      <c r="J121" s="2095"/>
      <c r="K121" s="2095"/>
      <c r="L121" s="2095"/>
      <c r="M121" s="1718"/>
    </row>
    <row r="122" spans="1:13" x14ac:dyDescent="0.35">
      <c r="A122" s="1342">
        <v>122</v>
      </c>
      <c r="B122" s="2067" t="str">
        <f t="shared" si="8"/>
        <v/>
      </c>
      <c r="C122" s="1580" t="s">
        <v>1696</v>
      </c>
      <c r="D122" s="1784" t="s">
        <v>5790</v>
      </c>
      <c r="E122" s="2079"/>
      <c r="F122" s="2079"/>
      <c r="G122" s="2095"/>
      <c r="H122" s="2095"/>
      <c r="I122" s="2095"/>
      <c r="J122" s="2095"/>
      <c r="K122" s="2095"/>
      <c r="L122" s="2095"/>
      <c r="M122" s="1718"/>
    </row>
    <row r="123" spans="1:13" x14ac:dyDescent="0.35">
      <c r="A123" s="1342">
        <v>123</v>
      </c>
      <c r="B123" s="2067" t="str">
        <f t="shared" si="8"/>
        <v/>
      </c>
      <c r="C123" s="1580" t="s">
        <v>1697</v>
      </c>
      <c r="D123" s="1784" t="s">
        <v>3205</v>
      </c>
      <c r="E123" s="2079"/>
      <c r="F123" s="2079"/>
      <c r="G123" s="2095"/>
      <c r="H123" s="2095"/>
      <c r="I123" s="2095"/>
      <c r="J123" s="2095"/>
      <c r="K123" s="2095"/>
      <c r="L123" s="2099">
        <v>49140</v>
      </c>
      <c r="M123" s="2121"/>
    </row>
    <row r="124" spans="1:13" x14ac:dyDescent="0.35">
      <c r="A124" s="1342">
        <v>124</v>
      </c>
      <c r="B124" s="2067" t="str">
        <f t="shared" si="8"/>
        <v/>
      </c>
      <c r="C124" s="1580" t="s">
        <v>1698</v>
      </c>
      <c r="D124" s="1784" t="s">
        <v>5786</v>
      </c>
      <c r="E124" s="2079"/>
      <c r="F124" s="2079"/>
      <c r="G124" s="2095"/>
      <c r="H124" s="2095"/>
      <c r="I124" s="2095"/>
      <c r="J124" s="2095"/>
      <c r="K124" s="2095"/>
      <c r="L124" s="1627" t="s">
        <v>583</v>
      </c>
      <c r="M124" s="1632"/>
    </row>
    <row r="125" spans="1:13" x14ac:dyDescent="0.35">
      <c r="A125" s="1342">
        <v>125</v>
      </c>
      <c r="B125" s="2067" t="str">
        <f t="shared" si="8"/>
        <v/>
      </c>
      <c r="C125" s="1991" t="s">
        <v>1699</v>
      </c>
      <c r="D125" s="1784" t="s">
        <v>5791</v>
      </c>
      <c r="E125" s="2071"/>
      <c r="F125" s="2071"/>
      <c r="G125" s="2025"/>
      <c r="H125" s="2025"/>
      <c r="I125" s="2025"/>
      <c r="J125" s="2025"/>
      <c r="K125" s="2025"/>
      <c r="L125" s="2099">
        <v>13759</v>
      </c>
      <c r="M125" s="2121"/>
    </row>
    <row r="126" spans="1:13" x14ac:dyDescent="0.35">
      <c r="A126" s="1342">
        <v>126</v>
      </c>
      <c r="B126" s="2067" t="str">
        <f t="shared" si="8"/>
        <v/>
      </c>
      <c r="C126" s="1991" t="s">
        <v>1700</v>
      </c>
      <c r="D126" s="1784" t="s">
        <v>5792</v>
      </c>
      <c r="E126" s="2071"/>
      <c r="F126" s="2071"/>
      <c r="G126" s="2025"/>
      <c r="H126" s="2025"/>
      <c r="I126" s="2025"/>
      <c r="J126" s="2025"/>
      <c r="K126" s="2025"/>
      <c r="L126" s="2095"/>
      <c r="M126" s="1718"/>
    </row>
    <row r="127" spans="1:13" x14ac:dyDescent="0.35">
      <c r="A127" s="1342">
        <v>127</v>
      </c>
      <c r="B127" s="2067" t="str">
        <f t="shared" si="8"/>
        <v/>
      </c>
      <c r="C127" s="1991" t="s">
        <v>1701</v>
      </c>
      <c r="D127" s="1784" t="s">
        <v>5793</v>
      </c>
      <c r="E127" s="2071"/>
      <c r="F127" s="2071"/>
      <c r="G127" s="2025"/>
      <c r="H127" s="2025"/>
      <c r="I127" s="2025"/>
      <c r="J127" s="2025"/>
      <c r="K127" s="2025"/>
      <c r="L127" s="2095"/>
      <c r="M127" s="1718"/>
    </row>
    <row r="128" spans="1:13" x14ac:dyDescent="0.35">
      <c r="A128" s="1342">
        <v>128</v>
      </c>
      <c r="B128" s="2067" t="str">
        <f t="shared" si="8"/>
        <v/>
      </c>
      <c r="C128" s="1991" t="s">
        <v>1702</v>
      </c>
      <c r="D128" s="1784" t="s">
        <v>5794</v>
      </c>
      <c r="E128" s="2071"/>
      <c r="F128" s="2071"/>
      <c r="G128" s="2025"/>
      <c r="H128" s="2025"/>
      <c r="I128" s="2025"/>
      <c r="J128" s="2025"/>
      <c r="K128" s="2025"/>
      <c r="L128" s="2095"/>
      <c r="M128" s="1718"/>
    </row>
    <row r="129" spans="1:13" x14ac:dyDescent="0.35">
      <c r="A129" s="1342">
        <v>129</v>
      </c>
      <c r="B129" s="2067" t="str">
        <f t="shared" si="8"/>
        <v/>
      </c>
      <c r="C129" s="1991" t="s">
        <v>1703</v>
      </c>
      <c r="D129" s="1784" t="s">
        <v>5795</v>
      </c>
      <c r="E129" s="2071"/>
      <c r="F129" s="2071"/>
      <c r="G129" s="2025">
        <v>60345</v>
      </c>
      <c r="H129" s="2025"/>
      <c r="I129" s="2025"/>
      <c r="J129" s="2025"/>
      <c r="K129" s="2025"/>
      <c r="L129" s="2095"/>
      <c r="M129" s="1718"/>
    </row>
    <row r="130" spans="1:13" x14ac:dyDescent="0.35">
      <c r="A130" s="1342">
        <v>130</v>
      </c>
      <c r="B130" s="2067" t="str">
        <f t="shared" si="8"/>
        <v/>
      </c>
      <c r="C130" s="1991" t="s">
        <v>1704</v>
      </c>
      <c r="D130" s="1784" t="s">
        <v>1056</v>
      </c>
      <c r="E130" s="2071"/>
      <c r="F130" s="2071"/>
      <c r="G130" s="2025">
        <v>17</v>
      </c>
      <c r="H130" s="2025"/>
      <c r="I130" s="2025"/>
      <c r="J130" s="2025"/>
      <c r="K130" s="2025"/>
      <c r="L130" s="2095"/>
      <c r="M130" s="1718"/>
    </row>
    <row r="131" spans="1:13" x14ac:dyDescent="0.35">
      <c r="A131" s="1342">
        <v>131</v>
      </c>
      <c r="B131" s="2067" t="str">
        <f t="shared" si="8"/>
        <v/>
      </c>
      <c r="C131" s="1991" t="s">
        <v>1705</v>
      </c>
      <c r="D131" s="1784" t="s">
        <v>2930</v>
      </c>
      <c r="E131" s="2071"/>
      <c r="F131" s="2071"/>
      <c r="G131" s="2025">
        <v>12069</v>
      </c>
      <c r="H131" s="2025"/>
      <c r="I131" s="2025"/>
      <c r="J131" s="2025"/>
      <c r="K131" s="2025"/>
      <c r="L131" s="2095"/>
      <c r="M131" s="1718"/>
    </row>
    <row r="132" spans="1:13" ht="13.15" thickBot="1" x14ac:dyDescent="0.4">
      <c r="A132" s="1342">
        <v>132</v>
      </c>
      <c r="B132" s="2067" t="str">
        <f t="shared" si="8"/>
        <v/>
      </c>
      <c r="C132" s="1586" t="s">
        <v>1706</v>
      </c>
      <c r="D132" s="2101" t="s">
        <v>5796</v>
      </c>
      <c r="E132" s="1555"/>
      <c r="F132" s="1555"/>
      <c r="G132" s="1555"/>
      <c r="H132" s="1555"/>
      <c r="I132" s="1555"/>
      <c r="J132" s="1555"/>
      <c r="K132" s="1555"/>
      <c r="L132" s="1555"/>
      <c r="M132" s="1762"/>
    </row>
    <row r="133" spans="1:13" x14ac:dyDescent="0.35">
      <c r="C133" s="411"/>
      <c r="D133" s="411"/>
      <c r="E133" s="411"/>
      <c r="F133" s="411"/>
      <c r="G133" s="411"/>
    </row>
    <row r="134" spans="1:13" x14ac:dyDescent="0.35">
      <c r="C134" s="411"/>
      <c r="D134" s="411"/>
      <c r="E134" s="411"/>
      <c r="F134" s="411"/>
      <c r="G134" s="411"/>
    </row>
    <row r="135" spans="1:13" x14ac:dyDescent="0.35">
      <c r="C135" s="411"/>
      <c r="D135" s="411"/>
      <c r="E135" s="411"/>
      <c r="F135" s="411"/>
      <c r="G135" s="411"/>
    </row>
    <row r="136" spans="1:13" x14ac:dyDescent="0.35">
      <c r="C136" s="411"/>
      <c r="D136" s="411"/>
      <c r="E136" s="411"/>
      <c r="F136" s="411"/>
      <c r="G136" s="411"/>
    </row>
    <row r="137" spans="1:13" x14ac:dyDescent="0.35">
      <c r="C137" s="411"/>
      <c r="D137" s="411"/>
      <c r="E137" s="411"/>
      <c r="F137" s="411"/>
      <c r="G137" s="411"/>
    </row>
    <row r="138" spans="1:13" x14ac:dyDescent="0.35">
      <c r="C138" s="411"/>
      <c r="D138" s="411"/>
      <c r="E138" s="411"/>
      <c r="F138" s="411"/>
      <c r="G138" s="411"/>
    </row>
    <row r="139" spans="1:13" x14ac:dyDescent="0.35">
      <c r="C139" s="411"/>
      <c r="D139" s="411"/>
      <c r="E139" s="411"/>
      <c r="F139" s="411"/>
      <c r="G139" s="411"/>
    </row>
    <row r="140" spans="1:13" x14ac:dyDescent="0.35">
      <c r="C140" s="411"/>
      <c r="D140" s="411"/>
      <c r="E140" s="411"/>
      <c r="F140" s="411"/>
      <c r="G140" s="411"/>
    </row>
    <row r="141" spans="1:13" x14ac:dyDescent="0.35">
      <c r="C141" s="411"/>
      <c r="D141" s="411"/>
      <c r="E141" s="411"/>
      <c r="F141" s="411"/>
      <c r="G141" s="411"/>
    </row>
    <row r="142" spans="1:13" x14ac:dyDescent="0.35">
      <c r="C142" s="411"/>
      <c r="D142" s="411"/>
      <c r="E142" s="411"/>
      <c r="F142" s="411"/>
      <c r="G142" s="411"/>
    </row>
    <row r="143" spans="1:13" x14ac:dyDescent="0.35">
      <c r="C143" s="411"/>
      <c r="D143" s="411"/>
      <c r="E143" s="411"/>
      <c r="F143" s="411"/>
      <c r="G143" s="411"/>
    </row>
    <row r="144" spans="1:13" x14ac:dyDescent="0.35">
      <c r="C144" s="411"/>
      <c r="D144" s="411"/>
      <c r="E144" s="411"/>
      <c r="F144" s="411"/>
      <c r="G144" s="411"/>
    </row>
    <row r="145" spans="3:7" x14ac:dyDescent="0.35">
      <c r="C145" s="411"/>
      <c r="D145" s="411"/>
      <c r="E145" s="411"/>
      <c r="F145" s="411"/>
      <c r="G145" s="411"/>
    </row>
    <row r="146" spans="3:7" x14ac:dyDescent="0.35">
      <c r="C146" s="411"/>
      <c r="D146" s="411"/>
      <c r="E146" s="411"/>
      <c r="F146" s="411"/>
      <c r="G146" s="411"/>
    </row>
    <row r="147" spans="3:7" x14ac:dyDescent="0.35">
      <c r="C147" s="411"/>
      <c r="D147" s="411"/>
      <c r="E147" s="411"/>
      <c r="F147" s="411"/>
      <c r="G147" s="411"/>
    </row>
    <row r="148" spans="3:7" x14ac:dyDescent="0.35">
      <c r="C148" s="411"/>
      <c r="D148" s="411"/>
      <c r="E148" s="411"/>
      <c r="F148" s="411"/>
      <c r="G148" s="411"/>
    </row>
  </sheetData>
  <phoneticPr fontId="68" type="noConversion"/>
  <pageMargins left="0.19685039370078741" right="0.19685039370078741" top="0.19685039370078741" bottom="0.19685039370078741" header="0" footer="0"/>
  <pageSetup paperSize="9" scale="58"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rgb="FFFFFF99"/>
  </sheetPr>
  <dimension ref="A1:P27"/>
  <sheetViews>
    <sheetView showGridLines="0" workbookViewId="0">
      <pane ySplit="1" topLeftCell="A2" activePane="bottomLeft" state="frozen"/>
      <selection pane="bottomLeft" activeCell="E35" sqref="E35"/>
    </sheetView>
  </sheetViews>
  <sheetFormatPr defaultRowHeight="12.75" x14ac:dyDescent="0.35"/>
  <cols>
    <col min="1" max="1" width="3.86328125" style="1343" bestFit="1" customWidth="1"/>
    <col min="3" max="3" width="9.265625" customWidth="1"/>
    <col min="4" max="4" width="78.3984375" bestFit="1" customWidth="1"/>
    <col min="5" max="7" width="10.73046875" customWidth="1"/>
    <col min="8" max="8" width="9.265625" bestFit="1" customWidth="1"/>
    <col min="11" max="11" width="9.86328125" bestFit="1" customWidth="1"/>
    <col min="14" max="14" width="2.265625" customWidth="1"/>
    <col min="15" max="15" width="28.1328125" style="4" customWidth="1"/>
    <col min="16" max="16" width="10.86328125" bestFit="1" customWidth="1"/>
  </cols>
  <sheetData>
    <row r="1" spans="1:16" ht="13.15" x14ac:dyDescent="0.35">
      <c r="A1" s="1342" t="s">
        <v>4845</v>
      </c>
      <c r="B1" s="676" t="s">
        <v>4210</v>
      </c>
      <c r="C1" s="2068" t="s">
        <v>3568</v>
      </c>
      <c r="D1" s="2069"/>
      <c r="E1" s="1348">
        <v>1</v>
      </c>
      <c r="F1" s="1348">
        <v>2</v>
      </c>
      <c r="G1" s="1348">
        <v>3</v>
      </c>
      <c r="H1" s="1348">
        <v>4</v>
      </c>
      <c r="I1" s="1348">
        <v>5</v>
      </c>
      <c r="J1" s="1348">
        <v>6</v>
      </c>
      <c r="K1" s="1348">
        <v>7</v>
      </c>
      <c r="L1" s="1348">
        <v>8</v>
      </c>
      <c r="M1" s="1349">
        <v>9</v>
      </c>
      <c r="N1" s="1503"/>
      <c r="O1" s="2378" t="s">
        <v>6613</v>
      </c>
      <c r="P1" s="2379" t="s">
        <v>5460</v>
      </c>
    </row>
    <row r="2" spans="1:16" ht="13.15" x14ac:dyDescent="0.35">
      <c r="A2" s="1342">
        <v>2</v>
      </c>
      <c r="B2" s="2067" t="str">
        <f t="shared" ref="B2:B27" si="0">IF(TRU_IND&gt;1,IF(HLOOKUP(TRU_IND-1,TRU_RANGE,A2)="","",HLOOKUP(TRU_IND-1,TRU_RANGE,A2)),"")</f>
        <v/>
      </c>
      <c r="C2" s="2070" t="s">
        <v>1543</v>
      </c>
      <c r="D2" s="1987" t="s">
        <v>6193</v>
      </c>
      <c r="E2" s="2387"/>
      <c r="F2" s="2387">
        <v>10200</v>
      </c>
      <c r="G2" s="2387"/>
      <c r="H2" s="2384">
        <v>44507</v>
      </c>
      <c r="I2" s="2391"/>
      <c r="J2" s="2391"/>
      <c r="K2" s="2391"/>
      <c r="L2" s="2384"/>
      <c r="M2" s="2385"/>
      <c r="N2" s="1503"/>
      <c r="O2" s="2380" t="s">
        <v>6617</v>
      </c>
      <c r="P2" s="2379"/>
    </row>
    <row r="3" spans="1:16" x14ac:dyDescent="0.35">
      <c r="A3" s="1342">
        <v>3</v>
      </c>
      <c r="B3" s="2067" t="str">
        <f t="shared" si="0"/>
        <v/>
      </c>
      <c r="C3" s="2070" t="s">
        <v>1544</v>
      </c>
      <c r="D3" s="1987" t="s">
        <v>6194</v>
      </c>
      <c r="E3" s="2383"/>
      <c r="F3" s="2383"/>
      <c r="G3" s="2383"/>
      <c r="H3" s="2384">
        <v>4500</v>
      </c>
      <c r="I3" s="2391"/>
      <c r="J3" s="2391"/>
      <c r="K3" s="2391"/>
      <c r="L3" s="2384"/>
      <c r="M3" s="2385"/>
      <c r="N3" s="1503"/>
      <c r="O3" s="2380" t="s">
        <v>6657</v>
      </c>
      <c r="P3" s="2381"/>
    </row>
    <row r="4" spans="1:16" x14ac:dyDescent="0.35">
      <c r="A4" s="1342">
        <v>4</v>
      </c>
      <c r="B4" s="2067" t="str">
        <f t="shared" si="0"/>
        <v/>
      </c>
      <c r="C4" s="2070" t="s">
        <v>1545</v>
      </c>
      <c r="D4" s="1987" t="s">
        <v>6195</v>
      </c>
      <c r="E4" s="2383"/>
      <c r="F4" s="2383">
        <v>10568</v>
      </c>
      <c r="G4" s="2383"/>
      <c r="H4" s="2384"/>
      <c r="I4" s="2391"/>
      <c r="J4" s="2391"/>
      <c r="K4" s="2391">
        <v>137238</v>
      </c>
      <c r="L4" s="2384"/>
      <c r="M4" s="2385"/>
      <c r="N4" s="1503"/>
      <c r="O4" s="2380" t="s">
        <v>6617</v>
      </c>
      <c r="P4" s="2381"/>
    </row>
    <row r="5" spans="1:16" x14ac:dyDescent="0.35">
      <c r="A5" s="1342">
        <v>5</v>
      </c>
      <c r="B5" s="2067" t="str">
        <f t="shared" si="0"/>
        <v/>
      </c>
      <c r="C5" s="2070" t="s">
        <v>1546</v>
      </c>
      <c r="D5" s="1987" t="s">
        <v>6196</v>
      </c>
      <c r="E5" s="2383"/>
      <c r="F5" s="2388">
        <v>800</v>
      </c>
      <c r="G5" s="2383"/>
      <c r="H5" s="2384"/>
      <c r="I5" s="2391"/>
      <c r="J5" s="2391"/>
      <c r="K5" s="2391">
        <v>15726</v>
      </c>
      <c r="L5" s="2384"/>
      <c r="M5" s="2385"/>
      <c r="N5" s="1503"/>
      <c r="O5" s="2380" t="s">
        <v>6617</v>
      </c>
      <c r="P5" s="2381"/>
    </row>
    <row r="6" spans="1:16" x14ac:dyDescent="0.35">
      <c r="A6" s="1342">
        <v>6</v>
      </c>
      <c r="B6" s="2067" t="str">
        <f t="shared" si="0"/>
        <v/>
      </c>
      <c r="C6" s="2070" t="s">
        <v>1547</v>
      </c>
      <c r="D6" s="1987" t="s">
        <v>6197</v>
      </c>
      <c r="E6" s="2383"/>
      <c r="F6" s="2389">
        <v>2278</v>
      </c>
      <c r="G6" s="2383"/>
      <c r="H6" s="2384"/>
      <c r="I6" s="2391"/>
      <c r="J6" s="2391"/>
      <c r="K6" s="2391">
        <v>26811</v>
      </c>
      <c r="L6" s="2384"/>
      <c r="M6" s="2385"/>
      <c r="N6" s="1503"/>
      <c r="O6" s="2380" t="s">
        <v>6617</v>
      </c>
      <c r="P6" s="2381"/>
    </row>
    <row r="7" spans="1:16" x14ac:dyDescent="0.35">
      <c r="A7" s="1342">
        <v>7</v>
      </c>
      <c r="B7" s="2067" t="str">
        <f t="shared" si="0"/>
        <v/>
      </c>
      <c r="C7" s="2072" t="s">
        <v>1548</v>
      </c>
      <c r="D7" s="1797" t="s">
        <v>6198</v>
      </c>
      <c r="E7" s="2075" t="s">
        <v>1237</v>
      </c>
      <c r="F7" s="2075" t="s">
        <v>1237</v>
      </c>
      <c r="G7" s="2075" t="s">
        <v>1237</v>
      </c>
      <c r="H7" s="1629" t="s">
        <v>1237</v>
      </c>
      <c r="I7" s="1627" t="s">
        <v>1237</v>
      </c>
      <c r="J7" s="1627" t="s">
        <v>1237</v>
      </c>
      <c r="K7" s="1627" t="s">
        <v>583</v>
      </c>
      <c r="L7" s="1238"/>
      <c r="M7" s="2073"/>
      <c r="N7" s="1990"/>
      <c r="O7" s="2380" t="s">
        <v>6620</v>
      </c>
      <c r="P7" s="2381"/>
    </row>
    <row r="8" spans="1:16" x14ac:dyDescent="0.35">
      <c r="A8" s="1342">
        <v>8</v>
      </c>
      <c r="B8" s="2067" t="str">
        <f t="shared" si="0"/>
        <v/>
      </c>
      <c r="C8" s="2070" t="s">
        <v>3252</v>
      </c>
      <c r="D8" s="1987" t="s">
        <v>6199</v>
      </c>
      <c r="E8" s="2382"/>
      <c r="F8" s="2382"/>
      <c r="G8" s="2383">
        <v>451</v>
      </c>
      <c r="H8" s="2384"/>
      <c r="I8" s="2391">
        <v>239</v>
      </c>
      <c r="J8" s="2391"/>
      <c r="K8" s="2391">
        <v>1476</v>
      </c>
      <c r="L8" s="2384"/>
      <c r="M8" s="2385"/>
      <c r="N8" s="1503"/>
      <c r="O8" s="2380" t="s">
        <v>6617</v>
      </c>
      <c r="P8" s="2381"/>
    </row>
    <row r="9" spans="1:16" x14ac:dyDescent="0.35">
      <c r="A9" s="1342">
        <v>9</v>
      </c>
      <c r="B9" s="2067" t="str">
        <f t="shared" si="0"/>
        <v/>
      </c>
      <c r="C9" s="2070" t="s">
        <v>3253</v>
      </c>
      <c r="D9" s="1987" t="s">
        <v>6200</v>
      </c>
      <c r="E9" s="2386"/>
      <c r="F9" s="2386"/>
      <c r="G9" s="2386">
        <v>116</v>
      </c>
      <c r="H9" s="2384"/>
      <c r="I9" s="2391">
        <v>523</v>
      </c>
      <c r="J9" s="2391">
        <v>800</v>
      </c>
      <c r="K9" s="2391">
        <v>200</v>
      </c>
      <c r="L9" s="2384"/>
      <c r="M9" s="2385"/>
      <c r="N9" s="1503"/>
      <c r="O9" s="2380" t="s">
        <v>6617</v>
      </c>
      <c r="P9" s="2381"/>
    </row>
    <row r="10" spans="1:16" x14ac:dyDescent="0.35">
      <c r="A10" s="1342">
        <v>10</v>
      </c>
      <c r="B10" s="2067" t="str">
        <f t="shared" si="0"/>
        <v/>
      </c>
      <c r="C10" s="2070" t="s">
        <v>3254</v>
      </c>
      <c r="D10" s="1987" t="s">
        <v>6201</v>
      </c>
      <c r="E10" s="2386"/>
      <c r="F10" s="2386"/>
      <c r="G10" s="2386">
        <v>59</v>
      </c>
      <c r="H10" s="2384"/>
      <c r="I10" s="2391"/>
      <c r="J10" s="2391"/>
      <c r="K10" s="2391">
        <v>23696</v>
      </c>
      <c r="L10" s="2384"/>
      <c r="M10" s="2385"/>
      <c r="N10" s="1503"/>
      <c r="O10" s="2380" t="s">
        <v>6617</v>
      </c>
      <c r="P10" s="2381"/>
    </row>
    <row r="11" spans="1:16" x14ac:dyDescent="0.35">
      <c r="A11" s="1342">
        <v>11</v>
      </c>
      <c r="B11" s="2067" t="str">
        <f t="shared" si="0"/>
        <v/>
      </c>
      <c r="C11" s="2070" t="s">
        <v>3255</v>
      </c>
      <c r="D11" s="1987" t="s">
        <v>6202</v>
      </c>
      <c r="E11" s="2386"/>
      <c r="F11" s="2386"/>
      <c r="G11" s="2386">
        <v>3200</v>
      </c>
      <c r="H11" s="2384"/>
      <c r="I11" s="2391"/>
      <c r="J11" s="2391"/>
      <c r="K11" s="2391"/>
      <c r="L11" s="2384"/>
      <c r="M11" s="2385"/>
      <c r="N11" s="1503"/>
      <c r="O11" s="2380" t="s">
        <v>6617</v>
      </c>
      <c r="P11" s="2381"/>
    </row>
    <row r="12" spans="1:16" x14ac:dyDescent="0.35">
      <c r="A12" s="1342">
        <v>12</v>
      </c>
      <c r="B12" s="2067" t="str">
        <f t="shared" si="0"/>
        <v/>
      </c>
      <c r="C12" s="2070" t="s">
        <v>3256</v>
      </c>
      <c r="D12" s="1987" t="s">
        <v>6203</v>
      </c>
      <c r="E12" s="2386"/>
      <c r="F12" s="2386"/>
      <c r="G12" s="2386"/>
      <c r="H12" s="2384"/>
      <c r="I12" s="2391">
        <v>40</v>
      </c>
      <c r="J12" s="2391">
        <v>1762</v>
      </c>
      <c r="K12" s="2391"/>
      <c r="L12" s="2384"/>
      <c r="M12" s="2385"/>
      <c r="N12" s="1503"/>
      <c r="O12" s="2380" t="s">
        <v>6617</v>
      </c>
      <c r="P12" s="2381"/>
    </row>
    <row r="13" spans="1:16" x14ac:dyDescent="0.35">
      <c r="A13" s="1342">
        <v>13</v>
      </c>
      <c r="B13" s="2067" t="str">
        <f t="shared" si="0"/>
        <v/>
      </c>
      <c r="C13" s="2070" t="s">
        <v>2939</v>
      </c>
      <c r="D13" s="1987" t="s">
        <v>6204</v>
      </c>
      <c r="E13" s="2386"/>
      <c r="F13" s="2386"/>
      <c r="G13" s="2386"/>
      <c r="H13" s="2384"/>
      <c r="I13" s="2391">
        <v>6034</v>
      </c>
      <c r="J13" s="2391">
        <v>4468</v>
      </c>
      <c r="K13" s="2391"/>
      <c r="L13" s="2384"/>
      <c r="M13" s="2385"/>
      <c r="N13" s="1503"/>
      <c r="O13" s="2380" t="s">
        <v>6617</v>
      </c>
      <c r="P13" s="2381"/>
    </row>
    <row r="14" spans="1:16" x14ac:dyDescent="0.35">
      <c r="A14" s="1342">
        <v>14</v>
      </c>
      <c r="B14" s="2067" t="str">
        <f t="shared" si="0"/>
        <v/>
      </c>
      <c r="C14" s="2070" t="s">
        <v>1838</v>
      </c>
      <c r="D14" s="1987" t="s">
        <v>6205</v>
      </c>
      <c r="E14" s="2386"/>
      <c r="F14" s="2386"/>
      <c r="G14" s="2386">
        <v>246</v>
      </c>
      <c r="H14" s="2384"/>
      <c r="I14" s="2391"/>
      <c r="J14" s="2391"/>
      <c r="K14" s="2391"/>
      <c r="L14" s="2384"/>
      <c r="M14" s="2385"/>
      <c r="N14" s="1503"/>
      <c r="O14" s="2380" t="s">
        <v>6617</v>
      </c>
      <c r="P14" s="2381"/>
    </row>
    <row r="15" spans="1:16" x14ac:dyDescent="0.35">
      <c r="A15" s="1342">
        <v>15</v>
      </c>
      <c r="B15" s="2067" t="str">
        <f t="shared" si="0"/>
        <v/>
      </c>
      <c r="C15" s="2070" t="s">
        <v>1839</v>
      </c>
      <c r="D15" s="1987" t="s">
        <v>6206</v>
      </c>
      <c r="E15" s="2386"/>
      <c r="F15" s="2386"/>
      <c r="G15" s="2386"/>
      <c r="H15" s="2384"/>
      <c r="I15" s="2391">
        <v>48</v>
      </c>
      <c r="J15" s="2391"/>
      <c r="K15" s="2391"/>
      <c r="L15" s="2384"/>
      <c r="M15" s="2385"/>
      <c r="N15" s="1503"/>
      <c r="O15" s="2380" t="s">
        <v>6617</v>
      </c>
      <c r="P15" s="2381"/>
    </row>
    <row r="16" spans="1:16" x14ac:dyDescent="0.35">
      <c r="A16" s="1342">
        <v>16</v>
      </c>
      <c r="B16" s="2067" t="str">
        <f t="shared" si="0"/>
        <v/>
      </c>
      <c r="C16" s="2070" t="s">
        <v>1840</v>
      </c>
      <c r="D16" s="1987" t="s">
        <v>6207</v>
      </c>
      <c r="E16" s="2386">
        <v>1808</v>
      </c>
      <c r="F16" s="2386"/>
      <c r="G16" s="2386"/>
      <c r="H16" s="2384"/>
      <c r="I16" s="2391"/>
      <c r="J16" s="2391"/>
      <c r="K16" s="2391"/>
      <c r="L16" s="2384"/>
      <c r="M16" s="2385"/>
      <c r="N16" s="1503"/>
      <c r="O16" s="2380" t="s">
        <v>6617</v>
      </c>
      <c r="P16" s="2381"/>
    </row>
    <row r="17" spans="1:16" x14ac:dyDescent="0.35">
      <c r="A17" s="1342">
        <v>17</v>
      </c>
      <c r="B17" s="2067" t="str">
        <f t="shared" si="0"/>
        <v/>
      </c>
      <c r="C17" s="2070" t="s">
        <v>1841</v>
      </c>
      <c r="D17" s="1987" t="s">
        <v>6208</v>
      </c>
      <c r="E17" s="2386">
        <v>1379</v>
      </c>
      <c r="F17" s="2386"/>
      <c r="G17" s="2386"/>
      <c r="H17" s="2384"/>
      <c r="I17" s="2391"/>
      <c r="J17" s="2391"/>
      <c r="K17" s="2391"/>
      <c r="L17" s="2384"/>
      <c r="M17" s="2385"/>
      <c r="N17" s="1503"/>
      <c r="O17" s="2380" t="s">
        <v>6617</v>
      </c>
      <c r="P17" s="2381"/>
    </row>
    <row r="18" spans="1:16" x14ac:dyDescent="0.35">
      <c r="A18" s="1342">
        <v>18</v>
      </c>
      <c r="B18" s="2067" t="str">
        <f t="shared" si="0"/>
        <v/>
      </c>
      <c r="C18" s="2070" t="s">
        <v>1842</v>
      </c>
      <c r="D18" s="1987" t="s">
        <v>6209</v>
      </c>
      <c r="E18" s="2386">
        <v>122</v>
      </c>
      <c r="F18" s="2386"/>
      <c r="G18" s="2386"/>
      <c r="H18" s="2384"/>
      <c r="I18" s="2391"/>
      <c r="J18" s="2391"/>
      <c r="K18" s="2391"/>
      <c r="L18" s="2384"/>
      <c r="M18" s="2385"/>
      <c r="N18" s="1503"/>
      <c r="O18" s="2380" t="s">
        <v>6617</v>
      </c>
      <c r="P18" s="2381"/>
    </row>
    <row r="19" spans="1:16" x14ac:dyDescent="0.35">
      <c r="A19" s="1342">
        <v>19</v>
      </c>
      <c r="B19" s="2067" t="str">
        <f t="shared" si="0"/>
        <v/>
      </c>
      <c r="C19" s="2070" t="s">
        <v>24</v>
      </c>
      <c r="D19" s="1987" t="s">
        <v>6210</v>
      </c>
      <c r="E19" s="2386">
        <v>259</v>
      </c>
      <c r="F19" s="2386"/>
      <c r="G19" s="2386"/>
      <c r="H19" s="2384"/>
      <c r="I19" s="2391"/>
      <c r="J19" s="2391">
        <v>11984</v>
      </c>
      <c r="K19" s="2391"/>
      <c r="L19" s="2384"/>
      <c r="M19" s="2385"/>
      <c r="N19" s="1503"/>
      <c r="O19" s="2380" t="s">
        <v>6617</v>
      </c>
      <c r="P19" s="2381"/>
    </row>
    <row r="20" spans="1:16" x14ac:dyDescent="0.35">
      <c r="A20" s="1342">
        <v>20</v>
      </c>
      <c r="B20" s="2067" t="str">
        <f t="shared" si="0"/>
        <v/>
      </c>
      <c r="C20" s="2070" t="s">
        <v>25</v>
      </c>
      <c r="D20" s="1987" t="s">
        <v>6211</v>
      </c>
      <c r="E20" s="2386">
        <v>400</v>
      </c>
      <c r="F20" s="2386"/>
      <c r="G20" s="2386"/>
      <c r="H20" s="2384"/>
      <c r="I20" s="2391"/>
      <c r="J20" s="2391"/>
      <c r="K20" s="2391"/>
      <c r="L20" s="2384"/>
      <c r="M20" s="2385"/>
      <c r="N20" s="1503"/>
      <c r="O20" s="2380" t="s">
        <v>6617</v>
      </c>
      <c r="P20" s="2381"/>
    </row>
    <row r="21" spans="1:16" x14ac:dyDescent="0.35">
      <c r="A21" s="1342">
        <v>21</v>
      </c>
      <c r="B21" s="2067" t="str">
        <f t="shared" si="0"/>
        <v/>
      </c>
      <c r="C21" s="2070" t="s">
        <v>26</v>
      </c>
      <c r="D21" s="1987" t="s">
        <v>6212</v>
      </c>
      <c r="E21" s="2386">
        <v>90</v>
      </c>
      <c r="F21" s="2386"/>
      <c r="G21" s="2386"/>
      <c r="H21" s="2384"/>
      <c r="I21" s="2391"/>
      <c r="J21" s="2391"/>
      <c r="K21" s="2391"/>
      <c r="L21" s="2384"/>
      <c r="M21" s="2385"/>
      <c r="N21" s="1503"/>
      <c r="O21" s="2380" t="s">
        <v>6617</v>
      </c>
      <c r="P21" s="2381"/>
    </row>
    <row r="22" spans="1:16" x14ac:dyDescent="0.35">
      <c r="A22" s="2711">
        <v>22</v>
      </c>
      <c r="B22" s="2712" t="str">
        <f t="shared" si="0"/>
        <v/>
      </c>
      <c r="C22" s="2713" t="s">
        <v>27</v>
      </c>
      <c r="D22" s="2714" t="s">
        <v>6213</v>
      </c>
      <c r="E22" s="2715"/>
      <c r="F22" s="2715"/>
      <c r="G22" s="2715"/>
      <c r="H22" s="2716"/>
      <c r="I22" s="2716"/>
      <c r="J22" s="2716"/>
      <c r="K22" s="2716"/>
      <c r="L22" s="2716"/>
      <c r="M22" s="2717"/>
      <c r="N22" s="1503"/>
      <c r="O22" s="2805" t="s">
        <v>6660</v>
      </c>
      <c r="P22" s="2805" t="s">
        <v>6660</v>
      </c>
    </row>
    <row r="23" spans="1:16" x14ac:dyDescent="0.35">
      <c r="A23" s="1342">
        <v>23</v>
      </c>
      <c r="B23" s="2067" t="str">
        <f t="shared" si="0"/>
        <v/>
      </c>
      <c r="C23" s="2070" t="s">
        <v>28</v>
      </c>
      <c r="D23" s="1987" t="s">
        <v>6214</v>
      </c>
      <c r="E23" s="2386"/>
      <c r="F23" s="2386">
        <v>230</v>
      </c>
      <c r="G23" s="2386"/>
      <c r="H23" s="2384">
        <v>55640</v>
      </c>
      <c r="I23" s="2391"/>
      <c r="J23" s="2391">
        <v>33799</v>
      </c>
      <c r="K23" s="2391"/>
      <c r="L23" s="2384"/>
      <c r="M23" s="2385"/>
      <c r="N23" s="1503"/>
      <c r="O23" s="2380" t="s">
        <v>6617</v>
      </c>
      <c r="P23" s="2381"/>
    </row>
    <row r="24" spans="1:16" x14ac:dyDescent="0.35">
      <c r="A24" s="1342">
        <v>24</v>
      </c>
      <c r="B24" s="2067" t="str">
        <f t="shared" si="0"/>
        <v/>
      </c>
      <c r="C24" s="2070" t="s">
        <v>29</v>
      </c>
      <c r="D24" s="1987" t="s">
        <v>6215</v>
      </c>
      <c r="E24" s="2386"/>
      <c r="F24" s="2386"/>
      <c r="G24" s="2386"/>
      <c r="H24" s="2384"/>
      <c r="I24" s="2391"/>
      <c r="J24" s="2391">
        <v>2716</v>
      </c>
      <c r="K24" s="2391"/>
      <c r="L24" s="2384"/>
      <c r="M24" s="2385"/>
      <c r="N24" s="1503"/>
      <c r="O24" s="2380" t="s">
        <v>6617</v>
      </c>
      <c r="P24" s="2381"/>
    </row>
    <row r="25" spans="1:16" x14ac:dyDescent="0.35">
      <c r="A25" s="1342">
        <v>25</v>
      </c>
      <c r="B25" s="2067" t="str">
        <f t="shared" si="0"/>
        <v/>
      </c>
      <c r="C25" s="2070" t="s">
        <v>30</v>
      </c>
      <c r="D25" s="1987" t="s">
        <v>6216</v>
      </c>
      <c r="E25" s="2386"/>
      <c r="F25" s="2386"/>
      <c r="G25" s="2386"/>
      <c r="H25" s="2384">
        <v>1850</v>
      </c>
      <c r="I25" s="2391"/>
      <c r="J25" s="2391"/>
      <c r="K25" s="2391"/>
      <c r="L25" s="2384"/>
      <c r="M25" s="2385"/>
      <c r="N25" s="1503"/>
      <c r="O25" s="2380" t="s">
        <v>6617</v>
      </c>
      <c r="P25" s="2381"/>
    </row>
    <row r="26" spans="1:16" x14ac:dyDescent="0.35">
      <c r="A26" s="2744">
        <v>26</v>
      </c>
      <c r="B26" s="2745" t="str">
        <f t="shared" si="0"/>
        <v/>
      </c>
      <c r="C26" s="2799" t="s">
        <v>1074</v>
      </c>
      <c r="D26" s="2800" t="s">
        <v>7687</v>
      </c>
      <c r="E26" s="2801"/>
      <c r="F26" s="2801"/>
      <c r="G26" s="2801"/>
      <c r="H26" s="2802"/>
      <c r="I26" s="2802"/>
      <c r="J26" s="2802"/>
      <c r="K26" s="2802">
        <v>1200</v>
      </c>
      <c r="L26" s="2802"/>
      <c r="M26" s="2803"/>
      <c r="N26" s="2795"/>
      <c r="O26" s="3582" t="s">
        <v>6617</v>
      </c>
      <c r="P26" s="2804"/>
    </row>
    <row r="27" spans="1:16" ht="13.15" thickBot="1" x14ac:dyDescent="0.4">
      <c r="A27" s="1342">
        <v>27</v>
      </c>
      <c r="B27" s="2067" t="str">
        <f t="shared" si="0"/>
        <v/>
      </c>
      <c r="C27" s="2806" t="s">
        <v>7026</v>
      </c>
      <c r="D27" s="2074" t="s">
        <v>6217</v>
      </c>
      <c r="E27" s="2076"/>
      <c r="F27" s="2076"/>
      <c r="G27" s="2076"/>
      <c r="H27" s="1555"/>
      <c r="I27" s="2718"/>
      <c r="J27" s="2718"/>
      <c r="K27" s="2718"/>
      <c r="L27" s="1555"/>
      <c r="M27" s="1762"/>
      <c r="N27" s="1503"/>
      <c r="O27" s="2380" t="s">
        <v>6621</v>
      </c>
      <c r="P27" s="2381"/>
    </row>
  </sheetData>
  <phoneticPr fontId="68" type="noConversion"/>
  <dataValidations count="1">
    <dataValidation type="list" allowBlank="1" showInputMessage="1" showErrorMessage="1" sqref="O2:O21 O23:O27">
      <formula1>allowedTypes</formula1>
    </dataValidation>
  </dataValidations>
  <pageMargins left="0.196850393700787" right="0.196850393700787" top="0.196850393700787" bottom="0.196850393700787" header="0" footer="0"/>
  <pageSetup paperSize="9"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FFFF99"/>
  </sheetPr>
  <dimension ref="A1:V131"/>
  <sheetViews>
    <sheetView showGridLines="0" workbookViewId="0">
      <pane xSplit="3" ySplit="1" topLeftCell="E83" activePane="bottomRight" state="frozen"/>
      <selection pane="topRight" activeCell="D1" sqref="D1"/>
      <selection pane="bottomLeft" activeCell="A2" sqref="A2"/>
      <selection pane="bottomRight" activeCell="N84" sqref="N84:N85"/>
    </sheetView>
  </sheetViews>
  <sheetFormatPr defaultColWidth="9.1328125" defaultRowHeight="11.65" x14ac:dyDescent="0.35"/>
  <cols>
    <col min="1" max="1" width="3.86328125" style="1341" bestFit="1" customWidth="1"/>
    <col min="2" max="2" width="11" style="206" customWidth="1"/>
    <col min="3" max="3" width="9.1328125" style="408"/>
    <col min="4" max="4" width="36.3984375" style="1353" customWidth="1"/>
    <col min="5" max="7" width="10.86328125" style="206" bestFit="1" customWidth="1"/>
    <col min="8" max="8" width="10.73046875" style="206" customWidth="1"/>
    <col min="9" max="9" width="10.86328125" style="206" bestFit="1" customWidth="1"/>
    <col min="10" max="10" width="11" style="206" bestFit="1" customWidth="1"/>
    <col min="11" max="11" width="10.86328125" style="206" bestFit="1" customWidth="1"/>
    <col min="12" max="13" width="10" style="206" bestFit="1" customWidth="1"/>
    <col min="14" max="14" width="9.86328125" style="206" bestFit="1" customWidth="1"/>
    <col min="15" max="15" width="11" style="206" bestFit="1" customWidth="1"/>
    <col min="16" max="16" width="11" style="206" customWidth="1"/>
    <col min="17" max="17" width="11" style="206" bestFit="1" customWidth="1"/>
    <col min="18" max="18" width="2.1328125" style="206" customWidth="1"/>
    <col min="19" max="19" width="22.73046875" style="4" customWidth="1"/>
    <col min="20" max="20" width="60.1328125" style="206" customWidth="1"/>
    <col min="21" max="21" width="10.59765625" style="206" bestFit="1" customWidth="1"/>
    <col min="22" max="22" width="35.1328125" style="206" bestFit="1" customWidth="1"/>
    <col min="23" max="16384" width="9.1328125" style="206"/>
  </cols>
  <sheetData>
    <row r="1" spans="1:22" ht="13.5" thickBot="1" x14ac:dyDescent="0.45">
      <c r="E1" s="1613">
        <v>1</v>
      </c>
      <c r="F1" s="1613">
        <v>2</v>
      </c>
      <c r="G1" s="1613">
        <v>3</v>
      </c>
      <c r="H1" s="1613">
        <v>4</v>
      </c>
      <c r="I1" s="1613">
        <v>5</v>
      </c>
      <c r="J1" s="1613">
        <v>6</v>
      </c>
      <c r="K1" s="1613">
        <v>7</v>
      </c>
      <c r="L1" s="1613">
        <v>8</v>
      </c>
      <c r="M1" s="1613">
        <v>9</v>
      </c>
      <c r="N1" s="1261">
        <v>10</v>
      </c>
      <c r="O1" s="2904">
        <v>11</v>
      </c>
      <c r="P1" s="3685">
        <v>12</v>
      </c>
      <c r="Q1" s="1613">
        <v>13</v>
      </c>
      <c r="R1" s="1261"/>
      <c r="S1" s="2175" t="s">
        <v>6613</v>
      </c>
      <c r="T1" s="2169" t="s">
        <v>5453</v>
      </c>
      <c r="U1" s="2170" t="s">
        <v>6604</v>
      </c>
      <c r="V1" s="2171" t="s">
        <v>6607</v>
      </c>
    </row>
    <row r="2" spans="1:22" ht="13.15" x14ac:dyDescent="0.4">
      <c r="A2" s="1342" t="s">
        <v>4845</v>
      </c>
      <c r="B2" s="676" t="s">
        <v>4210</v>
      </c>
      <c r="C2" s="1614" t="s">
        <v>2951</v>
      </c>
      <c r="D2" s="1615"/>
      <c r="E2" s="1616">
        <v>1</v>
      </c>
      <c r="F2" s="1616">
        <v>2</v>
      </c>
      <c r="G2" s="1616">
        <v>3</v>
      </c>
      <c r="H2" s="1616">
        <v>4</v>
      </c>
      <c r="I2" s="1616">
        <v>5</v>
      </c>
      <c r="J2" s="1616">
        <v>6</v>
      </c>
      <c r="K2" s="1616">
        <v>7</v>
      </c>
      <c r="L2" s="1616">
        <v>8</v>
      </c>
      <c r="M2" s="1616">
        <v>9</v>
      </c>
      <c r="N2" s="1616">
        <v>10</v>
      </c>
      <c r="O2" s="1616">
        <v>11</v>
      </c>
      <c r="P2" s="1616">
        <v>12</v>
      </c>
      <c r="Q2" s="3671">
        <v>13</v>
      </c>
      <c r="R2" s="1741"/>
      <c r="S2" s="2172"/>
      <c r="T2" s="2169" t="s">
        <v>5453</v>
      </c>
      <c r="U2" s="2170" t="s">
        <v>6604</v>
      </c>
      <c r="V2" s="2171" t="s">
        <v>6607</v>
      </c>
    </row>
    <row r="3" spans="1:22" x14ac:dyDescent="0.35">
      <c r="A3" s="1342">
        <v>2</v>
      </c>
      <c r="B3" s="1612" t="str">
        <f t="shared" ref="B3:B40" si="0">IF(CGT_IND&gt;1,IF(HLOOKUP(CGT_IND-1,CGT_RANGE,A3)="","",HLOOKUP(CGT_IND-1,CGT_RANGE,A3)),"")</f>
        <v/>
      </c>
      <c r="C3" s="2179" t="s">
        <v>3899</v>
      </c>
      <c r="D3" s="1731" t="s">
        <v>5303</v>
      </c>
      <c r="E3" s="2218"/>
      <c r="F3" s="2218"/>
      <c r="G3" s="2218"/>
      <c r="H3" s="2218"/>
      <c r="I3" s="2218"/>
      <c r="J3" s="2218"/>
      <c r="K3" s="2218"/>
      <c r="L3" s="2218"/>
      <c r="M3" s="2218"/>
      <c r="N3" s="2218"/>
      <c r="O3" s="2905"/>
      <c r="P3" s="3686"/>
      <c r="Q3" s="2219"/>
      <c r="R3" s="1741"/>
      <c r="S3" s="2176" t="s">
        <v>6614</v>
      </c>
      <c r="T3" s="2163" t="s">
        <v>5812</v>
      </c>
      <c r="U3" s="2164"/>
      <c r="V3" s="2166"/>
    </row>
    <row r="4" spans="1:22" x14ac:dyDescent="0.35">
      <c r="A4" s="1342">
        <v>3</v>
      </c>
      <c r="B4" s="1612" t="str">
        <f t="shared" si="0"/>
        <v/>
      </c>
      <c r="C4" s="2179" t="s">
        <v>3109</v>
      </c>
      <c r="D4" s="1731" t="s">
        <v>5304</v>
      </c>
      <c r="E4" s="2218"/>
      <c r="F4" s="2227"/>
      <c r="G4" s="2227"/>
      <c r="H4" s="2228"/>
      <c r="I4" s="2228"/>
      <c r="J4" s="2228"/>
      <c r="K4" s="2228"/>
      <c r="L4" s="2228"/>
      <c r="M4" s="2228"/>
      <c r="N4" s="2228"/>
      <c r="O4" s="2906"/>
      <c r="P4" s="3687"/>
      <c r="Q4" s="2229"/>
      <c r="R4" s="1741"/>
      <c r="S4" s="2176" t="s">
        <v>6615</v>
      </c>
      <c r="T4" s="2165" t="s">
        <v>5454</v>
      </c>
      <c r="U4" s="2166"/>
      <c r="V4" s="2166"/>
    </row>
    <row r="5" spans="1:22" x14ac:dyDescent="0.35">
      <c r="A5" s="1342">
        <v>4</v>
      </c>
      <c r="B5" s="2279" t="str">
        <f t="shared" si="0"/>
        <v/>
      </c>
      <c r="C5" s="2181" t="s">
        <v>3110</v>
      </c>
      <c r="D5" s="1792" t="s">
        <v>5309</v>
      </c>
      <c r="E5" s="2719"/>
      <c r="F5" s="2719"/>
      <c r="G5" s="2719"/>
      <c r="H5" s="2719"/>
      <c r="I5" s="2719"/>
      <c r="J5" s="2719">
        <v>4</v>
      </c>
      <c r="K5" s="2723">
        <v>2</v>
      </c>
      <c r="L5" s="2719"/>
      <c r="M5" s="2719">
        <v>1</v>
      </c>
      <c r="N5" s="2719"/>
      <c r="O5" s="2907">
        <v>2</v>
      </c>
      <c r="P5" s="3688"/>
      <c r="Q5" s="2724"/>
      <c r="R5" s="1741"/>
      <c r="S5" s="2168" t="s">
        <v>6616</v>
      </c>
      <c r="T5" s="2167"/>
      <c r="U5" s="2732"/>
      <c r="V5" s="2732"/>
    </row>
    <row r="6" spans="1:22" x14ac:dyDescent="0.35">
      <c r="A6" s="1342">
        <v>5</v>
      </c>
      <c r="B6" s="2278" t="str">
        <f t="shared" si="0"/>
        <v/>
      </c>
      <c r="C6" s="2181" t="s">
        <v>2873</v>
      </c>
      <c r="D6" s="1792" t="s">
        <v>5310</v>
      </c>
      <c r="E6" s="1707"/>
      <c r="F6" s="1707"/>
      <c r="G6" s="1707"/>
      <c r="H6" s="1707"/>
      <c r="I6" s="1707"/>
      <c r="J6" s="1707">
        <v>625000</v>
      </c>
      <c r="K6" s="1707">
        <v>330000</v>
      </c>
      <c r="L6" s="1707"/>
      <c r="M6" s="1707">
        <v>200000</v>
      </c>
      <c r="N6" s="1707"/>
      <c r="O6" s="2908"/>
      <c r="P6" s="3689"/>
      <c r="Q6" s="2222"/>
      <c r="R6" s="1741"/>
      <c r="S6" s="2168" t="s">
        <v>6617</v>
      </c>
      <c r="T6" s="2167"/>
      <c r="U6" s="2168" t="s">
        <v>3110</v>
      </c>
      <c r="V6" s="2732"/>
    </row>
    <row r="7" spans="1:22" x14ac:dyDescent="0.35">
      <c r="A7" s="1342">
        <v>6</v>
      </c>
      <c r="B7" s="2278" t="str">
        <f t="shared" si="0"/>
        <v/>
      </c>
      <c r="C7" s="2181" t="s">
        <v>2874</v>
      </c>
      <c r="D7" s="1792" t="s">
        <v>5311</v>
      </c>
      <c r="E7" s="1707"/>
      <c r="F7" s="1707"/>
      <c r="G7" s="1707"/>
      <c r="H7" s="1707"/>
      <c r="I7" s="1707"/>
      <c r="J7" s="1707">
        <v>600900</v>
      </c>
      <c r="K7" s="1707">
        <v>390000</v>
      </c>
      <c r="L7" s="1707"/>
      <c r="M7" s="1707">
        <v>150860</v>
      </c>
      <c r="N7" s="1707"/>
      <c r="O7" s="2908"/>
      <c r="P7" s="3689"/>
      <c r="Q7" s="2222"/>
      <c r="R7" s="1741"/>
      <c r="S7" s="2168" t="s">
        <v>6617</v>
      </c>
      <c r="T7" s="2167"/>
      <c r="U7" s="2168" t="s">
        <v>1987</v>
      </c>
      <c r="V7" s="2732"/>
    </row>
    <row r="8" spans="1:22" x14ac:dyDescent="0.35">
      <c r="A8" s="1342">
        <v>7</v>
      </c>
      <c r="B8" s="2278" t="str">
        <f t="shared" si="0"/>
        <v/>
      </c>
      <c r="C8" s="2720" t="s">
        <v>2875</v>
      </c>
      <c r="D8" s="1792" t="s">
        <v>5744</v>
      </c>
      <c r="E8" s="2224"/>
      <c r="F8" s="2224"/>
      <c r="G8" s="2224"/>
      <c r="H8" s="2224"/>
      <c r="I8" s="2224"/>
      <c r="J8" s="2224">
        <v>5000</v>
      </c>
      <c r="K8" s="2224"/>
      <c r="L8" s="2224"/>
      <c r="M8" s="2223">
        <f>MAX(0,M6-M7)</f>
        <v>49140</v>
      </c>
      <c r="N8" s="2224"/>
      <c r="O8" s="2909">
        <v>38000</v>
      </c>
      <c r="P8" s="3690"/>
      <c r="Q8" s="2728"/>
      <c r="R8" s="1741"/>
      <c r="S8" s="2168" t="s">
        <v>6617</v>
      </c>
      <c r="T8" s="2167"/>
      <c r="U8" s="2168" t="s">
        <v>3110</v>
      </c>
      <c r="V8" s="2732"/>
    </row>
    <row r="9" spans="1:22" x14ac:dyDescent="0.35">
      <c r="A9" s="1342">
        <v>8</v>
      </c>
      <c r="B9" s="2278" t="str">
        <f t="shared" si="0"/>
        <v/>
      </c>
      <c r="C9" s="2720" t="s">
        <v>2876</v>
      </c>
      <c r="D9" s="1792" t="s">
        <v>5745</v>
      </c>
      <c r="E9" s="2224"/>
      <c r="F9" s="2224"/>
      <c r="G9" s="2224"/>
      <c r="H9" s="2224"/>
      <c r="I9" s="2224"/>
      <c r="J9" s="2224">
        <v>2000</v>
      </c>
      <c r="K9" s="2224">
        <v>10000</v>
      </c>
      <c r="L9" s="2224"/>
      <c r="M9" s="2224"/>
      <c r="N9" s="2224"/>
      <c r="O9" s="2909"/>
      <c r="P9" s="3690"/>
      <c r="Q9" s="2225"/>
      <c r="R9" s="1741"/>
      <c r="S9" s="2168" t="s">
        <v>6617</v>
      </c>
      <c r="T9" s="2167"/>
      <c r="U9" s="2168" t="s">
        <v>3110</v>
      </c>
      <c r="V9" s="2732"/>
    </row>
    <row r="10" spans="1:22" ht="20.65" x14ac:dyDescent="0.35">
      <c r="A10" s="1342">
        <v>9</v>
      </c>
      <c r="B10" s="2280" t="str">
        <f t="shared" si="0"/>
        <v/>
      </c>
      <c r="C10" s="2181" t="s">
        <v>2877</v>
      </c>
      <c r="D10" s="1792" t="s">
        <v>5313</v>
      </c>
      <c r="E10" s="1707"/>
      <c r="F10" s="1707"/>
      <c r="G10" s="1707"/>
      <c r="H10" s="1707"/>
      <c r="I10" s="1707"/>
      <c r="J10" s="2725" t="s">
        <v>6628</v>
      </c>
      <c r="K10" s="1707"/>
      <c r="L10" s="1707"/>
      <c r="M10" s="1707"/>
      <c r="N10" s="1707"/>
      <c r="O10" s="2908"/>
      <c r="P10" s="3689"/>
      <c r="Q10" s="2222"/>
      <c r="R10" s="1741"/>
      <c r="S10" s="2168" t="s">
        <v>6618</v>
      </c>
      <c r="T10" s="2167" t="s">
        <v>5459</v>
      </c>
      <c r="U10" s="2732"/>
      <c r="V10" s="2732"/>
    </row>
    <row r="11" spans="1:22" x14ac:dyDescent="0.35">
      <c r="A11" s="1342">
        <v>10</v>
      </c>
      <c r="B11" s="2278" t="str">
        <f t="shared" si="0"/>
        <v/>
      </c>
      <c r="C11" s="2720" t="s">
        <v>4135</v>
      </c>
      <c r="D11" s="1792" t="str">
        <f>"If you are chargeable to non-resident Capital Gains Tax (NRCGT) for the disposal of a UK residential property or properties during "&amp;tax_year&amp;", put the total gain chargeable to NRCGT after losses, or loss,  in the box"</f>
        <v>If you are chargeable to non-resident Capital Gains Tax (NRCGT) for the disposal of a UK residential property or properties during 2017-18, put the total gain chargeable to NRCGT after losses, or loss,  in the box</v>
      </c>
      <c r="E11" s="2010"/>
      <c r="F11" s="2010"/>
      <c r="G11" s="2010"/>
      <c r="H11" s="2010"/>
      <c r="I11" s="2010"/>
      <c r="J11" s="2010">
        <v>21100</v>
      </c>
      <c r="K11" s="2726">
        <v>-50000</v>
      </c>
      <c r="L11" s="2010"/>
      <c r="M11" s="2010"/>
      <c r="N11" s="2010"/>
      <c r="O11" s="2910"/>
      <c r="P11" s="3691"/>
      <c r="Q11" s="2226"/>
      <c r="R11" s="1741"/>
      <c r="S11" s="2168" t="s">
        <v>6619</v>
      </c>
      <c r="T11" s="2167" t="s">
        <v>6623</v>
      </c>
      <c r="U11" s="2168" t="s">
        <v>3110</v>
      </c>
      <c r="V11" s="2732"/>
    </row>
    <row r="12" spans="1:22" x14ac:dyDescent="0.35">
      <c r="A12" s="1342">
        <v>11</v>
      </c>
      <c r="B12" s="2278" t="str">
        <f t="shared" si="0"/>
        <v/>
      </c>
      <c r="C12" s="2720" t="s">
        <v>4136</v>
      </c>
      <c r="D12" s="1792" t="s">
        <v>5748</v>
      </c>
      <c r="E12" s="2010"/>
      <c r="F12" s="2010"/>
      <c r="G12" s="2010"/>
      <c r="H12" s="2010"/>
      <c r="I12" s="2010"/>
      <c r="J12" s="2010">
        <v>1800</v>
      </c>
      <c r="K12" s="2010"/>
      <c r="L12" s="2010"/>
      <c r="M12" s="2010"/>
      <c r="N12" s="2010"/>
      <c r="O12" s="2910"/>
      <c r="P12" s="3691"/>
      <c r="Q12" s="2226"/>
      <c r="R12" s="1741"/>
      <c r="S12" s="2168" t="s">
        <v>6617</v>
      </c>
      <c r="T12" s="2167"/>
      <c r="U12" s="2168" t="s">
        <v>4135</v>
      </c>
      <c r="V12" s="2732"/>
    </row>
    <row r="13" spans="1:22" ht="40.9" x14ac:dyDescent="0.35">
      <c r="A13" s="1342">
        <v>12</v>
      </c>
      <c r="B13" s="2278" t="str">
        <f t="shared" si="0"/>
        <v/>
      </c>
      <c r="C13" s="2181" t="s">
        <v>4137</v>
      </c>
      <c r="D13" s="1792" t="str">
        <f>"If, during "&amp;tax_year&amp;", you  submitted a Real Time Transaction Tax return for the disposal of a residential property or properties, put the overall gain or loss in the box -  include the  individual amounts of gains in  box 6 and losses in box 7"</f>
        <v>If, during 2017-18, you  submitted a Real Time Transaction Tax return for the disposal of a residential property or properties, put the overall gain or loss in the box -  include the  individual amounts of gains in  box 6 and losses in box 7</v>
      </c>
      <c r="E13" s="1707"/>
      <c r="F13" s="1707"/>
      <c r="G13" s="1707"/>
      <c r="H13" s="1707"/>
      <c r="I13" s="1707"/>
      <c r="J13" s="1707">
        <v>3000</v>
      </c>
      <c r="K13" s="2727">
        <v>-10000</v>
      </c>
      <c r="L13" s="1707"/>
      <c r="M13" s="1707"/>
      <c r="N13" s="1707"/>
      <c r="O13" s="2908"/>
      <c r="P13" s="3689"/>
      <c r="Q13" s="2222"/>
      <c r="R13" s="1741"/>
      <c r="S13" s="2168" t="s">
        <v>6619</v>
      </c>
      <c r="T13" s="2168" t="s">
        <v>6595</v>
      </c>
      <c r="U13" s="2732"/>
      <c r="V13" s="2732"/>
    </row>
    <row r="14" spans="1:22" x14ac:dyDescent="0.35">
      <c r="A14" s="1342">
        <v>13</v>
      </c>
      <c r="B14" s="2278" t="str">
        <f t="shared" si="0"/>
        <v/>
      </c>
      <c r="C14" s="2720" t="s">
        <v>4138</v>
      </c>
      <c r="D14" s="1792" t="s">
        <v>5749</v>
      </c>
      <c r="E14" s="2010"/>
      <c r="F14" s="2010"/>
      <c r="G14" s="2010"/>
      <c r="H14" s="2010"/>
      <c r="I14" s="2010"/>
      <c r="J14" s="2010">
        <v>900</v>
      </c>
      <c r="K14" s="2010"/>
      <c r="L14" s="2010"/>
      <c r="M14" s="2010"/>
      <c r="N14" s="2010"/>
      <c r="O14" s="2910"/>
      <c r="P14" s="3691"/>
      <c r="Q14" s="2226"/>
      <c r="R14" s="1741"/>
      <c r="S14" s="2168" t="s">
        <v>6617</v>
      </c>
      <c r="T14" s="2167"/>
      <c r="U14" s="2168" t="s">
        <v>4137</v>
      </c>
      <c r="V14" s="2732"/>
    </row>
    <row r="15" spans="1:22" x14ac:dyDescent="0.35">
      <c r="A15" s="1342">
        <v>14</v>
      </c>
      <c r="B15" s="2278" t="str">
        <f t="shared" si="0"/>
        <v/>
      </c>
      <c r="C15" s="2181" t="s">
        <v>4139</v>
      </c>
      <c r="D15" s="1792" t="s">
        <v>5747</v>
      </c>
      <c r="E15" s="1707"/>
      <c r="F15" s="1707"/>
      <c r="G15" s="1707"/>
      <c r="H15" s="1707"/>
      <c r="I15" s="1707"/>
      <c r="J15" s="1707"/>
      <c r="K15" s="1707"/>
      <c r="L15" s="1707"/>
      <c r="M15" s="1707"/>
      <c r="N15" s="1707"/>
      <c r="O15" s="2230">
        <v>38000</v>
      </c>
      <c r="P15" s="3692"/>
      <c r="Q15" s="2729"/>
      <c r="R15" s="1741"/>
      <c r="S15" s="2168" t="s">
        <v>6617</v>
      </c>
      <c r="T15" s="2167"/>
      <c r="U15" s="2732"/>
      <c r="V15" s="2732"/>
    </row>
    <row r="16" spans="1:22" x14ac:dyDescent="0.35">
      <c r="A16" s="1342">
        <v>15</v>
      </c>
      <c r="B16" s="2279" t="str">
        <f t="shared" si="0"/>
        <v/>
      </c>
      <c r="C16" s="2181" t="s">
        <v>4140</v>
      </c>
      <c r="D16" s="1792" t="s">
        <v>5309</v>
      </c>
      <c r="E16" s="2333"/>
      <c r="F16" s="3070">
        <v>2</v>
      </c>
      <c r="G16" s="3070">
        <v>1</v>
      </c>
      <c r="H16" s="2333">
        <v>1</v>
      </c>
      <c r="I16" s="2334"/>
      <c r="J16" s="2333">
        <v>1</v>
      </c>
      <c r="K16" s="3070">
        <v>4</v>
      </c>
      <c r="L16" s="2334"/>
      <c r="M16" s="2334"/>
      <c r="N16" s="2334"/>
      <c r="O16" s="2911"/>
      <c r="P16" s="3693"/>
      <c r="Q16" s="3738">
        <v>1</v>
      </c>
      <c r="R16" s="1741"/>
      <c r="S16" s="2168" t="s">
        <v>6616</v>
      </c>
      <c r="T16" s="2167"/>
      <c r="U16" s="2732"/>
      <c r="V16" s="2732"/>
    </row>
    <row r="17" spans="1:22" x14ac:dyDescent="0.35">
      <c r="A17" s="1342">
        <v>16</v>
      </c>
      <c r="B17" s="2278" t="str">
        <f t="shared" si="0"/>
        <v/>
      </c>
      <c r="C17" s="2181" t="s">
        <v>4141</v>
      </c>
      <c r="D17" s="1792" t="s">
        <v>5310</v>
      </c>
      <c r="E17" s="2230"/>
      <c r="F17" s="3071">
        <v>37000</v>
      </c>
      <c r="G17" s="3071">
        <v>12000</v>
      </c>
      <c r="H17" s="2230">
        <v>212000</v>
      </c>
      <c r="I17" s="2230"/>
      <c r="J17" s="2230">
        <v>129000</v>
      </c>
      <c r="K17" s="3071">
        <v>40000</v>
      </c>
      <c r="L17" s="2230"/>
      <c r="M17" s="2230"/>
      <c r="N17" s="2230"/>
      <c r="O17" s="2912"/>
      <c r="P17" s="3692"/>
      <c r="Q17" s="3739">
        <v>30000</v>
      </c>
      <c r="R17" s="1741"/>
      <c r="S17" s="2168" t="s">
        <v>6617</v>
      </c>
      <c r="T17" s="2167"/>
      <c r="U17" s="2168" t="s">
        <v>4140</v>
      </c>
      <c r="V17" s="2732"/>
    </row>
    <row r="18" spans="1:22" x14ac:dyDescent="0.35">
      <c r="A18" s="1342">
        <v>17</v>
      </c>
      <c r="B18" s="2278" t="str">
        <f t="shared" si="0"/>
        <v/>
      </c>
      <c r="C18" s="2181" t="s">
        <v>2932</v>
      </c>
      <c r="D18" s="1792" t="s">
        <v>5311</v>
      </c>
      <c r="E18" s="2230"/>
      <c r="F18" s="3071">
        <v>12000</v>
      </c>
      <c r="G18" s="3071"/>
      <c r="H18" s="2230">
        <v>197000</v>
      </c>
      <c r="I18" s="2230"/>
      <c r="J18" s="2230">
        <v>56000</v>
      </c>
      <c r="K18" s="3071">
        <v>4000</v>
      </c>
      <c r="L18" s="2230"/>
      <c r="M18" s="2230"/>
      <c r="N18" s="2230"/>
      <c r="O18" s="2912"/>
      <c r="P18" s="3692"/>
      <c r="Q18" s="3739">
        <v>17000</v>
      </c>
      <c r="R18" s="1741"/>
      <c r="S18" s="2168" t="s">
        <v>6617</v>
      </c>
      <c r="T18" s="2167" t="s">
        <v>5458</v>
      </c>
      <c r="U18" s="2732"/>
      <c r="V18" s="2732"/>
    </row>
    <row r="19" spans="1:22" x14ac:dyDescent="0.35">
      <c r="A19" s="1342">
        <v>18</v>
      </c>
      <c r="B19" s="2278" t="str">
        <f t="shared" si="0"/>
        <v/>
      </c>
      <c r="C19" s="2720" t="s">
        <v>2933</v>
      </c>
      <c r="D19" s="1792" t="s">
        <v>5750</v>
      </c>
      <c r="E19" s="2224"/>
      <c r="F19" s="3072">
        <f>MAX(0,F17-F18)</f>
        <v>25000</v>
      </c>
      <c r="G19" s="3072">
        <f>MAX(0,G17-G18)</f>
        <v>12000</v>
      </c>
      <c r="H19" s="2223">
        <f>MAX(0,H17-H18)</f>
        <v>15000</v>
      </c>
      <c r="I19" s="2224"/>
      <c r="J19" s="2223">
        <f>MAX(0,J17-J18)</f>
        <v>73000</v>
      </c>
      <c r="K19" s="3072">
        <f>MAX(0,K17-K18)</f>
        <v>36000</v>
      </c>
      <c r="L19" s="2224"/>
      <c r="M19" s="2224"/>
      <c r="N19" s="2224"/>
      <c r="O19" s="2909"/>
      <c r="P19" s="3690"/>
      <c r="Q19" s="3740">
        <v>13000</v>
      </c>
      <c r="R19" s="1741"/>
      <c r="S19" s="2168" t="s">
        <v>6617</v>
      </c>
      <c r="T19" s="2167"/>
      <c r="U19" s="2168" t="s">
        <v>4140</v>
      </c>
      <c r="V19" s="2732"/>
    </row>
    <row r="20" spans="1:22" x14ac:dyDescent="0.35">
      <c r="A20" s="1342">
        <v>19</v>
      </c>
      <c r="B20" s="2278" t="str">
        <f t="shared" si="0"/>
        <v/>
      </c>
      <c r="C20" s="2720" t="s">
        <v>2934</v>
      </c>
      <c r="D20" s="1792" t="s">
        <v>5315</v>
      </c>
      <c r="E20" s="2233"/>
      <c r="F20" s="2233"/>
      <c r="G20" s="2233"/>
      <c r="H20" s="2233">
        <v>8000</v>
      </c>
      <c r="I20" s="2234"/>
      <c r="J20" s="2234"/>
      <c r="K20" s="2234"/>
      <c r="L20" s="2234"/>
      <c r="M20" s="2234"/>
      <c r="N20" s="2234"/>
      <c r="O20" s="2913"/>
      <c r="P20" s="3694">
        <v>17654</v>
      </c>
      <c r="Q20" s="2944"/>
      <c r="R20" s="1741"/>
      <c r="S20" s="2168" t="s">
        <v>6617</v>
      </c>
      <c r="T20" s="2167"/>
      <c r="U20" s="2732"/>
      <c r="V20" s="2732"/>
    </row>
    <row r="21" spans="1:22" x14ac:dyDescent="0.35">
      <c r="A21" s="1342">
        <v>20</v>
      </c>
      <c r="B21" s="2278" t="str">
        <f t="shared" si="0"/>
        <v/>
      </c>
      <c r="C21" s="2721" t="s">
        <v>3214</v>
      </c>
      <c r="D21" s="1792" t="s">
        <v>5643</v>
      </c>
      <c r="E21" s="2224"/>
      <c r="F21" s="2224"/>
      <c r="G21" s="2224"/>
      <c r="H21" s="2224"/>
      <c r="I21" s="2224"/>
      <c r="J21" s="2224"/>
      <c r="K21" s="2224"/>
      <c r="L21" s="2224"/>
      <c r="M21" s="2224"/>
      <c r="N21" s="2224"/>
      <c r="O21" s="2909"/>
      <c r="P21" s="3690"/>
      <c r="Q21" s="2225"/>
      <c r="R21" s="1741"/>
      <c r="S21" s="2168" t="s">
        <v>6617</v>
      </c>
      <c r="T21" s="2168" t="s">
        <v>6596</v>
      </c>
      <c r="U21" s="2168" t="s">
        <v>4140</v>
      </c>
      <c r="V21" s="2732"/>
    </row>
    <row r="22" spans="1:22" ht="20.65" x14ac:dyDescent="0.35">
      <c r="A22" s="1342">
        <v>21</v>
      </c>
      <c r="B22" s="2280" t="str">
        <f t="shared" si="0"/>
        <v/>
      </c>
      <c r="C22" s="2181" t="s">
        <v>3215</v>
      </c>
      <c r="D22" s="1792" t="s">
        <v>5313</v>
      </c>
      <c r="E22" s="2336" t="s">
        <v>5344</v>
      </c>
      <c r="F22" s="3069" t="s">
        <v>7558</v>
      </c>
      <c r="G22" s="3069" t="s">
        <v>7558</v>
      </c>
      <c r="H22" s="2336"/>
      <c r="I22" s="2337"/>
      <c r="J22" s="2337"/>
      <c r="K22" s="3069" t="s">
        <v>7558</v>
      </c>
      <c r="L22" s="2338"/>
      <c r="M22" s="2338"/>
      <c r="N22" s="2730"/>
      <c r="O22" s="2914"/>
      <c r="P22" s="3069" t="s">
        <v>7558</v>
      </c>
      <c r="Q22" s="3719" t="s">
        <v>7558</v>
      </c>
      <c r="R22" s="1741"/>
      <c r="S22" s="2168" t="s">
        <v>6618</v>
      </c>
      <c r="T22" s="2167" t="s">
        <v>5459</v>
      </c>
      <c r="U22" s="2732"/>
      <c r="V22" s="2732"/>
    </row>
    <row r="23" spans="1:22" ht="40.9" x14ac:dyDescent="0.35">
      <c r="A23" s="1342">
        <v>22</v>
      </c>
      <c r="B23" s="2278" t="str">
        <f t="shared" si="0"/>
        <v/>
      </c>
      <c r="C23" s="2181" t="s">
        <v>4236</v>
      </c>
      <c r="D23" s="1792"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2017-18,  you  submitted a Real Time Transaction Tax return for the disposal of an asset of this type, put the overall gain or loss  in the box -  include the  individual amounts of gains or losses in the box 17 total for gains and box 19 total for losses</v>
      </c>
      <c r="E23" s="1707"/>
      <c r="F23" s="1707"/>
      <c r="G23" s="1707"/>
      <c r="H23" s="1707"/>
      <c r="I23" s="2235"/>
      <c r="J23" s="2235"/>
      <c r="K23" s="2235"/>
      <c r="L23" s="2235"/>
      <c r="M23" s="2235"/>
      <c r="N23" s="2235"/>
      <c r="O23" s="2915"/>
      <c r="P23" s="3695"/>
      <c r="Q23" s="3741">
        <v>13000</v>
      </c>
      <c r="R23" s="1741"/>
      <c r="S23" s="2168" t="s">
        <v>6619</v>
      </c>
      <c r="T23" s="2168" t="s">
        <v>6597</v>
      </c>
      <c r="U23" s="2732"/>
      <c r="V23" s="2732"/>
    </row>
    <row r="24" spans="1:22" x14ac:dyDescent="0.35">
      <c r="A24" s="1342">
        <v>23</v>
      </c>
      <c r="B24" s="2278" t="str">
        <f t="shared" si="0"/>
        <v/>
      </c>
      <c r="C24" s="2720" t="s">
        <v>4237</v>
      </c>
      <c r="D24" s="1792" t="s">
        <v>5751</v>
      </c>
      <c r="E24" s="2010"/>
      <c r="F24" s="2010"/>
      <c r="G24" s="2010"/>
      <c r="H24" s="2010"/>
      <c r="I24" s="2010"/>
      <c r="J24" s="2010"/>
      <c r="K24" s="2010"/>
      <c r="L24" s="2010"/>
      <c r="M24" s="2010"/>
      <c r="N24" s="2010"/>
      <c r="O24" s="2910"/>
      <c r="P24" s="3691"/>
      <c r="Q24" s="3742">
        <v>170</v>
      </c>
      <c r="R24" s="1741"/>
      <c r="S24" s="2168" t="s">
        <v>6617</v>
      </c>
      <c r="T24" s="2167"/>
      <c r="U24" s="2168" t="s">
        <v>4236</v>
      </c>
      <c r="V24" s="2732"/>
    </row>
    <row r="25" spans="1:22" x14ac:dyDescent="0.35">
      <c r="A25" s="1342">
        <v>24</v>
      </c>
      <c r="B25" s="2279" t="str">
        <f t="shared" si="0"/>
        <v/>
      </c>
      <c r="C25" s="2181" t="s">
        <v>4238</v>
      </c>
      <c r="D25" s="1792" t="s">
        <v>5309</v>
      </c>
      <c r="E25" s="2333">
        <v>2</v>
      </c>
      <c r="F25" s="3070"/>
      <c r="G25" s="3070"/>
      <c r="H25" s="2333"/>
      <c r="I25" s="2333">
        <v>3</v>
      </c>
      <c r="J25" s="2333">
        <v>18</v>
      </c>
      <c r="K25" s="3070"/>
      <c r="L25" s="2335"/>
      <c r="M25" s="2335"/>
      <c r="N25" s="2333">
        <v>1</v>
      </c>
      <c r="O25" s="2916"/>
      <c r="P25" s="3696"/>
      <c r="Q25" s="2731"/>
      <c r="R25" s="1741"/>
      <c r="S25" s="2168" t="s">
        <v>6616</v>
      </c>
      <c r="T25" s="2167"/>
      <c r="U25" s="2732"/>
      <c r="V25" s="2732"/>
    </row>
    <row r="26" spans="1:22" x14ac:dyDescent="0.35">
      <c r="A26" s="1342">
        <v>25</v>
      </c>
      <c r="B26" s="2278" t="str">
        <f t="shared" si="0"/>
        <v/>
      </c>
      <c r="C26" s="2181" t="s">
        <v>4239</v>
      </c>
      <c r="D26" s="1792" t="s">
        <v>5310</v>
      </c>
      <c r="E26" s="2230">
        <v>65000</v>
      </c>
      <c r="F26" s="3071"/>
      <c r="G26" s="3071"/>
      <c r="H26" s="2230"/>
      <c r="I26" s="2230">
        <v>99000</v>
      </c>
      <c r="J26" s="2230">
        <v>30000</v>
      </c>
      <c r="K26" s="3071"/>
      <c r="L26" s="2236"/>
      <c r="M26" s="2236"/>
      <c r="N26" s="1707">
        <v>21000</v>
      </c>
      <c r="O26" s="2908"/>
      <c r="P26" s="3689"/>
      <c r="Q26" s="2222"/>
      <c r="R26" s="1741"/>
      <c r="S26" s="2168" t="s">
        <v>6617</v>
      </c>
      <c r="T26" s="2167"/>
      <c r="U26" s="2168" t="s">
        <v>4238</v>
      </c>
      <c r="V26" s="2732"/>
    </row>
    <row r="27" spans="1:22" x14ac:dyDescent="0.35">
      <c r="A27" s="1342">
        <v>26</v>
      </c>
      <c r="B27" s="2278" t="str">
        <f t="shared" si="0"/>
        <v/>
      </c>
      <c r="C27" s="2181" t="s">
        <v>4240</v>
      </c>
      <c r="D27" s="1792" t="s">
        <v>5311</v>
      </c>
      <c r="E27" s="2230">
        <v>25000</v>
      </c>
      <c r="F27" s="3071"/>
      <c r="G27" s="3071"/>
      <c r="H27" s="2230"/>
      <c r="I27" s="2230">
        <v>9000</v>
      </c>
      <c r="J27" s="2230">
        <v>40000</v>
      </c>
      <c r="K27" s="3071"/>
      <c r="L27" s="2236"/>
      <c r="M27" s="2236"/>
      <c r="N27" s="1707">
        <v>4500</v>
      </c>
      <c r="O27" s="2908"/>
      <c r="P27" s="3689"/>
      <c r="Q27" s="2222"/>
      <c r="R27" s="1741"/>
      <c r="S27" s="2168" t="s">
        <v>6617</v>
      </c>
      <c r="T27" s="2167"/>
      <c r="U27" s="2732"/>
      <c r="V27" s="2732"/>
    </row>
    <row r="28" spans="1:22" x14ac:dyDescent="0.35">
      <c r="A28" s="1342">
        <v>27</v>
      </c>
      <c r="B28" s="2278" t="str">
        <f t="shared" si="0"/>
        <v/>
      </c>
      <c r="C28" s="2720" t="s">
        <v>4241</v>
      </c>
      <c r="D28" s="1792" t="s">
        <v>5312</v>
      </c>
      <c r="E28" s="2223">
        <f>MAX(0,E26-E27)</f>
        <v>40000</v>
      </c>
      <c r="F28" s="3072"/>
      <c r="G28" s="3072"/>
      <c r="H28" s="2224"/>
      <c r="I28" s="2223">
        <f>MAX(0,I26-I27)</f>
        <v>90000</v>
      </c>
      <c r="J28" s="2224"/>
      <c r="K28" s="3072"/>
      <c r="L28" s="2224"/>
      <c r="M28" s="2224"/>
      <c r="N28" s="2223">
        <f>MAX(0,N26-N27)</f>
        <v>16500</v>
      </c>
      <c r="O28" s="2909"/>
      <c r="P28" s="3690"/>
      <c r="Q28" s="2225"/>
      <c r="R28" s="1741"/>
      <c r="S28" s="2168" t="s">
        <v>6617</v>
      </c>
      <c r="T28" s="2167"/>
      <c r="U28" s="2168" t="s">
        <v>6605</v>
      </c>
      <c r="V28" s="2732"/>
    </row>
    <row r="29" spans="1:22" x14ac:dyDescent="0.35">
      <c r="A29" s="1342">
        <v>28</v>
      </c>
      <c r="B29" s="2278" t="str">
        <f t="shared" si="0"/>
        <v/>
      </c>
      <c r="C29" s="2720" t="s">
        <v>4242</v>
      </c>
      <c r="D29" s="1792" t="s">
        <v>5643</v>
      </c>
      <c r="E29" s="2234"/>
      <c r="F29" s="2234"/>
      <c r="G29" s="2234"/>
      <c r="H29" s="2234"/>
      <c r="I29" s="2234"/>
      <c r="J29" s="2234">
        <f>MAX(0,J27-J26)</f>
        <v>10000</v>
      </c>
      <c r="K29" s="2234"/>
      <c r="L29" s="2234"/>
      <c r="M29" s="2234"/>
      <c r="N29" s="2234"/>
      <c r="O29" s="2913"/>
      <c r="P29" s="3694"/>
      <c r="Q29" s="3718"/>
      <c r="R29" s="1741"/>
      <c r="S29" s="2168" t="s">
        <v>6617</v>
      </c>
      <c r="T29" s="2168" t="s">
        <v>6598</v>
      </c>
      <c r="U29" s="2168" t="s">
        <v>4238</v>
      </c>
      <c r="V29" s="2732"/>
    </row>
    <row r="30" spans="1:22" ht="20.65" x14ac:dyDescent="0.35">
      <c r="A30" s="1342">
        <v>29</v>
      </c>
      <c r="B30" s="2280" t="str">
        <f t="shared" si="0"/>
        <v/>
      </c>
      <c r="C30" s="2181" t="s">
        <v>4243</v>
      </c>
      <c r="D30" s="1792" t="s">
        <v>5313</v>
      </c>
      <c r="E30" s="2336" t="s">
        <v>5344</v>
      </c>
      <c r="F30" s="3069"/>
      <c r="G30" s="3069"/>
      <c r="H30" s="2339"/>
      <c r="I30" s="2340"/>
      <c r="J30" s="2340"/>
      <c r="K30" s="3069"/>
      <c r="L30" s="2341"/>
      <c r="M30" s="2341"/>
      <c r="N30" s="2341"/>
      <c r="O30" s="2917"/>
      <c r="P30" s="3697"/>
      <c r="Q30" s="2342"/>
      <c r="R30" s="1741"/>
      <c r="S30" s="2168" t="s">
        <v>6618</v>
      </c>
      <c r="T30" s="2167" t="s">
        <v>5459</v>
      </c>
      <c r="U30" s="2732"/>
      <c r="V30" s="2732"/>
    </row>
    <row r="31" spans="1:22" ht="40.9" x14ac:dyDescent="0.35">
      <c r="A31" s="1342">
        <v>30</v>
      </c>
      <c r="B31" s="2278" t="str">
        <f t="shared" si="0"/>
        <v/>
      </c>
      <c r="C31" s="2181" t="s">
        <v>4244</v>
      </c>
      <c r="D31" s="1792" t="str">
        <f>"If, during "&amp;tax_year&amp;", you  submitted a Real Time Transaction Tax return for the disposal of listed shares or securities, put the overall gain or loss in the box -  include the  individual amounts of gains or losses in  box 26 and losses in box 27"</f>
        <v>If, during 2017-18, you  submitted a Real Time Transaction Tax return for the disposal of listed shares or securities, put the overall gain or loss in the box -  include the  individual amounts of gains or losses in  box 26 and losses in box 27</v>
      </c>
      <c r="E31" s="1707"/>
      <c r="F31" s="1707"/>
      <c r="G31" s="1707"/>
      <c r="H31" s="1707"/>
      <c r="I31" s="1707"/>
      <c r="J31" s="1707"/>
      <c r="K31" s="1707"/>
      <c r="L31" s="1707"/>
      <c r="M31" s="1707"/>
      <c r="N31" s="1707"/>
      <c r="O31" s="2908"/>
      <c r="P31" s="3689"/>
      <c r="Q31" s="2222"/>
      <c r="R31" s="1742"/>
      <c r="S31" s="2168" t="s">
        <v>6619</v>
      </c>
      <c r="T31" s="2168" t="s">
        <v>6599</v>
      </c>
      <c r="U31" s="2732"/>
      <c r="V31" s="2732"/>
    </row>
    <row r="32" spans="1:22" x14ac:dyDescent="0.35">
      <c r="A32" s="1342">
        <v>31</v>
      </c>
      <c r="B32" s="2278" t="str">
        <f t="shared" si="0"/>
        <v/>
      </c>
      <c r="C32" s="2720" t="s">
        <v>591</v>
      </c>
      <c r="D32" s="1792" t="s">
        <v>5752</v>
      </c>
      <c r="E32" s="2010"/>
      <c r="F32" s="2010"/>
      <c r="G32" s="2010"/>
      <c r="H32" s="2010"/>
      <c r="I32" s="2010"/>
      <c r="J32" s="2010"/>
      <c r="K32" s="2010"/>
      <c r="L32" s="2010"/>
      <c r="M32" s="2010"/>
      <c r="N32" s="2010"/>
      <c r="O32" s="2910"/>
      <c r="P32" s="3691"/>
      <c r="Q32" s="2226"/>
      <c r="R32" s="1741"/>
      <c r="S32" s="2168" t="s">
        <v>6617</v>
      </c>
      <c r="T32" s="2167"/>
      <c r="U32" s="2732"/>
      <c r="V32" s="2732"/>
    </row>
    <row r="33" spans="1:22" x14ac:dyDescent="0.35">
      <c r="A33" s="1342">
        <v>32</v>
      </c>
      <c r="B33" s="2279" t="str">
        <f t="shared" si="0"/>
        <v/>
      </c>
      <c r="C33" s="2181" t="s">
        <v>592</v>
      </c>
      <c r="D33" s="1792" t="s">
        <v>5309</v>
      </c>
      <c r="E33" s="2333"/>
      <c r="F33" s="2335">
        <v>1</v>
      </c>
      <c r="G33" s="2335">
        <v>1</v>
      </c>
      <c r="H33" s="2335"/>
      <c r="I33" s="2335"/>
      <c r="J33" s="2735">
        <v>1</v>
      </c>
      <c r="K33" s="2333">
        <v>1</v>
      </c>
      <c r="L33" s="2335">
        <v>1</v>
      </c>
      <c r="M33" s="2335"/>
      <c r="N33" s="2335"/>
      <c r="O33" s="2918"/>
      <c r="P33" s="3698"/>
      <c r="Q33" s="2343"/>
      <c r="R33" s="1741"/>
      <c r="S33" s="2168" t="s">
        <v>6616</v>
      </c>
      <c r="T33" s="2167"/>
      <c r="U33" s="2732"/>
      <c r="V33" s="2732"/>
    </row>
    <row r="34" spans="1:22" x14ac:dyDescent="0.35">
      <c r="A34" s="1342">
        <v>33</v>
      </c>
      <c r="B34" s="2278" t="str">
        <f t="shared" si="0"/>
        <v/>
      </c>
      <c r="C34" s="2181" t="s">
        <v>593</v>
      </c>
      <c r="D34" s="1792" t="s">
        <v>5310</v>
      </c>
      <c r="E34" s="2230"/>
      <c r="F34" s="2236">
        <v>25000</v>
      </c>
      <c r="G34" s="2236">
        <v>27000</v>
      </c>
      <c r="H34" s="2236"/>
      <c r="I34" s="2236"/>
      <c r="J34" s="2736">
        <v>10000</v>
      </c>
      <c r="K34" s="2230">
        <v>5000</v>
      </c>
      <c r="L34" s="2236">
        <v>20000</v>
      </c>
      <c r="M34" s="2236"/>
      <c r="N34" s="2236"/>
      <c r="O34" s="2919"/>
      <c r="P34" s="3699"/>
      <c r="Q34" s="2238"/>
      <c r="R34" s="1741"/>
      <c r="S34" s="2168" t="s">
        <v>6617</v>
      </c>
      <c r="T34" s="2167"/>
      <c r="U34" s="2732"/>
      <c r="V34" s="2732"/>
    </row>
    <row r="35" spans="1:22" x14ac:dyDescent="0.35">
      <c r="A35" s="1342">
        <v>34</v>
      </c>
      <c r="B35" s="2278" t="str">
        <f t="shared" si="0"/>
        <v/>
      </c>
      <c r="C35" s="2181" t="s">
        <v>594</v>
      </c>
      <c r="D35" s="1792" t="s">
        <v>5311</v>
      </c>
      <c r="E35" s="2230"/>
      <c r="F35" s="2230"/>
      <c r="G35" s="2230"/>
      <c r="H35" s="2236"/>
      <c r="I35" s="2236"/>
      <c r="J35" s="2736">
        <v>15000</v>
      </c>
      <c r="K35" s="2230">
        <v>6000</v>
      </c>
      <c r="L35" s="2236">
        <v>1000</v>
      </c>
      <c r="M35" s="2236"/>
      <c r="N35" s="2236"/>
      <c r="O35" s="2919"/>
      <c r="P35" s="3699"/>
      <c r="Q35" s="2238"/>
      <c r="R35" s="1741"/>
      <c r="S35" s="2168" t="s">
        <v>6617</v>
      </c>
      <c r="T35" s="2167" t="s">
        <v>5458</v>
      </c>
      <c r="U35" s="2732"/>
      <c r="V35" s="2732"/>
    </row>
    <row r="36" spans="1:22" x14ac:dyDescent="0.35">
      <c r="A36" s="1342">
        <v>35</v>
      </c>
      <c r="B36" s="2278" t="str">
        <f t="shared" si="0"/>
        <v/>
      </c>
      <c r="C36" s="2720" t="s">
        <v>595</v>
      </c>
      <c r="D36" s="1792" t="s">
        <v>5312</v>
      </c>
      <c r="E36" s="2224"/>
      <c r="F36" s="2223">
        <f>MAX(0,F34-F35)</f>
        <v>25000</v>
      </c>
      <c r="G36" s="2223">
        <f>MAX(0,G34-G35)</f>
        <v>27000</v>
      </c>
      <c r="H36" s="2224"/>
      <c r="I36" s="2224"/>
      <c r="J36" s="2224"/>
      <c r="K36" s="2224"/>
      <c r="L36" s="2223">
        <f>MAX(0,L34-L35)</f>
        <v>19000</v>
      </c>
      <c r="M36" s="2224"/>
      <c r="N36" s="2224"/>
      <c r="O36" s="2909"/>
      <c r="P36" s="3690"/>
      <c r="Q36" s="2232"/>
      <c r="R36" s="1741"/>
      <c r="S36" s="2168" t="s">
        <v>6617</v>
      </c>
      <c r="T36" s="2167" t="s">
        <v>5813</v>
      </c>
      <c r="U36" s="2732"/>
      <c r="V36" s="2732"/>
    </row>
    <row r="37" spans="1:22" x14ac:dyDescent="0.35">
      <c r="A37" s="1342">
        <v>36</v>
      </c>
      <c r="B37" s="2278" t="str">
        <f t="shared" si="0"/>
        <v/>
      </c>
      <c r="C37" s="2720" t="s">
        <v>596</v>
      </c>
      <c r="D37" s="1792" t="s">
        <v>5643</v>
      </c>
      <c r="E37" s="2234"/>
      <c r="F37" s="2234"/>
      <c r="G37" s="2234"/>
      <c r="H37" s="2234"/>
      <c r="I37" s="2234"/>
      <c r="J37" s="2234">
        <f>MAX(0,J35-J34)</f>
        <v>5000</v>
      </c>
      <c r="K37" s="2234">
        <f>MAX(0,K35-K34)</f>
        <v>1000</v>
      </c>
      <c r="L37" s="2234"/>
      <c r="M37" s="2234"/>
      <c r="N37" s="2234"/>
      <c r="O37" s="2913"/>
      <c r="P37" s="3694"/>
      <c r="Q37" s="2237"/>
      <c r="R37" s="1741"/>
      <c r="S37" s="2168" t="s">
        <v>6617</v>
      </c>
      <c r="T37" s="2168" t="s">
        <v>6600</v>
      </c>
      <c r="U37" s="2732"/>
      <c r="V37" s="2732"/>
    </row>
    <row r="38" spans="1:22" ht="20.65" x14ac:dyDescent="0.35">
      <c r="A38" s="1342">
        <v>37</v>
      </c>
      <c r="B38" s="2280" t="str">
        <f t="shared" si="0"/>
        <v/>
      </c>
      <c r="C38" s="2181" t="s">
        <v>2554</v>
      </c>
      <c r="D38" s="1792" t="s">
        <v>5313</v>
      </c>
      <c r="E38" s="2227"/>
      <c r="F38" s="2227"/>
      <c r="G38" s="2227"/>
      <c r="H38" s="2227"/>
      <c r="I38" s="2228"/>
      <c r="J38" s="2228"/>
      <c r="K38" s="2228"/>
      <c r="L38" s="2228"/>
      <c r="M38" s="2228"/>
      <c r="N38" s="2228"/>
      <c r="O38" s="2906"/>
      <c r="P38" s="3687"/>
      <c r="Q38" s="2229"/>
      <c r="R38" s="1741"/>
      <c r="S38" s="2168" t="s">
        <v>6618</v>
      </c>
      <c r="T38" s="2167" t="s">
        <v>5459</v>
      </c>
      <c r="U38" s="2732"/>
      <c r="V38" s="2732"/>
    </row>
    <row r="39" spans="1:22" ht="51" x14ac:dyDescent="0.35">
      <c r="A39" s="1342">
        <v>38</v>
      </c>
      <c r="B39" s="2278" t="str">
        <f t="shared" si="0"/>
        <v/>
      </c>
      <c r="C39" s="2181" t="s">
        <v>2555</v>
      </c>
      <c r="D39" s="1792" t="str">
        <f>"If, during "&amp;tax_year&amp;", you  submitted a Real Time Transaction Tax return for the disposal of listed shares or securities, put the overall gain or loss in the box -  include the  individual amounts of gains or losses in  box 34 and losses in box 35"</f>
        <v>If, during 2017-18, you  submitted a Real Time Transaction Tax return for the disposal of listed shares or securities, put the overall gain or loss in the box -  include the  individual amounts of gains or losses in  box 34 and losses in box 35</v>
      </c>
      <c r="E39" s="2230"/>
      <c r="F39" s="2230"/>
      <c r="G39" s="2230"/>
      <c r="H39" s="2230"/>
      <c r="I39" s="2230"/>
      <c r="J39" s="2230"/>
      <c r="K39" s="2230"/>
      <c r="L39" s="2230"/>
      <c r="M39" s="2230"/>
      <c r="N39" s="2230"/>
      <c r="O39" s="2912"/>
      <c r="P39" s="3692"/>
      <c r="Q39" s="2231"/>
      <c r="R39" s="1741"/>
      <c r="S39" s="2168" t="s">
        <v>6619</v>
      </c>
      <c r="T39" s="2168" t="s">
        <v>6601</v>
      </c>
      <c r="U39" s="2732"/>
      <c r="V39" s="2732"/>
    </row>
    <row r="40" spans="1:22" x14ac:dyDescent="0.35">
      <c r="A40" s="1342">
        <v>39</v>
      </c>
      <c r="B40" s="2278" t="str">
        <f t="shared" si="0"/>
        <v/>
      </c>
      <c r="C40" s="2720" t="s">
        <v>4995</v>
      </c>
      <c r="D40" s="1792" t="s">
        <v>5753</v>
      </c>
      <c r="E40" s="2227"/>
      <c r="F40" s="2227"/>
      <c r="G40" s="2227"/>
      <c r="H40" s="2227"/>
      <c r="I40" s="2228"/>
      <c r="J40" s="2228"/>
      <c r="K40" s="2228"/>
      <c r="L40" s="2228"/>
      <c r="M40" s="2228"/>
      <c r="N40" s="2228"/>
      <c r="O40" s="2906"/>
      <c r="P40" s="3687"/>
      <c r="Q40" s="2229"/>
      <c r="R40" s="1741"/>
      <c r="S40" s="2168" t="s">
        <v>6617</v>
      </c>
      <c r="T40" s="2167"/>
      <c r="U40" s="2168" t="s">
        <v>2555</v>
      </c>
      <c r="V40" s="2732"/>
    </row>
    <row r="41" spans="1:22" x14ac:dyDescent="0.35">
      <c r="A41" s="1342">
        <v>40</v>
      </c>
      <c r="B41" s="2278" t="str">
        <f t="shared" ref="B41:B50" si="1">IF(CGT_IND&gt;1,IF(HLOOKUP(CGT_IND-1,CGT_RANGE,A41)="","",HLOOKUP(CGT_IND-1,CGT_RANGE,A41)),"")</f>
        <v/>
      </c>
      <c r="C41" s="2181" t="s">
        <v>5570</v>
      </c>
      <c r="D41" s="1792" t="s">
        <v>5754</v>
      </c>
      <c r="E41" s="1707"/>
      <c r="F41" s="1707"/>
      <c r="G41" s="1707"/>
      <c r="H41" s="1707"/>
      <c r="I41" s="1707"/>
      <c r="J41" s="1707"/>
      <c r="K41" s="1707"/>
      <c r="L41" s="1707"/>
      <c r="M41" s="1707"/>
      <c r="N41" s="1707"/>
      <c r="O41" s="2908"/>
      <c r="P41" s="3689"/>
      <c r="Q41" s="2222"/>
      <c r="R41" s="1741"/>
      <c r="S41" s="2168" t="s">
        <v>6617</v>
      </c>
      <c r="T41" s="2167"/>
      <c r="U41" s="2732"/>
      <c r="V41" s="2732"/>
    </row>
    <row r="42" spans="1:22" x14ac:dyDescent="0.35">
      <c r="A42" s="1342">
        <v>41</v>
      </c>
      <c r="B42" s="2278" t="str">
        <f t="shared" si="1"/>
        <v/>
      </c>
      <c r="C42" s="2181" t="s">
        <v>5571</v>
      </c>
      <c r="D42" s="1792" t="s">
        <v>5305</v>
      </c>
      <c r="E42" s="2230"/>
      <c r="F42" s="2239"/>
      <c r="G42" s="2239"/>
      <c r="H42" s="2239"/>
      <c r="I42" s="2239"/>
      <c r="J42" s="2239"/>
      <c r="K42" s="2239"/>
      <c r="L42" s="2239"/>
      <c r="M42" s="2239"/>
      <c r="N42" s="2239"/>
      <c r="O42" s="2920"/>
      <c r="P42" s="3700"/>
      <c r="Q42" s="2240"/>
      <c r="R42" s="1741"/>
      <c r="S42" s="2168" t="s">
        <v>6617</v>
      </c>
      <c r="T42" s="2167" t="s">
        <v>5455</v>
      </c>
      <c r="U42" s="2732"/>
      <c r="V42" s="2172" t="s">
        <v>6606</v>
      </c>
    </row>
    <row r="43" spans="1:22" x14ac:dyDescent="0.35">
      <c r="A43" s="1342">
        <v>42</v>
      </c>
      <c r="B43" s="2278" t="str">
        <f t="shared" si="1"/>
        <v/>
      </c>
      <c r="C43" s="2720" t="s">
        <v>5572</v>
      </c>
      <c r="D43" s="1792" t="str">
        <f>"Losses used against income – amount claimed against "&amp;tax_year&amp;" income"</f>
        <v>Losses used against income – amount claimed against 2017-18 income</v>
      </c>
      <c r="E43" s="2224"/>
      <c r="F43" s="2241"/>
      <c r="G43" s="2241"/>
      <c r="H43" s="2241"/>
      <c r="I43" s="2241"/>
      <c r="J43" s="2224">
        <v>5000</v>
      </c>
      <c r="K43" s="2224">
        <v>1000</v>
      </c>
      <c r="L43" s="2241"/>
      <c r="M43" s="2241"/>
      <c r="N43" s="2241"/>
      <c r="O43" s="2921"/>
      <c r="P43" s="3701"/>
      <c r="Q43" s="2242"/>
      <c r="R43" s="1741"/>
      <c r="S43" s="2168" t="s">
        <v>6617</v>
      </c>
      <c r="T43" s="2167"/>
      <c r="U43" s="2168" t="s">
        <v>596</v>
      </c>
      <c r="V43" s="2732"/>
    </row>
    <row r="44" spans="1:22" x14ac:dyDescent="0.35">
      <c r="A44" s="1342">
        <v>43</v>
      </c>
      <c r="B44" s="2278" t="str">
        <f t="shared" si="1"/>
        <v/>
      </c>
      <c r="C44" s="2720" t="s">
        <v>5573</v>
      </c>
      <c r="D44" s="1792" t="s">
        <v>5809</v>
      </c>
      <c r="E44" s="2224"/>
      <c r="F44" s="2241"/>
      <c r="G44" s="2241"/>
      <c r="H44" s="2241"/>
      <c r="I44" s="2241"/>
      <c r="J44" s="2241"/>
      <c r="K44" s="2241"/>
      <c r="L44" s="2241"/>
      <c r="M44" s="2241"/>
      <c r="N44" s="2241"/>
      <c r="O44" s="2921"/>
      <c r="P44" s="3701"/>
      <c r="Q44" s="2242"/>
      <c r="R44" s="1741"/>
      <c r="S44" s="2168" t="s">
        <v>6617</v>
      </c>
      <c r="T44" s="2733" t="s">
        <v>5810</v>
      </c>
      <c r="U44" s="2732"/>
      <c r="V44" s="2168" t="s">
        <v>6608</v>
      </c>
    </row>
    <row r="45" spans="1:22" x14ac:dyDescent="0.35">
      <c r="A45" s="1342">
        <v>44</v>
      </c>
      <c r="B45" s="2278" t="str">
        <f t="shared" si="1"/>
        <v/>
      </c>
      <c r="C45" s="2720" t="s">
        <v>5574</v>
      </c>
      <c r="D45" s="1792" t="str">
        <f>"Losses used against income – amount claimed against "&amp;last_year&amp;" income"</f>
        <v>Losses used against income – amount claimed against 2016-17 income</v>
      </c>
      <c r="E45" s="2224"/>
      <c r="F45" s="2224"/>
      <c r="G45" s="2224"/>
      <c r="H45" s="2241"/>
      <c r="I45" s="2224"/>
      <c r="J45" s="2224"/>
      <c r="K45" s="2224"/>
      <c r="L45" s="2224"/>
      <c r="M45" s="2224"/>
      <c r="N45" s="2224"/>
      <c r="O45" s="2909"/>
      <c r="P45" s="3690"/>
      <c r="Q45" s="2225"/>
      <c r="R45" s="1741"/>
      <c r="S45" s="2168" t="s">
        <v>6617</v>
      </c>
      <c r="T45" s="2168" t="s">
        <v>6602</v>
      </c>
      <c r="U45" s="2168" t="s">
        <v>596</v>
      </c>
      <c r="V45" s="2168"/>
    </row>
    <row r="46" spans="1:22" x14ac:dyDescent="0.35">
      <c r="A46" s="1342">
        <v>45</v>
      </c>
      <c r="B46" s="2278" t="str">
        <f t="shared" si="1"/>
        <v/>
      </c>
      <c r="C46" s="2181" t="s">
        <v>5575</v>
      </c>
      <c r="D46" s="1792" t="s">
        <v>5746</v>
      </c>
      <c r="E46" s="2230"/>
      <c r="F46" s="2230"/>
      <c r="G46" s="2230"/>
      <c r="H46" s="2236"/>
      <c r="I46" s="2230"/>
      <c r="J46" s="2230"/>
      <c r="K46" s="2230"/>
      <c r="L46" s="2230"/>
      <c r="M46" s="2230"/>
      <c r="N46" s="2230"/>
      <c r="O46" s="2912"/>
      <c r="P46" s="3692"/>
      <c r="Q46" s="2231"/>
      <c r="R46" s="1741"/>
      <c r="S46" s="2168" t="s">
        <v>6617</v>
      </c>
      <c r="T46" s="2733" t="s">
        <v>5763</v>
      </c>
      <c r="U46" s="2732"/>
      <c r="V46" s="2168" t="s">
        <v>6609</v>
      </c>
    </row>
    <row r="47" spans="1:22" x14ac:dyDescent="0.35">
      <c r="A47" s="1342">
        <v>46</v>
      </c>
      <c r="B47" s="2278" t="str">
        <f t="shared" si="1"/>
        <v/>
      </c>
      <c r="C47" s="2720" t="s">
        <v>5576</v>
      </c>
      <c r="D47" s="1792" t="s">
        <v>5306</v>
      </c>
      <c r="E47" s="2224"/>
      <c r="F47" s="2224"/>
      <c r="G47" s="2224">
        <v>9000</v>
      </c>
      <c r="H47" s="2224"/>
      <c r="I47" s="2224"/>
      <c r="J47" s="2224"/>
      <c r="K47" s="2224"/>
      <c r="L47" s="2224"/>
      <c r="M47" s="2224"/>
      <c r="N47" s="2224"/>
      <c r="O47" s="2909"/>
      <c r="P47" s="3690"/>
      <c r="Q47" s="2225"/>
      <c r="R47" s="1741"/>
      <c r="S47" s="2168" t="s">
        <v>6617</v>
      </c>
      <c r="T47" s="2167"/>
      <c r="U47" s="2732"/>
      <c r="V47" s="2732"/>
    </row>
    <row r="48" spans="1:22" x14ac:dyDescent="0.35">
      <c r="A48" s="1342">
        <v>47</v>
      </c>
      <c r="B48" s="2278" t="str">
        <f t="shared" si="1"/>
        <v/>
      </c>
      <c r="C48" s="2720" t="s">
        <v>5577</v>
      </c>
      <c r="D48" s="1792" t="str">
        <f>"Income losses of "&amp;tax_year&amp;" set against gains"</f>
        <v>Income losses of 2017-18 set against gains</v>
      </c>
      <c r="E48" s="2224"/>
      <c r="F48" s="2241"/>
      <c r="G48" s="2241"/>
      <c r="H48" s="2241"/>
      <c r="I48" s="2224"/>
      <c r="J48" s="2241"/>
      <c r="K48" s="2241"/>
      <c r="L48" s="2241"/>
      <c r="M48" s="2241"/>
      <c r="N48" s="2224">
        <v>4000</v>
      </c>
      <c r="O48" s="2909"/>
      <c r="P48" s="3690"/>
      <c r="Q48" s="2225"/>
      <c r="R48" s="1741"/>
      <c r="S48" s="2168" t="s">
        <v>6617</v>
      </c>
      <c r="T48" s="2734"/>
      <c r="U48" s="2732"/>
      <c r="V48" s="2732"/>
    </row>
    <row r="49" spans="1:22" x14ac:dyDescent="0.35">
      <c r="A49" s="1342">
        <v>48</v>
      </c>
      <c r="B49" s="2278" t="str">
        <f t="shared" si="1"/>
        <v/>
      </c>
      <c r="C49" s="2181" t="s">
        <v>5578</v>
      </c>
      <c r="D49" s="1792" t="s">
        <v>5755</v>
      </c>
      <c r="E49" s="2230"/>
      <c r="F49" s="2236"/>
      <c r="G49" s="2236"/>
      <c r="H49" s="2236"/>
      <c r="I49" s="2236"/>
      <c r="J49" s="2236"/>
      <c r="K49" s="2236"/>
      <c r="L49" s="2236"/>
      <c r="M49" s="2236"/>
      <c r="N49" s="2236"/>
      <c r="O49" s="2919"/>
      <c r="P49" s="3699"/>
      <c r="Q49" s="2238"/>
      <c r="R49" s="1741"/>
      <c r="S49" s="2168" t="s">
        <v>6617</v>
      </c>
      <c r="T49" s="2167"/>
      <c r="U49" s="2732"/>
      <c r="V49" s="2732"/>
    </row>
    <row r="50" spans="1:22" ht="20.65" x14ac:dyDescent="0.35">
      <c r="A50" s="1342">
        <v>49</v>
      </c>
      <c r="B50" s="2278" t="str">
        <f t="shared" si="1"/>
        <v/>
      </c>
      <c r="C50" s="2720" t="s">
        <v>5579</v>
      </c>
      <c r="D50" s="1792" t="s">
        <v>5308</v>
      </c>
      <c r="E50" s="2224"/>
      <c r="F50" s="2241"/>
      <c r="G50" s="2241"/>
      <c r="H50" s="2241"/>
      <c r="I50" s="2241"/>
      <c r="J50" s="2241">
        <v>5000</v>
      </c>
      <c r="K50" s="2241"/>
      <c r="L50" s="2241"/>
      <c r="M50" s="2241"/>
      <c r="N50" s="2241"/>
      <c r="O50" s="2921"/>
      <c r="P50" s="3701"/>
      <c r="Q50" s="2242"/>
      <c r="R50" s="1741"/>
      <c r="S50" s="2168" t="s">
        <v>6617</v>
      </c>
      <c r="T50" s="2168" t="s">
        <v>6603</v>
      </c>
      <c r="U50" s="2732"/>
      <c r="V50" s="2732"/>
    </row>
    <row r="51" spans="1:22" x14ac:dyDescent="0.35">
      <c r="A51" s="1342">
        <v>50</v>
      </c>
      <c r="B51" s="2278" t="str">
        <f t="shared" ref="B51:B56" si="2">IF(CGT_IND&gt;1,IF(HLOOKUP(CGT_IND-1,CGT_RANGE,A51)="","",HLOOKUP(CGT_IND-1,CGT_RANGE,A51)),"")</f>
        <v/>
      </c>
      <c r="C51" s="2181" t="s">
        <v>5738</v>
      </c>
      <c r="D51" s="1792" t="s">
        <v>5756</v>
      </c>
      <c r="E51" s="2227">
        <v>56250</v>
      </c>
      <c r="F51" s="2218"/>
      <c r="G51" s="2218"/>
      <c r="H51" s="2218"/>
      <c r="I51" s="2220"/>
      <c r="J51" s="2220"/>
      <c r="K51" s="2220"/>
      <c r="L51" s="2220"/>
      <c r="M51" s="2220"/>
      <c r="N51" s="2220"/>
      <c r="O51" s="2922"/>
      <c r="P51" s="3702"/>
      <c r="Q51" s="2221"/>
      <c r="R51" s="1741"/>
      <c r="S51" s="2168" t="s">
        <v>6617</v>
      </c>
      <c r="T51" s="2167" t="s">
        <v>5457</v>
      </c>
      <c r="U51" s="2732"/>
      <c r="V51" s="2172" t="s">
        <v>6610</v>
      </c>
    </row>
    <row r="52" spans="1:22" x14ac:dyDescent="0.35">
      <c r="A52" s="1342">
        <v>51</v>
      </c>
      <c r="B52" s="2278" t="str">
        <f t="shared" si="2"/>
        <v/>
      </c>
      <c r="C52" s="2720" t="s">
        <v>5739</v>
      </c>
      <c r="D52" s="1792" t="s">
        <v>5757</v>
      </c>
      <c r="E52" s="2224"/>
      <c r="F52" s="2224">
        <v>20000</v>
      </c>
      <c r="G52" s="2224">
        <v>12000</v>
      </c>
      <c r="H52" s="2224"/>
      <c r="I52" s="2224"/>
      <c r="J52" s="2224"/>
      <c r="K52" s="2224">
        <v>36000</v>
      </c>
      <c r="L52" s="2224"/>
      <c r="M52" s="2224"/>
      <c r="N52" s="2224"/>
      <c r="O52" s="2909"/>
      <c r="P52" s="3690"/>
      <c r="Q52" s="2225"/>
      <c r="R52" s="1741"/>
      <c r="S52" s="2168" t="s">
        <v>6617</v>
      </c>
      <c r="T52" s="2167" t="s">
        <v>6612</v>
      </c>
      <c r="U52" s="2732"/>
      <c r="V52" s="2172" t="s">
        <v>6611</v>
      </c>
    </row>
    <row r="53" spans="1:22" x14ac:dyDescent="0.35">
      <c r="A53" s="1342">
        <v>52</v>
      </c>
      <c r="B53" s="2278" t="str">
        <f t="shared" si="2"/>
        <v/>
      </c>
      <c r="C53" s="2720" t="s">
        <v>5740</v>
      </c>
      <c r="D53" s="1792" t="s">
        <v>5758</v>
      </c>
      <c r="E53" s="2224"/>
      <c r="F53" s="2224"/>
      <c r="G53" s="2224"/>
      <c r="H53" s="2224"/>
      <c r="I53" s="2224"/>
      <c r="J53" s="2224"/>
      <c r="K53" s="2224"/>
      <c r="L53" s="2224">
        <v>900</v>
      </c>
      <c r="M53" s="2224"/>
      <c r="N53" s="2224"/>
      <c r="O53" s="2909"/>
      <c r="P53" s="3690"/>
      <c r="Q53" s="2225"/>
      <c r="R53" s="1741"/>
      <c r="S53" s="2168" t="s">
        <v>6619</v>
      </c>
      <c r="T53" s="2167" t="s">
        <v>5456</v>
      </c>
      <c r="U53" s="2732"/>
      <c r="V53" s="2732"/>
    </row>
    <row r="54" spans="1:22" x14ac:dyDescent="0.35">
      <c r="A54" s="1342">
        <v>53</v>
      </c>
      <c r="B54" s="2278" t="str">
        <f t="shared" si="2"/>
        <v/>
      </c>
      <c r="C54" s="2720" t="s">
        <v>5741</v>
      </c>
      <c r="D54" s="1792" t="s">
        <v>5307</v>
      </c>
      <c r="E54" s="2224"/>
      <c r="F54" s="2241"/>
      <c r="G54" s="2241"/>
      <c r="H54" s="2241"/>
      <c r="I54" s="2241"/>
      <c r="J54" s="2241"/>
      <c r="K54" s="2241"/>
      <c r="L54" s="2241">
        <v>2000</v>
      </c>
      <c r="M54" s="2241"/>
      <c r="N54" s="2241"/>
      <c r="O54" s="2921"/>
      <c r="P54" s="3701"/>
      <c r="Q54" s="2242"/>
      <c r="R54" s="1741"/>
      <c r="S54" s="2168" t="s">
        <v>6617</v>
      </c>
      <c r="T54" s="2167"/>
      <c r="U54" s="2732"/>
      <c r="V54" s="2732"/>
    </row>
    <row r="55" spans="1:22" x14ac:dyDescent="0.35">
      <c r="A55" s="1342">
        <v>54</v>
      </c>
      <c r="B55" s="1612" t="str">
        <f t="shared" si="2"/>
        <v/>
      </c>
      <c r="C55" s="2181" t="s">
        <v>5742</v>
      </c>
      <c r="D55" s="1792" t="s">
        <v>5314</v>
      </c>
      <c r="E55" s="2227"/>
      <c r="F55" s="2218"/>
      <c r="G55" s="2218"/>
      <c r="H55" s="2218"/>
      <c r="I55" s="2220"/>
      <c r="J55" s="2220"/>
      <c r="K55" s="2220"/>
      <c r="L55" s="2220"/>
      <c r="M55" s="2220"/>
      <c r="N55" s="2220"/>
      <c r="O55" s="2922"/>
      <c r="P55" s="3702"/>
      <c r="Q55" s="2221"/>
      <c r="R55" s="1741"/>
      <c r="S55" s="2168" t="s">
        <v>6620</v>
      </c>
      <c r="T55" s="2167"/>
      <c r="U55" s="2732"/>
      <c r="V55" s="2732"/>
    </row>
    <row r="56" spans="1:22" ht="12" thickBot="1" x14ac:dyDescent="0.4">
      <c r="A56" s="1342">
        <v>55</v>
      </c>
      <c r="B56" s="1612" t="str">
        <f t="shared" si="2"/>
        <v/>
      </c>
      <c r="C56" s="2722" t="s">
        <v>5743</v>
      </c>
      <c r="D56" s="2243" t="s">
        <v>5232</v>
      </c>
      <c r="E56" s="2244" t="s">
        <v>77</v>
      </c>
      <c r="F56" s="2244" t="s">
        <v>77</v>
      </c>
      <c r="G56" s="2244" t="s">
        <v>77</v>
      </c>
      <c r="H56" s="2244" t="s">
        <v>77</v>
      </c>
      <c r="I56" s="2244" t="s">
        <v>77</v>
      </c>
      <c r="J56" s="2244" t="s">
        <v>77</v>
      </c>
      <c r="K56" s="2244" t="s">
        <v>77</v>
      </c>
      <c r="L56" s="2245" t="s">
        <v>6588</v>
      </c>
      <c r="M56" s="2244" t="s">
        <v>77</v>
      </c>
      <c r="N56" s="2245" t="s">
        <v>77</v>
      </c>
      <c r="O56" s="3737" t="s">
        <v>77</v>
      </c>
      <c r="P56" s="2923" t="s">
        <v>77</v>
      </c>
      <c r="Q56" s="2246" t="s">
        <v>77</v>
      </c>
      <c r="R56" s="1741"/>
      <c r="S56" s="2168" t="s">
        <v>6621</v>
      </c>
      <c r="T56" s="2167"/>
      <c r="U56" s="2732"/>
      <c r="V56" s="2732"/>
    </row>
    <row r="57" spans="1:22" ht="12" thickBot="1" x14ac:dyDescent="0.4">
      <c r="C57" s="728"/>
      <c r="D57" s="1355"/>
      <c r="T57" s="413"/>
      <c r="U57" s="413"/>
      <c r="V57" s="413"/>
    </row>
    <row r="58" spans="1:22" ht="13.15" x14ac:dyDescent="0.35">
      <c r="A58" s="1342" t="s">
        <v>4845</v>
      </c>
      <c r="B58" s="676" t="s">
        <v>4210</v>
      </c>
      <c r="C58" s="1618" t="s">
        <v>3569</v>
      </c>
      <c r="D58" s="1619"/>
      <c r="E58" s="1620">
        <v>1</v>
      </c>
      <c r="F58" s="1620">
        <v>2</v>
      </c>
      <c r="G58" s="1621">
        <v>3</v>
      </c>
      <c r="H58" s="1621">
        <v>4</v>
      </c>
      <c r="I58" s="1621">
        <v>5</v>
      </c>
      <c r="J58" s="1621">
        <v>6</v>
      </c>
      <c r="K58" s="1621">
        <v>7</v>
      </c>
      <c r="L58" s="1621">
        <v>8</v>
      </c>
      <c r="M58" s="1621">
        <v>9</v>
      </c>
      <c r="N58" s="1621">
        <v>10</v>
      </c>
      <c r="O58" s="2924">
        <v>11</v>
      </c>
      <c r="P58" s="2924">
        <v>12</v>
      </c>
      <c r="Q58" s="1622">
        <v>13</v>
      </c>
      <c r="R58" s="1734"/>
      <c r="S58" s="2173"/>
      <c r="T58" s="1468" t="s">
        <v>5453</v>
      </c>
      <c r="U58" s="413"/>
      <c r="V58" s="413"/>
    </row>
    <row r="59" spans="1:22" x14ac:dyDescent="0.35">
      <c r="A59" s="1342">
        <v>2</v>
      </c>
      <c r="B59" s="1612" t="str">
        <f t="shared" ref="B59:B82" si="3">IF(NRD_IND&gt;1,IF(HLOOKUP(NRD_IND-1,NRD_RANGE,A59)="","",HLOOKUP(NRD_IND-1,NRD_RANGE,A59)),"")</f>
        <v>Y</v>
      </c>
      <c r="C59" s="2187" t="s">
        <v>553</v>
      </c>
      <c r="D59" s="1746" t="str">
        <f>"If you were not resident in the UK for "&amp;tax_year&amp;", put ‘X’ in the box"</f>
        <v>If you were not resident in the UK for 2017-18, put ‘X’ in the box</v>
      </c>
      <c r="E59" s="2188" t="str">
        <f t="shared" ref="E59:J59" si="4">IF(E90="N","Y","N")</f>
        <v>Y</v>
      </c>
      <c r="F59" s="2188" t="str">
        <f t="shared" si="4"/>
        <v>Y</v>
      </c>
      <c r="G59" s="1761" t="str">
        <f t="shared" si="4"/>
        <v>N</v>
      </c>
      <c r="H59" s="1761" t="str">
        <f t="shared" si="4"/>
        <v>N</v>
      </c>
      <c r="I59" s="1761" t="str">
        <f t="shared" si="4"/>
        <v>N</v>
      </c>
      <c r="J59" s="2188" t="str">
        <f t="shared" si="4"/>
        <v>Y</v>
      </c>
      <c r="K59" s="2188" t="str">
        <f>IF(K90="N","Y","N")</f>
        <v>N</v>
      </c>
      <c r="L59" s="1761" t="str">
        <f>IF(L90="N","Y","N")</f>
        <v>N</v>
      </c>
      <c r="M59" s="1761" t="str">
        <f>IF(M90="N","Y","N")</f>
        <v>N</v>
      </c>
      <c r="N59" s="3820" t="s">
        <v>1237</v>
      </c>
      <c r="O59" s="2925"/>
      <c r="P59" s="3703"/>
      <c r="Q59" s="2189"/>
      <c r="R59" s="1735"/>
      <c r="S59" s="2174" t="s">
        <v>6620</v>
      </c>
      <c r="T59" s="1790"/>
      <c r="U59" s="413"/>
      <c r="V59" s="413"/>
    </row>
    <row r="60" spans="1:22" x14ac:dyDescent="0.35">
      <c r="A60" s="1342">
        <v>3</v>
      </c>
      <c r="B60" s="1612" t="str">
        <f t="shared" si="3"/>
        <v>N</v>
      </c>
      <c r="C60" s="2190" t="s">
        <v>554</v>
      </c>
      <c r="D60" s="1746" t="str">
        <f>"If you are eligible for overseas workday relief for "&amp;tax_year&amp;", put ‘X’ in the box"</f>
        <v>If you are eligible for overseas workday relief for 2017-18, put ‘X’ in the box</v>
      </c>
      <c r="E60" s="2191" t="s">
        <v>1237</v>
      </c>
      <c r="F60" s="2191" t="s">
        <v>1237</v>
      </c>
      <c r="G60" s="2191" t="s">
        <v>1237</v>
      </c>
      <c r="H60" s="2191" t="s">
        <v>1237</v>
      </c>
      <c r="I60" s="2191" t="s">
        <v>1237</v>
      </c>
      <c r="J60" s="2191" t="s">
        <v>1237</v>
      </c>
      <c r="K60" s="2191" t="s">
        <v>1237</v>
      </c>
      <c r="L60" s="2191" t="s">
        <v>1237</v>
      </c>
      <c r="M60" s="2191" t="s">
        <v>1237</v>
      </c>
      <c r="N60" s="2191" t="s">
        <v>1237</v>
      </c>
      <c r="O60" s="2926"/>
      <c r="P60" s="3704"/>
      <c r="Q60" s="2192"/>
      <c r="R60" s="1735"/>
      <c r="S60" s="2174" t="s">
        <v>6620</v>
      </c>
      <c r="T60" s="1790"/>
      <c r="U60" s="413"/>
      <c r="V60" s="413"/>
    </row>
    <row r="61" spans="1:22" x14ac:dyDescent="0.35">
      <c r="A61" s="1342">
        <v>4</v>
      </c>
      <c r="B61" s="1612" t="str">
        <f t="shared" si="3"/>
        <v>N</v>
      </c>
      <c r="C61" s="2190" t="s">
        <v>555</v>
      </c>
      <c r="D61" s="1746" t="str">
        <f>"If your circumstances meet the criteria for split year treatment for "&amp;tax_year&amp;", put ‘X’ in the box"</f>
        <v>If your circumstances meet the criteria for split year treatment for 2017-18, put ‘X’ in the box</v>
      </c>
      <c r="E61" s="2191" t="s">
        <v>1237</v>
      </c>
      <c r="F61" s="2193" t="s">
        <v>1237</v>
      </c>
      <c r="G61" s="2191" t="s">
        <v>1237</v>
      </c>
      <c r="H61" s="1715" t="s">
        <v>1237</v>
      </c>
      <c r="I61" s="1715" t="s">
        <v>1237</v>
      </c>
      <c r="J61" s="2191" t="s">
        <v>1237</v>
      </c>
      <c r="K61" s="1715" t="s">
        <v>1237</v>
      </c>
      <c r="L61" s="1715" t="s">
        <v>1237</v>
      </c>
      <c r="M61" s="1715" t="s">
        <v>1237</v>
      </c>
      <c r="N61" s="1715" t="s">
        <v>1237</v>
      </c>
      <c r="O61" s="2927"/>
      <c r="P61" s="3705"/>
      <c r="Q61" s="2194"/>
      <c r="R61" s="1735"/>
      <c r="S61" s="2174" t="s">
        <v>6620</v>
      </c>
      <c r="T61" s="1790" t="s">
        <v>6848</v>
      </c>
      <c r="U61" s="413"/>
      <c r="V61" s="413"/>
    </row>
    <row r="62" spans="1:22" x14ac:dyDescent="0.35">
      <c r="A62" s="1342">
        <v>5</v>
      </c>
      <c r="B62" s="1612" t="str">
        <f t="shared" si="3"/>
        <v>N</v>
      </c>
      <c r="C62" s="2190" t="s">
        <v>3735</v>
      </c>
      <c r="D62" s="1746" t="s">
        <v>5397</v>
      </c>
      <c r="E62" s="2191" t="s">
        <v>1237</v>
      </c>
      <c r="F62" s="2191" t="s">
        <v>1237</v>
      </c>
      <c r="G62" s="2191" t="s">
        <v>1237</v>
      </c>
      <c r="H62" s="1715" t="s">
        <v>1237</v>
      </c>
      <c r="I62" s="1715" t="s">
        <v>1237</v>
      </c>
      <c r="J62" s="2191" t="s">
        <v>1237</v>
      </c>
      <c r="K62" s="1715" t="s">
        <v>1237</v>
      </c>
      <c r="L62" s="1715" t="s">
        <v>1237</v>
      </c>
      <c r="M62" s="1715" t="s">
        <v>1237</v>
      </c>
      <c r="N62" s="1715" t="s">
        <v>1237</v>
      </c>
      <c r="O62" s="2927"/>
      <c r="P62" s="3705"/>
      <c r="Q62" s="2194"/>
      <c r="R62" s="1735"/>
      <c r="S62" s="2174" t="s">
        <v>6620</v>
      </c>
      <c r="T62" s="1791" t="s">
        <v>5824</v>
      </c>
    </row>
    <row r="63" spans="1:22" x14ac:dyDescent="0.35">
      <c r="A63" s="1342">
        <v>6</v>
      </c>
      <c r="B63" s="1612" t="str">
        <f t="shared" si="3"/>
        <v>Y</v>
      </c>
      <c r="C63" s="2190" t="s">
        <v>556</v>
      </c>
      <c r="D63" s="1746" t="str">
        <f>"If you were resident in the UK for "&amp;tax_year&amp;", put ‘X’ in the box"</f>
        <v>If you were resident in the UK for 2017-18, put ‘X’ in the box</v>
      </c>
      <c r="E63" s="2191" t="s">
        <v>1237</v>
      </c>
      <c r="F63" s="2193" t="s">
        <v>1237</v>
      </c>
      <c r="G63" s="2191" t="s">
        <v>583</v>
      </c>
      <c r="H63" s="1715" t="s">
        <v>1237</v>
      </c>
      <c r="I63" s="1715" t="s">
        <v>1237</v>
      </c>
      <c r="J63" s="2191" t="s">
        <v>583</v>
      </c>
      <c r="K63" s="1715" t="s">
        <v>1237</v>
      </c>
      <c r="L63" s="1715" t="s">
        <v>1237</v>
      </c>
      <c r="M63" s="1715" t="s">
        <v>1237</v>
      </c>
      <c r="N63" s="1715" t="s">
        <v>1237</v>
      </c>
      <c r="O63" s="2927"/>
      <c r="P63" s="3705"/>
      <c r="Q63" s="2194"/>
      <c r="R63" s="1735"/>
      <c r="S63" s="2174" t="s">
        <v>6620</v>
      </c>
      <c r="T63" s="1790"/>
    </row>
    <row r="64" spans="1:22" x14ac:dyDescent="0.35">
      <c r="A64" s="1342">
        <v>7</v>
      </c>
      <c r="B64" s="1612" t="str">
        <f t="shared" si="3"/>
        <v>N</v>
      </c>
      <c r="C64" s="2190" t="s">
        <v>3829</v>
      </c>
      <c r="D64" s="1746" t="s">
        <v>5398</v>
      </c>
      <c r="E64" s="2191" t="s">
        <v>1237</v>
      </c>
      <c r="F64" s="2191" t="s">
        <v>1237</v>
      </c>
      <c r="G64" s="2191" t="s">
        <v>1237</v>
      </c>
      <c r="H64" s="2191" t="s">
        <v>1237</v>
      </c>
      <c r="I64" s="2191" t="s">
        <v>1237</v>
      </c>
      <c r="J64" s="2191" t="s">
        <v>1237</v>
      </c>
      <c r="K64" s="2191" t="s">
        <v>1237</v>
      </c>
      <c r="L64" s="2191" t="s">
        <v>1237</v>
      </c>
      <c r="M64" s="2191" t="s">
        <v>1237</v>
      </c>
      <c r="N64" s="2191" t="s">
        <v>1237</v>
      </c>
      <c r="O64" s="2926"/>
      <c r="P64" s="3704"/>
      <c r="Q64" s="2192"/>
      <c r="R64" s="1735"/>
      <c r="S64" s="2174" t="s">
        <v>6620</v>
      </c>
      <c r="T64" s="1790"/>
    </row>
    <row r="65" spans="1:20" ht="30.4" x14ac:dyDescent="0.35">
      <c r="A65" s="1342">
        <v>8</v>
      </c>
      <c r="B65" s="1612" t="str">
        <f t="shared" si="3"/>
        <v/>
      </c>
      <c r="C65" s="2190" t="s">
        <v>3830</v>
      </c>
      <c r="D65" s="1746" t="s">
        <v>5399</v>
      </c>
      <c r="E65" s="1755"/>
      <c r="F65" s="2195"/>
      <c r="G65" s="2195"/>
      <c r="H65" s="2195"/>
      <c r="I65" s="1748"/>
      <c r="J65" s="1748"/>
      <c r="K65" s="1748"/>
      <c r="L65" s="2195"/>
      <c r="M65" s="2195"/>
      <c r="N65" s="2195"/>
      <c r="O65" s="2928"/>
      <c r="P65" s="3706"/>
      <c r="Q65" s="2196"/>
      <c r="R65" s="1736"/>
      <c r="S65" s="2508" t="s">
        <v>6656</v>
      </c>
      <c r="T65" s="1791" t="s">
        <v>5825</v>
      </c>
    </row>
    <row r="66" spans="1:20" x14ac:dyDescent="0.35">
      <c r="A66" s="1342">
        <v>9</v>
      </c>
      <c r="B66" s="1612" t="str">
        <f t="shared" si="3"/>
        <v>N</v>
      </c>
      <c r="C66" s="2190" t="s">
        <v>3831</v>
      </c>
      <c r="D66" s="1746" t="s">
        <v>5400</v>
      </c>
      <c r="E66" s="3783" t="s">
        <v>583</v>
      </c>
      <c r="F66" s="3783" t="s">
        <v>583</v>
      </c>
      <c r="G66" s="2191" t="s">
        <v>1237</v>
      </c>
      <c r="H66" s="1715" t="s">
        <v>1237</v>
      </c>
      <c r="I66" s="1715" t="s">
        <v>1237</v>
      </c>
      <c r="J66" s="2191" t="s">
        <v>1237</v>
      </c>
      <c r="K66" s="1715"/>
      <c r="L66" s="1715" t="s">
        <v>1237</v>
      </c>
      <c r="M66" s="1715" t="s">
        <v>1237</v>
      </c>
      <c r="N66" s="1715" t="s">
        <v>1237</v>
      </c>
      <c r="O66" s="2927"/>
      <c r="P66" s="3705"/>
      <c r="Q66" s="2194"/>
      <c r="R66" s="1735"/>
      <c r="S66" s="2174" t="s">
        <v>6620</v>
      </c>
      <c r="T66" s="1791" t="s">
        <v>5826</v>
      </c>
    </row>
    <row r="67" spans="1:20" x14ac:dyDescent="0.35">
      <c r="A67" s="1342">
        <v>10</v>
      </c>
      <c r="B67" s="1612" t="str">
        <f t="shared" si="3"/>
        <v>N</v>
      </c>
      <c r="C67" s="2190" t="s">
        <v>3832</v>
      </c>
      <c r="D67" s="1746" t="str">
        <f>"If you have had a gap between employments in "&amp;tax_year&amp;" put 'X' in box"</f>
        <v>If you have had a gap between employments in 2017-18 put 'X' in box</v>
      </c>
      <c r="E67" s="2191" t="s">
        <v>583</v>
      </c>
      <c r="F67" s="2191" t="s">
        <v>583</v>
      </c>
      <c r="G67" s="2191" t="s">
        <v>1237</v>
      </c>
      <c r="H67" s="2191" t="s">
        <v>1237</v>
      </c>
      <c r="I67" s="1715" t="s">
        <v>1237</v>
      </c>
      <c r="J67" s="1715" t="s">
        <v>1237</v>
      </c>
      <c r="K67" s="1715"/>
      <c r="L67" s="2191" t="s">
        <v>1237</v>
      </c>
      <c r="M67" s="2191" t="s">
        <v>1237</v>
      </c>
      <c r="N67" s="2191" t="s">
        <v>1237</v>
      </c>
      <c r="O67" s="2926"/>
      <c r="P67" s="3704"/>
      <c r="Q67" s="2192"/>
      <c r="R67" s="1735"/>
      <c r="S67" s="2174" t="s">
        <v>6620</v>
      </c>
      <c r="T67" s="3782" t="s">
        <v>8393</v>
      </c>
    </row>
    <row r="68" spans="1:20" x14ac:dyDescent="0.35">
      <c r="A68" s="1342">
        <v>11</v>
      </c>
      <c r="B68" s="1612" t="str">
        <f t="shared" si="3"/>
        <v>N</v>
      </c>
      <c r="C68" s="2190" t="s">
        <v>3833</v>
      </c>
      <c r="D68" s="1746" t="str">
        <f>"If you had a home overseas in "&amp;tax_year&amp;" put 'X' in box"</f>
        <v>If you had a home overseas in 2017-18 put 'X' in box</v>
      </c>
      <c r="E68" s="2191" t="s">
        <v>583</v>
      </c>
      <c r="F68" s="2191" t="s">
        <v>583</v>
      </c>
      <c r="G68" s="2191" t="s">
        <v>583</v>
      </c>
      <c r="H68" s="2191" t="s">
        <v>583</v>
      </c>
      <c r="I68" s="2191" t="s">
        <v>583</v>
      </c>
      <c r="J68" s="2191" t="s">
        <v>1237</v>
      </c>
      <c r="K68" s="2191"/>
      <c r="L68" s="2191" t="s">
        <v>583</v>
      </c>
      <c r="M68" s="2191" t="s">
        <v>583</v>
      </c>
      <c r="N68" s="2191" t="s">
        <v>583</v>
      </c>
      <c r="O68" s="2926"/>
      <c r="P68" s="3704"/>
      <c r="Q68" s="2192"/>
      <c r="R68" s="1735"/>
      <c r="S68" s="2174" t="s">
        <v>6620</v>
      </c>
      <c r="T68" s="1790"/>
    </row>
    <row r="69" spans="1:20" x14ac:dyDescent="0.35">
      <c r="A69" s="1342">
        <v>12</v>
      </c>
      <c r="B69" s="1612">
        <f t="shared" si="3"/>
        <v>84</v>
      </c>
      <c r="C69" s="2190" t="s">
        <v>3834</v>
      </c>
      <c r="D69" s="1746" t="str">
        <f>"Number of days spent in the UK during "&amp;tax_year</f>
        <v>Number of days spent in the UK during 2017-18</v>
      </c>
      <c r="E69" s="2191">
        <v>99</v>
      </c>
      <c r="F69" s="2191">
        <v>0</v>
      </c>
      <c r="G69" s="2197">
        <v>331</v>
      </c>
      <c r="H69" s="1715">
        <v>316</v>
      </c>
      <c r="I69" s="1715">
        <v>365</v>
      </c>
      <c r="J69" s="1715">
        <v>84</v>
      </c>
      <c r="K69" s="1715"/>
      <c r="L69" s="1715">
        <v>316</v>
      </c>
      <c r="M69" s="1715">
        <v>316</v>
      </c>
      <c r="N69" s="1715">
        <v>316</v>
      </c>
      <c r="O69" s="2927"/>
      <c r="P69" s="3705"/>
      <c r="Q69" s="2194"/>
      <c r="R69" s="1735"/>
      <c r="S69" s="2174" t="s">
        <v>6662</v>
      </c>
      <c r="T69" s="1791" t="s">
        <v>5827</v>
      </c>
    </row>
    <row r="70" spans="1:20" ht="20.25" x14ac:dyDescent="0.35">
      <c r="A70" s="1342">
        <v>13</v>
      </c>
      <c r="B70" s="1612">
        <f t="shared" si="3"/>
        <v>0</v>
      </c>
      <c r="C70" s="2190" t="s">
        <v>3835</v>
      </c>
      <c r="D70" s="1746" t="s">
        <v>5401</v>
      </c>
      <c r="E70" s="2395">
        <v>0</v>
      </c>
      <c r="F70" s="2395">
        <v>0</v>
      </c>
      <c r="G70" s="2395">
        <v>0</v>
      </c>
      <c r="H70" s="2395">
        <v>0</v>
      </c>
      <c r="I70" s="2395">
        <v>0</v>
      </c>
      <c r="J70" s="2396">
        <v>0</v>
      </c>
      <c r="K70" s="2396"/>
      <c r="L70" s="2395">
        <v>0</v>
      </c>
      <c r="M70" s="2395">
        <v>0</v>
      </c>
      <c r="N70" s="2395">
        <v>0</v>
      </c>
      <c r="O70" s="2929"/>
      <c r="P70" s="3707"/>
      <c r="Q70" s="2192"/>
      <c r="R70" s="1735"/>
      <c r="S70" s="2174" t="s">
        <v>6662</v>
      </c>
      <c r="T70" s="1791" t="s">
        <v>5828</v>
      </c>
    </row>
    <row r="71" spans="1:20" x14ac:dyDescent="0.35">
      <c r="A71" s="1342">
        <v>14</v>
      </c>
      <c r="B71" s="1612">
        <f t="shared" si="3"/>
        <v>0</v>
      </c>
      <c r="C71" s="2190" t="s">
        <v>3836</v>
      </c>
      <c r="D71" s="1746" t="str">
        <f>"How many ties to the UK did you have in "&amp;tax_year&amp;"?"</f>
        <v>How many ties to the UK did you have in 2017-18?</v>
      </c>
      <c r="E71" s="2191">
        <v>1</v>
      </c>
      <c r="F71" s="2191">
        <v>0</v>
      </c>
      <c r="G71" s="2197">
        <v>4</v>
      </c>
      <c r="H71" s="1715">
        <v>3</v>
      </c>
      <c r="I71" s="1715">
        <v>3</v>
      </c>
      <c r="J71" s="1715">
        <v>0</v>
      </c>
      <c r="K71" s="1715"/>
      <c r="L71" s="1715">
        <v>3</v>
      </c>
      <c r="M71" s="1715">
        <v>3</v>
      </c>
      <c r="N71" s="1715">
        <v>3</v>
      </c>
      <c r="O71" s="2927"/>
      <c r="P71" s="3705"/>
      <c r="Q71" s="2194"/>
      <c r="R71" s="1735"/>
      <c r="S71" s="2174" t="s">
        <v>6662</v>
      </c>
      <c r="T71" s="1790"/>
    </row>
    <row r="72" spans="1:20" x14ac:dyDescent="0.35">
      <c r="A72" s="1342">
        <v>15</v>
      </c>
      <c r="B72" s="1612">
        <f t="shared" si="3"/>
        <v>0</v>
      </c>
      <c r="C72" s="2190" t="s">
        <v>3837</v>
      </c>
      <c r="D72" s="1746" t="str">
        <f>"Number of days you worked for more than 3 hours in the UK in "&amp;tax_year</f>
        <v>Number of days you worked for more than 3 hours in the UK in 2017-18</v>
      </c>
      <c r="E72" s="2191">
        <v>80</v>
      </c>
      <c r="F72" s="2191">
        <v>0</v>
      </c>
      <c r="G72" s="2197">
        <v>286</v>
      </c>
      <c r="H72" s="1715">
        <v>294</v>
      </c>
      <c r="I72" s="1715">
        <v>340</v>
      </c>
      <c r="J72" s="1715">
        <v>0</v>
      </c>
      <c r="K72" s="1715"/>
      <c r="L72" s="1715">
        <v>294</v>
      </c>
      <c r="M72" s="1715">
        <v>294</v>
      </c>
      <c r="N72" s="1715">
        <v>294</v>
      </c>
      <c r="O72" s="2927"/>
      <c r="P72" s="3705"/>
      <c r="Q72" s="2194"/>
      <c r="R72" s="1735"/>
      <c r="S72" s="2174" t="s">
        <v>6662</v>
      </c>
      <c r="T72" s="1790"/>
    </row>
    <row r="73" spans="1:20" x14ac:dyDescent="0.35">
      <c r="A73" s="1342">
        <v>16</v>
      </c>
      <c r="B73" s="1612" t="str">
        <f t="shared" si="3"/>
        <v/>
      </c>
      <c r="C73" s="2190" t="s">
        <v>3838</v>
      </c>
      <c r="D73" s="1746" t="str">
        <f>"Number of days you worked for more than 3 hours overseas in "&amp;tax_year</f>
        <v>Number of days you worked for more than 3 hours overseas in 2017-18</v>
      </c>
      <c r="E73" s="2191">
        <v>160</v>
      </c>
      <c r="F73" s="2191"/>
      <c r="G73" s="2197"/>
      <c r="H73" s="2197"/>
      <c r="I73" s="2197"/>
      <c r="J73" s="1715"/>
      <c r="K73" s="1715"/>
      <c r="L73" s="2197"/>
      <c r="M73" s="2197"/>
      <c r="N73" s="2197"/>
      <c r="O73" s="2930"/>
      <c r="P73" s="3708"/>
      <c r="Q73" s="2198"/>
      <c r="R73" s="1737"/>
      <c r="S73" s="2509" t="s">
        <v>6849</v>
      </c>
      <c r="T73" s="1790"/>
    </row>
    <row r="74" spans="1:20" x14ac:dyDescent="0.35">
      <c r="A74" s="1342">
        <v>17</v>
      </c>
      <c r="B74" s="1612" t="str">
        <f t="shared" si="3"/>
        <v>N</v>
      </c>
      <c r="C74" s="2199" t="s">
        <v>3839</v>
      </c>
      <c r="D74" s="1746" t="s">
        <v>5396</v>
      </c>
      <c r="E74" s="2191" t="s">
        <v>1237</v>
      </c>
      <c r="F74" s="2200" t="s">
        <v>583</v>
      </c>
      <c r="G74" s="2191" t="s">
        <v>1237</v>
      </c>
      <c r="H74" s="1715" t="s">
        <v>1237</v>
      </c>
      <c r="I74" s="1715" t="s">
        <v>1237</v>
      </c>
      <c r="J74" s="2191" t="s">
        <v>1237</v>
      </c>
      <c r="K74" s="1715"/>
      <c r="L74" s="1715" t="s">
        <v>1237</v>
      </c>
      <c r="M74" s="1715" t="s">
        <v>1237</v>
      </c>
      <c r="N74" s="1715" t="s">
        <v>1237</v>
      </c>
      <c r="O74" s="2927"/>
      <c r="P74" s="3705"/>
      <c r="Q74" s="2194"/>
      <c r="R74" s="1735"/>
      <c r="S74" s="2174" t="s">
        <v>6620</v>
      </c>
      <c r="T74" s="1790"/>
    </row>
    <row r="75" spans="1:20" x14ac:dyDescent="0.35">
      <c r="A75" s="1342">
        <v>18</v>
      </c>
      <c r="B75" s="1612" t="str">
        <f t="shared" si="3"/>
        <v>N</v>
      </c>
      <c r="C75" s="2199" t="s">
        <v>3840</v>
      </c>
      <c r="D75" s="1746" t="s">
        <v>5402</v>
      </c>
      <c r="E75" s="2200" t="s">
        <v>583</v>
      </c>
      <c r="F75" s="2191" t="s">
        <v>1237</v>
      </c>
      <c r="G75" s="2191" t="s">
        <v>1237</v>
      </c>
      <c r="H75" s="1715" t="s">
        <v>1237</v>
      </c>
      <c r="I75" s="1715" t="s">
        <v>1237</v>
      </c>
      <c r="J75" s="1715" t="s">
        <v>1237</v>
      </c>
      <c r="K75" s="1715"/>
      <c r="L75" s="1715" t="s">
        <v>1237</v>
      </c>
      <c r="M75" s="1715" t="s">
        <v>1237</v>
      </c>
      <c r="N75" s="1715" t="s">
        <v>1237</v>
      </c>
      <c r="O75" s="2927"/>
      <c r="P75" s="3705"/>
      <c r="Q75" s="2194"/>
      <c r="R75" s="1735"/>
      <c r="S75" s="2174" t="s">
        <v>6620</v>
      </c>
      <c r="T75" s="1790"/>
    </row>
    <row r="76" spans="1:20" x14ac:dyDescent="0.35">
      <c r="A76" s="1342">
        <v>19</v>
      </c>
      <c r="B76" s="1612" t="str">
        <f t="shared" si="3"/>
        <v>IND</v>
      </c>
      <c r="C76" s="2190" t="s">
        <v>3841</v>
      </c>
      <c r="D76" s="1746" t="s">
        <v>5403</v>
      </c>
      <c r="E76" s="2201" t="s">
        <v>843</v>
      </c>
      <c r="F76" s="2202" t="s">
        <v>2072</v>
      </c>
      <c r="G76" s="2201" t="s">
        <v>2687</v>
      </c>
      <c r="H76" s="2201"/>
      <c r="I76" s="1715" t="s">
        <v>1633</v>
      </c>
      <c r="J76" s="1715" t="s">
        <v>3909</v>
      </c>
      <c r="K76" s="1715"/>
      <c r="L76" s="2201"/>
      <c r="M76" s="2201"/>
      <c r="N76" s="2201"/>
      <c r="O76" s="2931"/>
      <c r="P76" s="3709"/>
      <c r="Q76" s="2203"/>
      <c r="R76" s="1738"/>
      <c r="S76" s="2509" t="s">
        <v>6850</v>
      </c>
      <c r="T76" s="1790" t="s">
        <v>5829</v>
      </c>
    </row>
    <row r="77" spans="1:20" x14ac:dyDescent="0.35">
      <c r="A77" s="1342">
        <v>20</v>
      </c>
      <c r="B77" s="1612" t="str">
        <f t="shared" si="3"/>
        <v>IND</v>
      </c>
      <c r="C77" s="2190" t="s">
        <v>3842</v>
      </c>
      <c r="D77" s="1746" t="str">
        <f>"Enter the code(s) for the country or countries, other than the UK, in which you were resident for tax purposes for "&amp;tax_year</f>
        <v>Enter the code(s) for the country or countries, other than the UK, in which you were resident for tax purposes for 2017-18</v>
      </c>
      <c r="E77" s="2204"/>
      <c r="F77" s="2205" t="s">
        <v>2072</v>
      </c>
      <c r="G77" s="2201" t="s">
        <v>2687</v>
      </c>
      <c r="H77" s="1715" t="s">
        <v>1633</v>
      </c>
      <c r="I77" s="1715" t="s">
        <v>1633</v>
      </c>
      <c r="J77" s="1715" t="s">
        <v>3909</v>
      </c>
      <c r="K77" s="1715"/>
      <c r="L77" s="1715" t="s">
        <v>1633</v>
      </c>
      <c r="M77" s="1715" t="s">
        <v>1633</v>
      </c>
      <c r="N77" s="1715" t="s">
        <v>1633</v>
      </c>
      <c r="O77" s="2927"/>
      <c r="P77" s="3705"/>
      <c r="Q77" s="2194"/>
      <c r="R77" s="1735"/>
      <c r="S77" s="2174" t="s">
        <v>6850</v>
      </c>
      <c r="T77" s="1790" t="s">
        <v>5830</v>
      </c>
    </row>
    <row r="78" spans="1:20" x14ac:dyDescent="0.35">
      <c r="A78" s="1342">
        <v>21</v>
      </c>
      <c r="B78" s="1612" t="str">
        <f t="shared" si="3"/>
        <v>IND</v>
      </c>
      <c r="C78" s="2190" t="s">
        <v>3843</v>
      </c>
      <c r="D78" s="1746" t="str">
        <f>"If you were also resident in either or both of the countries above for "&amp;tax_year&amp;", enter the appropriate code(s)"</f>
        <v>If you were also resident in either or both of the countries above for 2017-18, enter the appropriate code(s)</v>
      </c>
      <c r="E78" s="2204"/>
      <c r="F78" s="2204"/>
      <c r="G78" s="2201"/>
      <c r="H78" s="1715" t="s">
        <v>1633</v>
      </c>
      <c r="I78" s="1715" t="s">
        <v>1633</v>
      </c>
      <c r="J78" s="1715" t="s">
        <v>3909</v>
      </c>
      <c r="K78" s="1715"/>
      <c r="L78" s="1715" t="s">
        <v>1633</v>
      </c>
      <c r="M78" s="1715" t="s">
        <v>1633</v>
      </c>
      <c r="N78" s="1715" t="s">
        <v>1633</v>
      </c>
      <c r="O78" s="2927"/>
      <c r="P78" s="3705"/>
      <c r="Q78" s="2194"/>
      <c r="R78" s="1735"/>
      <c r="S78" s="2174" t="s">
        <v>6850</v>
      </c>
      <c r="T78" s="1790" t="s">
        <v>5831</v>
      </c>
    </row>
    <row r="79" spans="1:20" x14ac:dyDescent="0.35">
      <c r="A79" s="1342">
        <v>22</v>
      </c>
      <c r="B79" s="1612" t="str">
        <f t="shared" si="3"/>
        <v/>
      </c>
      <c r="C79" s="2187" t="s">
        <v>3844</v>
      </c>
      <c r="D79" s="1746" t="s">
        <v>5404</v>
      </c>
      <c r="E79" s="2397"/>
      <c r="F79" s="2397"/>
      <c r="G79" s="2398"/>
      <c r="H79" s="2399">
        <v>131762</v>
      </c>
      <c r="I79" s="2399">
        <v>2400</v>
      </c>
      <c r="J79" s="2399"/>
      <c r="K79" s="2399"/>
      <c r="L79" s="2399">
        <v>131762</v>
      </c>
      <c r="M79" s="2399">
        <v>131762</v>
      </c>
      <c r="N79" s="2399">
        <v>131762</v>
      </c>
      <c r="O79" s="2932"/>
      <c r="P79" s="3710"/>
      <c r="Q79" s="2400"/>
      <c r="R79" s="1735"/>
      <c r="S79" s="2174" t="s">
        <v>6617</v>
      </c>
      <c r="T79" s="1790"/>
    </row>
    <row r="80" spans="1:20" x14ac:dyDescent="0.35">
      <c r="A80" s="1342">
        <v>23</v>
      </c>
      <c r="B80" s="1612" t="str">
        <f t="shared" si="3"/>
        <v/>
      </c>
      <c r="C80" s="2199" t="s">
        <v>3563</v>
      </c>
      <c r="D80" s="1746" t="s">
        <v>5405</v>
      </c>
      <c r="E80" s="2397"/>
      <c r="F80" s="2397"/>
      <c r="G80" s="2397"/>
      <c r="H80" s="2399"/>
      <c r="I80" s="2399">
        <v>0</v>
      </c>
      <c r="J80" s="2399"/>
      <c r="K80" s="2399"/>
      <c r="L80" s="2399"/>
      <c r="M80" s="2399"/>
      <c r="N80" s="2399"/>
      <c r="O80" s="2932"/>
      <c r="P80" s="3710"/>
      <c r="Q80" s="2400"/>
      <c r="R80" s="1735"/>
      <c r="S80" s="2174" t="s">
        <v>6617</v>
      </c>
      <c r="T80" s="1790"/>
    </row>
    <row r="81" spans="1:20" x14ac:dyDescent="0.35">
      <c r="A81" s="1342">
        <v>24</v>
      </c>
      <c r="B81" s="1612" t="str">
        <f t="shared" si="3"/>
        <v/>
      </c>
      <c r="C81" s="2199" t="s">
        <v>4311</v>
      </c>
      <c r="D81" s="1746" t="s">
        <v>5406</v>
      </c>
      <c r="E81" s="2397"/>
      <c r="F81" s="2397"/>
      <c r="G81" s="2397"/>
      <c r="H81" s="2399"/>
      <c r="I81" s="2399">
        <v>120</v>
      </c>
      <c r="J81" s="2399"/>
      <c r="K81" s="2399"/>
      <c r="L81" s="2399"/>
      <c r="M81" s="2399"/>
      <c r="N81" s="2399"/>
      <c r="O81" s="2932"/>
      <c r="P81" s="3710"/>
      <c r="Q81" s="2400"/>
      <c r="R81" s="1735"/>
      <c r="S81" s="2174" t="s">
        <v>6617</v>
      </c>
      <c r="T81" s="1790"/>
    </row>
    <row r="82" spans="1:20" x14ac:dyDescent="0.35">
      <c r="A82" s="1342">
        <v>25</v>
      </c>
      <c r="B82" s="1612" t="str">
        <f t="shared" si="3"/>
        <v>Y</v>
      </c>
      <c r="C82" s="2207" t="s">
        <v>4312</v>
      </c>
      <c r="D82" s="1746"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2017-18, put ‘X’ in the box. Please explain in Box 40…</v>
      </c>
      <c r="E82" s="2191" t="s">
        <v>1237</v>
      </c>
      <c r="F82" s="2191" t="s">
        <v>1237</v>
      </c>
      <c r="G82" s="2191" t="s">
        <v>583</v>
      </c>
      <c r="H82" s="1715" t="s">
        <v>583</v>
      </c>
      <c r="I82" s="1715" t="s">
        <v>583</v>
      </c>
      <c r="J82" s="1715" t="s">
        <v>583</v>
      </c>
      <c r="K82" s="2208" t="s">
        <v>583</v>
      </c>
      <c r="L82" s="1715" t="s">
        <v>583</v>
      </c>
      <c r="M82" s="1715" t="s">
        <v>583</v>
      </c>
      <c r="N82" s="1715" t="s">
        <v>583</v>
      </c>
      <c r="O82" s="2927"/>
      <c r="P82" s="3705"/>
      <c r="Q82" s="2194"/>
      <c r="R82" s="1735"/>
      <c r="S82" s="3804" t="s">
        <v>6620</v>
      </c>
      <c r="T82" s="3805"/>
    </row>
    <row r="83" spans="1:20" x14ac:dyDescent="0.35">
      <c r="A83" s="1342">
        <v>26</v>
      </c>
      <c r="B83" s="1612" t="str">
        <f t="shared" ref="B83:B102" si="5">IF(NRD_IND&gt;1,IF(HLOOKUP(NRD_IND-1,NRD_RANGE,A83)="","",HLOOKUP(NRD_IND-1,NRD_RANGE,A83)),"")</f>
        <v/>
      </c>
      <c r="C83" s="3792" t="s">
        <v>8430</v>
      </c>
      <c r="D83" s="3793" t="s">
        <v>8433</v>
      </c>
      <c r="E83" s="3583"/>
      <c r="F83" s="3583"/>
      <c r="G83" s="3583"/>
      <c r="H83" s="3583"/>
      <c r="I83" s="3583"/>
      <c r="J83" s="3583"/>
      <c r="K83" s="3583"/>
      <c r="L83" s="3583"/>
      <c r="M83" s="3583"/>
      <c r="N83" s="3811"/>
      <c r="O83" s="3785"/>
      <c r="P83" s="3785"/>
      <c r="Q83" s="3789"/>
      <c r="R83" s="3790"/>
      <c r="S83" s="3806"/>
      <c r="T83" s="3810"/>
    </row>
    <row r="84" spans="1:20" x14ac:dyDescent="0.35">
      <c r="A84" s="1342">
        <v>27</v>
      </c>
      <c r="B84" s="1612" t="str">
        <f t="shared" si="5"/>
        <v/>
      </c>
      <c r="C84" s="3792" t="s">
        <v>8431</v>
      </c>
      <c r="D84" s="3793" t="s">
        <v>8434</v>
      </c>
      <c r="E84" s="3583"/>
      <c r="F84" s="3583"/>
      <c r="G84" s="3583"/>
      <c r="H84" s="3583"/>
      <c r="I84" s="3583"/>
      <c r="J84" s="3583"/>
      <c r="K84" s="3583"/>
      <c r="L84" s="3583"/>
      <c r="M84" s="3583"/>
      <c r="N84" s="3811" t="s">
        <v>583</v>
      </c>
      <c r="O84" s="3785"/>
      <c r="P84" s="3785"/>
      <c r="Q84" s="3789"/>
      <c r="R84" s="3790"/>
      <c r="S84" s="3806"/>
      <c r="T84" s="3810"/>
    </row>
    <row r="85" spans="1:20" x14ac:dyDescent="0.35">
      <c r="A85" s="1342">
        <v>28</v>
      </c>
      <c r="B85" s="2279" t="str">
        <f t="shared" si="5"/>
        <v/>
      </c>
      <c r="C85" s="3792" t="s">
        <v>8432</v>
      </c>
      <c r="D85" s="3793" t="s">
        <v>8474</v>
      </c>
      <c r="E85" s="3583"/>
      <c r="F85" s="3583"/>
      <c r="G85" s="3583"/>
      <c r="H85" s="3583"/>
      <c r="I85" s="3583"/>
      <c r="J85" s="3583"/>
      <c r="K85" s="3583"/>
      <c r="L85" s="3583"/>
      <c r="M85" s="3583"/>
      <c r="N85" s="3829">
        <v>19</v>
      </c>
      <c r="O85" s="3785"/>
      <c r="P85" s="3785"/>
      <c r="Q85" s="3789"/>
      <c r="R85" s="3790"/>
      <c r="S85" s="3806"/>
      <c r="T85" s="3810"/>
    </row>
    <row r="86" spans="1:20" x14ac:dyDescent="0.35">
      <c r="A86" s="1342">
        <v>29</v>
      </c>
      <c r="B86" s="1612" t="str">
        <f t="shared" si="5"/>
        <v>Y</v>
      </c>
      <c r="C86" s="2207" t="s">
        <v>3013</v>
      </c>
      <c r="D86" s="1746" t="str">
        <f>"If "&amp;tax_year&amp;" is the first year you have told us that your domicile is outside the UK, put ‘X’ in the box"</f>
        <v>If 2017-18 is the first year you have told us that your domicile is outside the UK, put ‘X’ in the box</v>
      </c>
      <c r="E86" s="2191" t="s">
        <v>1237</v>
      </c>
      <c r="F86" s="2191" t="s">
        <v>1237</v>
      </c>
      <c r="G86" s="2191" t="s">
        <v>1237</v>
      </c>
      <c r="H86" s="1715" t="s">
        <v>1237</v>
      </c>
      <c r="I86" s="1715" t="s">
        <v>1237</v>
      </c>
      <c r="J86" s="1715" t="s">
        <v>583</v>
      </c>
      <c r="K86" s="1715"/>
      <c r="L86" s="1715" t="s">
        <v>1237</v>
      </c>
      <c r="M86" s="1715" t="s">
        <v>1237</v>
      </c>
      <c r="N86" s="1715" t="s">
        <v>1237</v>
      </c>
      <c r="O86" s="2927"/>
      <c r="P86" s="3705"/>
      <c r="Q86" s="2194"/>
      <c r="R86" s="1735"/>
      <c r="S86" s="3804" t="s">
        <v>6620</v>
      </c>
      <c r="T86" s="3807" t="s">
        <v>5832</v>
      </c>
    </row>
    <row r="87" spans="1:20" x14ac:dyDescent="0.35">
      <c r="A87" s="1342">
        <v>30</v>
      </c>
      <c r="B87" s="1612" t="str">
        <f t="shared" si="5"/>
        <v/>
      </c>
      <c r="C87" s="2207" t="s">
        <v>3014</v>
      </c>
      <c r="D87" s="2209" t="s">
        <v>5407</v>
      </c>
      <c r="E87" s="2191"/>
      <c r="F87" s="2191"/>
      <c r="G87" s="2191"/>
      <c r="H87" s="1715"/>
      <c r="I87" s="1715"/>
      <c r="J87" s="1715"/>
      <c r="K87" s="1715"/>
      <c r="L87" s="1715"/>
      <c r="M87" s="1715"/>
      <c r="N87" s="1715"/>
      <c r="O87" s="2927"/>
      <c r="P87" s="3705"/>
      <c r="Q87" s="2194"/>
      <c r="R87" s="1735"/>
      <c r="S87" s="3804" t="s">
        <v>6656</v>
      </c>
      <c r="T87" s="3807" t="s">
        <v>5833</v>
      </c>
    </row>
    <row r="88" spans="1:20" ht="20.25" x14ac:dyDescent="0.35">
      <c r="A88" s="1342">
        <v>31</v>
      </c>
      <c r="B88" s="1612" t="str">
        <f t="shared" si="5"/>
        <v>N</v>
      </c>
      <c r="C88" s="2207" t="s">
        <v>3015</v>
      </c>
      <c r="D88" s="2209" t="s">
        <v>5408</v>
      </c>
      <c r="E88" s="2191" t="s">
        <v>1237</v>
      </c>
      <c r="F88" s="2191" t="s">
        <v>1237</v>
      </c>
      <c r="G88" s="2191" t="s">
        <v>1237</v>
      </c>
      <c r="H88" s="1715" t="s">
        <v>1237</v>
      </c>
      <c r="I88" s="1715" t="s">
        <v>1237</v>
      </c>
      <c r="J88" s="1715" t="s">
        <v>1237</v>
      </c>
      <c r="K88" s="2208" t="s">
        <v>583</v>
      </c>
      <c r="L88" s="1715" t="s">
        <v>1237</v>
      </c>
      <c r="M88" s="1715" t="s">
        <v>1237</v>
      </c>
      <c r="N88" s="1715" t="s">
        <v>1237</v>
      </c>
      <c r="O88" s="2927"/>
      <c r="P88" s="3705"/>
      <c r="Q88" s="2194"/>
      <c r="R88" s="1735"/>
      <c r="S88" s="3804" t="s">
        <v>6620</v>
      </c>
      <c r="T88" s="3807" t="s">
        <v>5834</v>
      </c>
    </row>
    <row r="89" spans="1:20" ht="20.25" x14ac:dyDescent="0.35">
      <c r="A89" s="1342">
        <v>32</v>
      </c>
      <c r="B89" s="1612" t="str">
        <f t="shared" si="5"/>
        <v>02/02/2014</v>
      </c>
      <c r="C89" s="2207" t="s">
        <v>1075</v>
      </c>
      <c r="D89" s="2209" t="s">
        <v>5343</v>
      </c>
      <c r="E89" s="1755"/>
      <c r="F89" s="1755"/>
      <c r="G89" s="2195" t="str">
        <f>"22/12/"&amp;Tax_year_start-6</f>
        <v>22/12/2011</v>
      </c>
      <c r="H89" s="2195" t="str">
        <f>"12/04/"&amp;Tax_year_start-6</f>
        <v>12/04/2011</v>
      </c>
      <c r="I89" s="2195" t="str">
        <f>"17/06/"&amp;Tax_year_start-13</f>
        <v>17/06/2004</v>
      </c>
      <c r="J89" s="2210" t="str">
        <f>"02/02/"&amp;Tax_year_start-3</f>
        <v>02/02/2014</v>
      </c>
      <c r="K89" s="1748"/>
      <c r="L89" s="2195" t="str">
        <f>"12/04/"&amp;Tax_year_start-10</f>
        <v>12/04/2007</v>
      </c>
      <c r="M89" s="2195" t="str">
        <f>"12/04/"&amp;Tax_year_start-15</f>
        <v>12/04/2002</v>
      </c>
      <c r="N89" s="2195" t="str">
        <f>"12/04/"&amp;Tax_year_start-21</f>
        <v>12/04/1996</v>
      </c>
      <c r="O89" s="2928"/>
      <c r="P89" s="3706"/>
      <c r="Q89" s="2196"/>
      <c r="R89" s="1736"/>
      <c r="S89" s="3808" t="s">
        <v>6656</v>
      </c>
      <c r="T89" s="3807" t="s">
        <v>5835</v>
      </c>
    </row>
    <row r="90" spans="1:20" ht="20.25" x14ac:dyDescent="0.35">
      <c r="A90" s="1342">
        <v>33</v>
      </c>
      <c r="B90" s="1612" t="str">
        <f t="shared" si="5"/>
        <v>N</v>
      </c>
      <c r="C90" s="2187" t="s">
        <v>1076</v>
      </c>
      <c r="D90" s="1746" t="str">
        <f>"If you are making a claim for the remittance basis for "&amp;tax_year&amp;", put ‘X’ in the box"</f>
        <v>If you are making a claim for the remittance basis for 2017-18, put ‘X’ in the box</v>
      </c>
      <c r="E90" s="2191" t="s">
        <v>1237</v>
      </c>
      <c r="F90" s="2191" t="s">
        <v>1237</v>
      </c>
      <c r="G90" s="2200" t="s">
        <v>583</v>
      </c>
      <c r="H90" s="2035" t="s">
        <v>583</v>
      </c>
      <c r="I90" s="2035" t="s">
        <v>583</v>
      </c>
      <c r="J90" s="2191" t="s">
        <v>1237</v>
      </c>
      <c r="K90" s="2208" t="s">
        <v>583</v>
      </c>
      <c r="L90" s="2035" t="s">
        <v>583</v>
      </c>
      <c r="M90" s="2035" t="s">
        <v>583</v>
      </c>
      <c r="N90" s="3811" t="s">
        <v>1237</v>
      </c>
      <c r="O90" s="2933"/>
      <c r="P90" s="3557"/>
      <c r="Q90" s="2206"/>
      <c r="R90" s="1739"/>
      <c r="S90" s="3809" t="s">
        <v>6620</v>
      </c>
      <c r="T90" s="3810" t="s">
        <v>8426</v>
      </c>
    </row>
    <row r="91" spans="1:20" x14ac:dyDescent="0.35">
      <c r="A91" s="1342">
        <v>34</v>
      </c>
      <c r="B91" s="1612" t="str">
        <f t="shared" si="5"/>
        <v>N</v>
      </c>
      <c r="C91" s="2187" t="s">
        <v>1077</v>
      </c>
      <c r="D91" s="1746" t="str">
        <f>"If your unremitted income and capital gains for "&amp;tax_year&amp;" is less than £2,000, put ‘X’ in the box"</f>
        <v>If your unremitted income and capital gains for 2017-18 is less than £2,000, put ‘X’ in the box</v>
      </c>
      <c r="E91" s="2191" t="s">
        <v>1237</v>
      </c>
      <c r="F91" s="2191" t="s">
        <v>1237</v>
      </c>
      <c r="G91" s="2191" t="s">
        <v>1237</v>
      </c>
      <c r="H91" s="1715" t="s">
        <v>1237</v>
      </c>
      <c r="I91" s="2035" t="s">
        <v>583</v>
      </c>
      <c r="J91" s="2191" t="s">
        <v>1237</v>
      </c>
      <c r="K91" s="2193" t="s">
        <v>1237</v>
      </c>
      <c r="L91" s="1715" t="s">
        <v>1237</v>
      </c>
      <c r="M91" s="1715" t="s">
        <v>1237</v>
      </c>
      <c r="N91" s="1715" t="s">
        <v>1237</v>
      </c>
      <c r="O91" s="2927"/>
      <c r="P91" s="3705"/>
      <c r="Q91" s="2194"/>
      <c r="R91" s="1735"/>
      <c r="S91" s="3804" t="s">
        <v>6620</v>
      </c>
      <c r="T91" s="3805"/>
    </row>
    <row r="92" spans="1:20" ht="20.25" x14ac:dyDescent="0.35">
      <c r="A92" s="1342">
        <v>35</v>
      </c>
      <c r="B92" s="1612" t="str">
        <f t="shared" si="5"/>
        <v>N</v>
      </c>
      <c r="C92" s="2187" t="s">
        <v>1078</v>
      </c>
      <c r="D92" s="3793" t="s">
        <v>8435</v>
      </c>
      <c r="E92" s="2191" t="s">
        <v>1237</v>
      </c>
      <c r="F92" s="2191" t="s">
        <v>1237</v>
      </c>
      <c r="G92" s="2191" t="s">
        <v>1237</v>
      </c>
      <c r="H92" s="1715" t="s">
        <v>1237</v>
      </c>
      <c r="I92" s="2208" t="s">
        <v>1237</v>
      </c>
      <c r="J92" s="2191" t="s">
        <v>1237</v>
      </c>
      <c r="K92" s="2191" t="s">
        <v>1237</v>
      </c>
      <c r="L92" s="1715" t="s">
        <v>1237</v>
      </c>
      <c r="M92" s="1715" t="s">
        <v>1237</v>
      </c>
      <c r="N92" s="2035" t="s">
        <v>583</v>
      </c>
      <c r="O92" s="2933"/>
      <c r="P92" s="3557"/>
      <c r="Q92" s="2206"/>
      <c r="R92" s="1739"/>
      <c r="S92" s="3809" t="s">
        <v>6620</v>
      </c>
      <c r="T92" s="3810" t="s">
        <v>8425</v>
      </c>
    </row>
    <row r="93" spans="1:20" ht="20.25" x14ac:dyDescent="0.35">
      <c r="A93" s="1342">
        <v>36</v>
      </c>
      <c r="B93" s="1612" t="str">
        <f t="shared" si="5"/>
        <v>N</v>
      </c>
      <c r="C93" s="2187" t="s">
        <v>1079</v>
      </c>
      <c r="D93" s="1746" t="str">
        <f>"If you were UK resident for "&amp;tax_year&amp;" and for 12 or more of the preceding 14 tax years, put ‘X’ in the box"</f>
        <v>If you were UK resident for 2017-18 and for 12 or more of the preceding 14 tax years, put ‘X’ in the box</v>
      </c>
      <c r="E93" s="2191" t="s">
        <v>1237</v>
      </c>
      <c r="F93" s="2191" t="s">
        <v>1237</v>
      </c>
      <c r="G93" s="2200" t="s">
        <v>583</v>
      </c>
      <c r="H93" s="2191" t="s">
        <v>1237</v>
      </c>
      <c r="I93" s="2191" t="s">
        <v>1237</v>
      </c>
      <c r="J93" s="2191" t="s">
        <v>1237</v>
      </c>
      <c r="K93" s="2208" t="s">
        <v>583</v>
      </c>
      <c r="L93" s="2191" t="s">
        <v>1237</v>
      </c>
      <c r="M93" s="2200" t="s">
        <v>583</v>
      </c>
      <c r="N93" s="2191" t="s">
        <v>1237</v>
      </c>
      <c r="O93" s="2926"/>
      <c r="P93" s="3704"/>
      <c r="Q93" s="2192"/>
      <c r="R93" s="1735"/>
      <c r="S93" s="3804" t="s">
        <v>6620</v>
      </c>
      <c r="T93" s="3810" t="s">
        <v>8428</v>
      </c>
    </row>
    <row r="94" spans="1:20" ht="20.25" x14ac:dyDescent="0.35">
      <c r="A94" s="1342">
        <v>37</v>
      </c>
      <c r="B94" s="1612" t="str">
        <f t="shared" si="5"/>
        <v>N</v>
      </c>
      <c r="C94" s="2187" t="s">
        <v>1080</v>
      </c>
      <c r="D94" s="1746" t="str">
        <f>"If you were UK resident for "&amp;tax_year&amp;" and for 7 or more of the preceding 9 tax years, put ‘X’ in the box"</f>
        <v>If you were UK resident for 2017-18 and for 7 or more of the preceding 9 tax years, put ‘X’ in the box</v>
      </c>
      <c r="E94" s="2191" t="s">
        <v>1237</v>
      </c>
      <c r="F94" s="2191" t="s">
        <v>1237</v>
      </c>
      <c r="G94" s="2191" t="s">
        <v>1237</v>
      </c>
      <c r="H94" s="2774" t="s">
        <v>583</v>
      </c>
      <c r="I94" s="2035" t="s">
        <v>583</v>
      </c>
      <c r="J94" s="2191" t="s">
        <v>1237</v>
      </c>
      <c r="K94" s="2208" t="s">
        <v>1237</v>
      </c>
      <c r="L94" s="2035" t="s">
        <v>583</v>
      </c>
      <c r="M94" s="2208" t="s">
        <v>1237</v>
      </c>
      <c r="N94" s="2208" t="s">
        <v>1237</v>
      </c>
      <c r="O94" s="2934"/>
      <c r="P94" s="3657"/>
      <c r="Q94" s="2211"/>
      <c r="R94" s="1740"/>
      <c r="S94" s="3804" t="s">
        <v>6620</v>
      </c>
      <c r="T94" s="3810" t="s">
        <v>8429</v>
      </c>
    </row>
    <row r="95" spans="1:20" x14ac:dyDescent="0.35">
      <c r="A95" s="1342">
        <v>38</v>
      </c>
      <c r="B95" s="1612" t="str">
        <f t="shared" si="5"/>
        <v>N</v>
      </c>
      <c r="C95" s="2187" t="s">
        <v>1081</v>
      </c>
      <c r="D95" s="1746" t="str">
        <f>"If you were under 18 on 5 April "&amp;Tax_year_end&amp;", put ‘X’ in the box"</f>
        <v>If you were under 18 on 5 April 2018, put ‘X’ in the box</v>
      </c>
      <c r="E95" s="2191" t="s">
        <v>1237</v>
      </c>
      <c r="F95" s="2191" t="s">
        <v>1237</v>
      </c>
      <c r="G95" s="2191" t="s">
        <v>1237</v>
      </c>
      <c r="H95" s="1715" t="s">
        <v>1237</v>
      </c>
      <c r="I95" s="1715" t="s">
        <v>1237</v>
      </c>
      <c r="J95" s="2191" t="s">
        <v>1237</v>
      </c>
      <c r="K95" s="2208" t="s">
        <v>583</v>
      </c>
      <c r="L95" s="1715" t="s">
        <v>1237</v>
      </c>
      <c r="M95" s="1715" t="s">
        <v>1237</v>
      </c>
      <c r="N95" s="1715" t="s">
        <v>1237</v>
      </c>
      <c r="O95" s="2927"/>
      <c r="P95" s="3705"/>
      <c r="Q95" s="2194"/>
      <c r="R95" s="1735"/>
      <c r="S95" s="2174" t="s">
        <v>6620</v>
      </c>
      <c r="T95" s="1790"/>
    </row>
    <row r="96" spans="1:20" x14ac:dyDescent="0.35">
      <c r="A96" s="1342">
        <v>39</v>
      </c>
      <c r="B96" s="1612" t="str">
        <f t="shared" si="5"/>
        <v/>
      </c>
      <c r="C96" s="2187" t="s">
        <v>1082</v>
      </c>
      <c r="D96" s="1746" t="s">
        <v>5341</v>
      </c>
      <c r="E96" s="2397"/>
      <c r="F96" s="2397"/>
      <c r="G96" s="2397">
        <v>200000</v>
      </c>
      <c r="H96" s="2399">
        <v>131762</v>
      </c>
      <c r="I96" s="2399">
        <v>1</v>
      </c>
      <c r="J96" s="2397"/>
      <c r="K96" s="2399"/>
      <c r="L96" s="2399">
        <v>131762</v>
      </c>
      <c r="M96" s="2399">
        <v>131762</v>
      </c>
      <c r="N96" s="3821"/>
      <c r="O96" s="2932"/>
      <c r="P96" s="3710"/>
      <c r="Q96" s="2400"/>
      <c r="R96" s="1735"/>
      <c r="S96" s="2174" t="s">
        <v>6617</v>
      </c>
      <c r="T96" s="1790"/>
    </row>
    <row r="97" spans="1:20" ht="30.4" x14ac:dyDescent="0.35">
      <c r="A97" s="1342">
        <v>40</v>
      </c>
      <c r="B97" s="1612" t="str">
        <f t="shared" si="5"/>
        <v/>
      </c>
      <c r="C97" s="2187" t="s">
        <v>3910</v>
      </c>
      <c r="D97" s="1746" t="s">
        <v>5342</v>
      </c>
      <c r="E97" s="2397"/>
      <c r="F97" s="2397"/>
      <c r="G97" s="2397"/>
      <c r="H97" s="2399">
        <v>49140</v>
      </c>
      <c r="I97" s="2399"/>
      <c r="J97" s="2397"/>
      <c r="K97" s="2399"/>
      <c r="L97" s="2399">
        <v>49140</v>
      </c>
      <c r="M97" s="2399">
        <v>49140</v>
      </c>
      <c r="N97" s="3821"/>
      <c r="O97" s="2932"/>
      <c r="P97" s="3710"/>
      <c r="Q97" s="2400"/>
      <c r="R97" s="1735"/>
      <c r="S97" s="2174" t="s">
        <v>6617</v>
      </c>
      <c r="T97" s="1790" t="s">
        <v>5836</v>
      </c>
    </row>
    <row r="98" spans="1:20" ht="30.4" x14ac:dyDescent="0.35">
      <c r="A98" s="1342">
        <v>41</v>
      </c>
      <c r="B98" s="1612" t="str">
        <f t="shared" si="5"/>
        <v/>
      </c>
      <c r="C98" s="2187" t="s">
        <v>2394</v>
      </c>
      <c r="D98" s="1746" t="s">
        <v>5409</v>
      </c>
      <c r="E98" s="2397"/>
      <c r="F98" s="2397"/>
      <c r="G98" s="2397"/>
      <c r="H98" s="2399">
        <v>2115</v>
      </c>
      <c r="I98" s="2399"/>
      <c r="J98" s="2397"/>
      <c r="K98" s="2399"/>
      <c r="L98" s="2399">
        <v>2115</v>
      </c>
      <c r="M98" s="2399">
        <v>2115</v>
      </c>
      <c r="N98" s="3821"/>
      <c r="O98" s="2932"/>
      <c r="P98" s="3710"/>
      <c r="Q98" s="2400"/>
      <c r="R98" s="1735"/>
      <c r="S98" s="2174" t="s">
        <v>6654</v>
      </c>
      <c r="T98" s="1791" t="s">
        <v>8427</v>
      </c>
    </row>
    <row r="99" spans="1:20" x14ac:dyDescent="0.35">
      <c r="A99" s="1342">
        <v>42</v>
      </c>
      <c r="B99" s="1612" t="str">
        <f t="shared" si="5"/>
        <v>N</v>
      </c>
      <c r="C99" s="2207" t="s">
        <v>1014</v>
      </c>
      <c r="D99" s="1746" t="str">
        <f>"If you have remitted nominated income or gains during "&amp;tax_year&amp;", put ‘X’ in the box unless what you have remitted is within the £10 aggregate limit"</f>
        <v>If you have remitted nominated income or gains during 2017-18, put ‘X’ in the box unless what you have remitted is within the £10 aggregate limit</v>
      </c>
      <c r="E99" s="2191" t="s">
        <v>1237</v>
      </c>
      <c r="F99" s="2191" t="s">
        <v>1237</v>
      </c>
      <c r="G99" s="2191" t="s">
        <v>1237</v>
      </c>
      <c r="H99" s="1715" t="s">
        <v>583</v>
      </c>
      <c r="I99" s="2191" t="s">
        <v>1237</v>
      </c>
      <c r="J99" s="2191" t="s">
        <v>1237</v>
      </c>
      <c r="K99" s="1715"/>
      <c r="L99" s="1715" t="s">
        <v>583</v>
      </c>
      <c r="M99" s="1715" t="s">
        <v>583</v>
      </c>
      <c r="N99" s="3822"/>
      <c r="O99" s="2927"/>
      <c r="P99" s="3705"/>
      <c r="Q99" s="2194"/>
      <c r="R99" s="1735"/>
      <c r="S99" s="2174" t="s">
        <v>6620</v>
      </c>
      <c r="T99" s="1790"/>
    </row>
    <row r="100" spans="1:20" x14ac:dyDescent="0.35">
      <c r="A100" s="1342">
        <v>43</v>
      </c>
      <c r="B100" s="1612" t="str">
        <f t="shared" si="5"/>
        <v/>
      </c>
      <c r="C100" s="2207" t="s">
        <v>1015</v>
      </c>
      <c r="D100" s="1746" t="s">
        <v>5410</v>
      </c>
      <c r="E100" s="2401"/>
      <c r="F100" s="2401"/>
      <c r="G100" s="2401"/>
      <c r="H100" s="2402"/>
      <c r="I100" s="2401"/>
      <c r="J100" s="2402"/>
      <c r="K100" s="2402"/>
      <c r="L100" s="2402"/>
      <c r="M100" s="2402"/>
      <c r="N100" s="2402"/>
      <c r="O100" s="2935"/>
      <c r="P100" s="3711"/>
      <c r="Q100" s="2403"/>
      <c r="R100" s="1735"/>
      <c r="S100" s="2174" t="s">
        <v>6617</v>
      </c>
      <c r="T100" s="1790"/>
    </row>
    <row r="101" spans="1:20" x14ac:dyDescent="0.35">
      <c r="A101" s="1342">
        <v>44</v>
      </c>
      <c r="B101" s="1612" t="str">
        <f t="shared" si="5"/>
        <v/>
      </c>
      <c r="C101" s="2207" t="s">
        <v>1016</v>
      </c>
      <c r="D101" s="1746" t="s">
        <v>5411</v>
      </c>
      <c r="E101" s="2191"/>
      <c r="F101" s="2191"/>
      <c r="G101" s="2191"/>
      <c r="H101" s="1715"/>
      <c r="I101" s="2191"/>
      <c r="J101" s="1715"/>
      <c r="K101" s="1715"/>
      <c r="L101" s="1715"/>
      <c r="M101" s="1715"/>
      <c r="N101" s="1715"/>
      <c r="O101" s="2927"/>
      <c r="P101" s="3705"/>
      <c r="Q101" s="2194"/>
      <c r="R101" s="1735"/>
      <c r="S101" s="2174" t="s">
        <v>6620</v>
      </c>
      <c r="T101" s="1790"/>
    </row>
    <row r="102" spans="1:20" ht="12" thickBot="1" x14ac:dyDescent="0.4">
      <c r="A102" s="1342">
        <v>45</v>
      </c>
      <c r="B102" s="1612" t="str">
        <f t="shared" si="5"/>
        <v/>
      </c>
      <c r="C102" s="2212" t="s">
        <v>4912</v>
      </c>
      <c r="D102" s="2213" t="s">
        <v>5232</v>
      </c>
      <c r="E102" s="2214"/>
      <c r="F102" s="2215" t="s">
        <v>5394</v>
      </c>
      <c r="G102" s="2214"/>
      <c r="H102" s="2216"/>
      <c r="I102" s="2216"/>
      <c r="J102" s="2216"/>
      <c r="K102" s="2216"/>
      <c r="L102" s="2216"/>
      <c r="M102" s="2216"/>
      <c r="N102" s="2216"/>
      <c r="O102" s="2936"/>
      <c r="P102" s="2936"/>
      <c r="Q102" s="2217"/>
      <c r="R102" s="1735"/>
      <c r="S102" s="4" t="s">
        <v>6621</v>
      </c>
      <c r="T102" s="1790"/>
    </row>
    <row r="103" spans="1:20" ht="12" thickBot="1" x14ac:dyDescent="0.4"/>
    <row r="104" spans="1:20" ht="13.15" x14ac:dyDescent="0.35">
      <c r="A104" s="1342" t="s">
        <v>4845</v>
      </c>
      <c r="B104" s="676" t="s">
        <v>4210</v>
      </c>
      <c r="C104" s="1618" t="s">
        <v>579</v>
      </c>
      <c r="D104" s="1619"/>
      <c r="E104" s="1620">
        <v>1</v>
      </c>
      <c r="F104" s="1620">
        <v>2</v>
      </c>
      <c r="G104" s="1621">
        <v>3</v>
      </c>
      <c r="H104" s="1621">
        <v>4</v>
      </c>
      <c r="I104" s="1621">
        <v>5</v>
      </c>
      <c r="J104" s="1621">
        <v>6</v>
      </c>
      <c r="K104" s="1621">
        <v>7</v>
      </c>
      <c r="L104" s="1621">
        <v>8</v>
      </c>
      <c r="M104" s="1621">
        <v>9</v>
      </c>
      <c r="N104" s="1621">
        <v>10</v>
      </c>
      <c r="O104" s="1616">
        <v>11</v>
      </c>
      <c r="P104" s="3712">
        <v>12</v>
      </c>
      <c r="Q104" s="2943">
        <v>13</v>
      </c>
      <c r="R104" s="1741"/>
      <c r="T104" s="1468" t="s">
        <v>5453</v>
      </c>
    </row>
    <row r="105" spans="1:20" x14ac:dyDescent="0.35">
      <c r="A105" s="1342">
        <v>2</v>
      </c>
      <c r="B105" s="2281" t="str">
        <f t="shared" ref="B105:B121" si="6">IF(CAL_IND&gt;1,IF(HLOOKUP(CAL_IND-1,CAL_range,A105)="","",HLOOKUP(CAL_IND-1,CAL_range,A105)),"")</f>
        <v/>
      </c>
      <c r="C105" s="2179" t="s">
        <v>4146</v>
      </c>
      <c r="D105" s="1731" t="s">
        <v>5843</v>
      </c>
      <c r="E105" s="1732"/>
      <c r="F105" s="1732"/>
      <c r="G105" s="1732"/>
      <c r="H105" s="1732"/>
      <c r="I105" s="1732"/>
      <c r="J105" s="1732"/>
      <c r="K105" s="1732"/>
      <c r="L105" s="1732"/>
      <c r="M105" s="1732"/>
      <c r="N105" s="1732"/>
      <c r="O105" s="2937"/>
      <c r="P105" s="3713"/>
      <c r="Q105" s="2180"/>
      <c r="R105" s="1741"/>
      <c r="T105" s="1790"/>
    </row>
    <row r="106" spans="1:20" ht="30.4" x14ac:dyDescent="0.35">
      <c r="A106" s="1342">
        <v>3</v>
      </c>
      <c r="B106" s="2281" t="str">
        <f t="shared" si="6"/>
        <v/>
      </c>
      <c r="C106" s="2179" t="s">
        <v>4147</v>
      </c>
      <c r="D106" s="1731" t="s">
        <v>5844</v>
      </c>
      <c r="E106" s="1732"/>
      <c r="F106" s="1732"/>
      <c r="G106" s="1732"/>
      <c r="H106" s="1732"/>
      <c r="I106" s="1732"/>
      <c r="J106" s="1732"/>
      <c r="K106" s="1732"/>
      <c r="L106" s="1732"/>
      <c r="M106" s="1732"/>
      <c r="N106" s="1732"/>
      <c r="O106" s="2937"/>
      <c r="P106" s="3713"/>
      <c r="Q106" s="2180"/>
      <c r="R106" s="1741"/>
      <c r="T106" s="1791" t="s">
        <v>5837</v>
      </c>
    </row>
    <row r="107" spans="1:20" x14ac:dyDescent="0.35">
      <c r="A107" s="1342">
        <v>4</v>
      </c>
      <c r="B107" s="2281" t="str">
        <f t="shared" si="6"/>
        <v/>
      </c>
      <c r="C107" s="2179" t="s">
        <v>4148</v>
      </c>
      <c r="D107" s="1731" t="s">
        <v>5845</v>
      </c>
      <c r="E107" s="1732"/>
      <c r="F107" s="1732"/>
      <c r="G107" s="1732"/>
      <c r="H107" s="1732"/>
      <c r="I107" s="1732"/>
      <c r="J107" s="1732"/>
      <c r="K107" s="1732"/>
      <c r="L107" s="1732"/>
      <c r="M107" s="1732"/>
      <c r="N107" s="1732"/>
      <c r="O107" s="2937"/>
      <c r="P107" s="3713"/>
      <c r="Q107" s="2180"/>
      <c r="R107" s="1741"/>
      <c r="T107" s="1790"/>
    </row>
    <row r="108" spans="1:20" x14ac:dyDescent="0.35">
      <c r="A108" s="1342">
        <v>5</v>
      </c>
      <c r="B108" s="2281" t="str">
        <f t="shared" si="6"/>
        <v/>
      </c>
      <c r="C108" s="2179" t="s">
        <v>4149</v>
      </c>
      <c r="D108" s="1731" t="s">
        <v>5846</v>
      </c>
      <c r="E108" s="1732"/>
      <c r="F108" s="1732"/>
      <c r="G108" s="1732"/>
      <c r="H108" s="1732"/>
      <c r="I108" s="1732"/>
      <c r="J108" s="1732"/>
      <c r="K108" s="1732"/>
      <c r="L108" s="1732"/>
      <c r="M108" s="1732"/>
      <c r="N108" s="1732"/>
      <c r="O108" s="2937"/>
      <c r="P108" s="3713"/>
      <c r="Q108" s="2180"/>
      <c r="R108" s="1741"/>
      <c r="T108" s="1790"/>
    </row>
    <row r="109" spans="1:20" x14ac:dyDescent="0.35">
      <c r="A109" s="1342">
        <v>6</v>
      </c>
      <c r="B109" s="2281" t="str">
        <f t="shared" si="6"/>
        <v/>
      </c>
      <c r="C109" s="2181" t="s">
        <v>4930</v>
      </c>
      <c r="D109" s="1792" t="s">
        <v>4716</v>
      </c>
      <c r="E109" s="1732"/>
      <c r="F109" s="1732"/>
      <c r="G109" s="1732"/>
      <c r="H109" s="1732"/>
      <c r="I109" s="1732"/>
      <c r="J109" s="1732"/>
      <c r="K109" s="1732"/>
      <c r="L109" s="1732"/>
      <c r="M109" s="1732"/>
      <c r="N109" s="1732"/>
      <c r="O109" s="2937"/>
      <c r="P109" s="3713"/>
      <c r="Q109" s="2180"/>
      <c r="R109" s="1741"/>
      <c r="T109" s="1791" t="s">
        <v>5838</v>
      </c>
    </row>
    <row r="110" spans="1:20" x14ac:dyDescent="0.35">
      <c r="A110" s="1342">
        <v>7</v>
      </c>
      <c r="B110" s="2281" t="str">
        <f t="shared" si="6"/>
        <v/>
      </c>
      <c r="C110" s="2179" t="s">
        <v>4150</v>
      </c>
      <c r="D110" s="1731" t="s">
        <v>5847</v>
      </c>
      <c r="E110" s="1732"/>
      <c r="F110" s="1732"/>
      <c r="G110" s="1732"/>
      <c r="H110" s="1732"/>
      <c r="I110" s="1732"/>
      <c r="J110" s="1732"/>
      <c r="K110" s="1732"/>
      <c r="L110" s="1732"/>
      <c r="M110" s="1732"/>
      <c r="N110" s="1732"/>
      <c r="O110" s="2937"/>
      <c r="P110" s="3713"/>
      <c r="Q110" s="2180"/>
      <c r="R110" s="1741"/>
      <c r="T110" s="1790"/>
    </row>
    <row r="111" spans="1:20" x14ac:dyDescent="0.35">
      <c r="A111" s="1342">
        <v>8</v>
      </c>
      <c r="B111" s="2281" t="str">
        <f t="shared" si="6"/>
        <v/>
      </c>
      <c r="C111" s="2179" t="s">
        <v>4151</v>
      </c>
      <c r="D111" s="1731" t="s">
        <v>5848</v>
      </c>
      <c r="E111" s="1732"/>
      <c r="F111" s="1732"/>
      <c r="G111" s="1732"/>
      <c r="H111" s="1732"/>
      <c r="I111" s="1732"/>
      <c r="J111" s="1732"/>
      <c r="K111" s="1732"/>
      <c r="L111" s="1732"/>
      <c r="M111" s="1732"/>
      <c r="N111" s="1732"/>
      <c r="O111" s="2937"/>
      <c r="P111" s="3713"/>
      <c r="Q111" s="2180"/>
      <c r="R111" s="1741"/>
      <c r="T111" s="1790"/>
    </row>
    <row r="112" spans="1:20" x14ac:dyDescent="0.35">
      <c r="A112" s="1342">
        <v>9</v>
      </c>
      <c r="B112" s="2281" t="str">
        <f t="shared" si="6"/>
        <v/>
      </c>
      <c r="C112" s="2179" t="s">
        <v>31</v>
      </c>
      <c r="D112" s="1731" t="s">
        <v>5849</v>
      </c>
      <c r="E112" s="1732">
        <v>215</v>
      </c>
      <c r="F112" s="1732">
        <v>221</v>
      </c>
      <c r="G112" s="1732">
        <v>2999</v>
      </c>
      <c r="H112" s="1732"/>
      <c r="I112" s="1732">
        <v>2999.99</v>
      </c>
      <c r="J112" s="1732">
        <v>245</v>
      </c>
      <c r="K112" s="1732"/>
      <c r="L112" s="1732"/>
      <c r="M112" s="1732"/>
      <c r="N112" s="1732"/>
      <c r="O112" s="2937"/>
      <c r="P112" s="3713"/>
      <c r="Q112" s="2180"/>
      <c r="R112" s="1741"/>
      <c r="T112" s="1790"/>
    </row>
    <row r="113" spans="1:20" x14ac:dyDescent="0.35">
      <c r="A113" s="1342">
        <v>10</v>
      </c>
      <c r="B113" s="2281" t="str">
        <f t="shared" si="6"/>
        <v/>
      </c>
      <c r="C113" s="2179" t="s">
        <v>32</v>
      </c>
      <c r="D113" s="1731" t="s">
        <v>5850</v>
      </c>
      <c r="E113" s="1732"/>
      <c r="F113" s="1732">
        <v>378</v>
      </c>
      <c r="G113" s="1732"/>
      <c r="H113" s="1732"/>
      <c r="I113" s="1732">
        <v>2999.99</v>
      </c>
      <c r="J113" s="1732"/>
      <c r="K113" s="1732"/>
      <c r="L113" s="1732"/>
      <c r="M113" s="1732"/>
      <c r="N113" s="1732"/>
      <c r="O113" s="2937"/>
      <c r="P113" s="3713"/>
      <c r="Q113" s="2180"/>
      <c r="R113" s="1741"/>
      <c r="T113" s="1791" t="s">
        <v>5839</v>
      </c>
    </row>
    <row r="114" spans="1:20" x14ac:dyDescent="0.35">
      <c r="A114" s="1342">
        <v>11</v>
      </c>
      <c r="B114" s="2281" t="str">
        <f t="shared" si="6"/>
        <v/>
      </c>
      <c r="C114" s="2179" t="s">
        <v>2397</v>
      </c>
      <c r="D114" s="1731" t="s">
        <v>5851</v>
      </c>
      <c r="E114" s="1732"/>
      <c r="F114" s="1732"/>
      <c r="G114" s="1732"/>
      <c r="H114" s="1732">
        <v>2800</v>
      </c>
      <c r="I114" s="1732"/>
      <c r="J114" s="1732">
        <v>400</v>
      </c>
      <c r="K114" s="1732"/>
      <c r="L114" s="1732"/>
      <c r="M114" s="1732"/>
      <c r="N114" s="1732"/>
      <c r="O114" s="2937"/>
      <c r="P114" s="3713"/>
      <c r="Q114" s="2180"/>
      <c r="R114" s="1741"/>
      <c r="T114" s="1790"/>
    </row>
    <row r="115" spans="1:20" x14ac:dyDescent="0.35">
      <c r="A115" s="1342">
        <v>12</v>
      </c>
      <c r="B115" s="2281" t="str">
        <f t="shared" si="6"/>
        <v/>
      </c>
      <c r="C115" s="2179" t="s">
        <v>4152</v>
      </c>
      <c r="D115" s="1731" t="s">
        <v>5852</v>
      </c>
      <c r="E115" s="1732"/>
      <c r="F115" s="1732"/>
      <c r="G115" s="1732"/>
      <c r="H115" s="1732"/>
      <c r="I115" s="1732"/>
      <c r="J115" s="1732"/>
      <c r="K115" s="1732"/>
      <c r="L115" s="1732"/>
      <c r="M115" s="1732"/>
      <c r="N115" s="1732"/>
      <c r="O115" s="2937"/>
      <c r="P115" s="3713"/>
      <c r="Q115" s="2180"/>
      <c r="R115" s="1741"/>
      <c r="T115" s="1790"/>
    </row>
    <row r="116" spans="1:20" ht="20.25" x14ac:dyDescent="0.35">
      <c r="A116" s="1342">
        <v>13</v>
      </c>
      <c r="B116" s="2281" t="str">
        <f t="shared" si="6"/>
        <v/>
      </c>
      <c r="C116" s="2179" t="s">
        <v>4153</v>
      </c>
      <c r="D116" s="1731" t="s">
        <v>5853</v>
      </c>
      <c r="E116" s="1732"/>
      <c r="F116" s="1732"/>
      <c r="G116" s="1732"/>
      <c r="H116" s="1732"/>
      <c r="I116" s="1732"/>
      <c r="J116" s="1732"/>
      <c r="K116" s="1732"/>
      <c r="L116" s="1732"/>
      <c r="M116" s="1732"/>
      <c r="N116" s="1732"/>
      <c r="O116" s="2937"/>
      <c r="P116" s="3713"/>
      <c r="Q116" s="2180"/>
      <c r="R116" s="1741"/>
      <c r="T116" s="1791" t="s">
        <v>5840</v>
      </c>
    </row>
    <row r="117" spans="1:20" x14ac:dyDescent="0.35">
      <c r="A117" s="1342">
        <v>14</v>
      </c>
      <c r="B117" s="1730" t="str">
        <f t="shared" si="6"/>
        <v/>
      </c>
      <c r="C117" s="2179" t="s">
        <v>4154</v>
      </c>
      <c r="D117" s="1731" t="s">
        <v>5854</v>
      </c>
      <c r="E117" s="1732"/>
      <c r="F117" s="1732"/>
      <c r="G117" s="1732"/>
      <c r="H117" s="1732"/>
      <c r="I117" s="1732"/>
      <c r="J117" s="1732"/>
      <c r="K117" s="1733">
        <f>BPA</f>
        <v>2320</v>
      </c>
      <c r="L117" s="1732"/>
      <c r="M117" s="1733"/>
      <c r="N117" s="1733"/>
      <c r="O117" s="2938"/>
      <c r="P117" s="3714"/>
      <c r="Q117" s="2182"/>
      <c r="R117" s="1741"/>
      <c r="T117" s="1791" t="s">
        <v>5841</v>
      </c>
    </row>
    <row r="118" spans="1:20" x14ac:dyDescent="0.35">
      <c r="A118" s="1342">
        <v>15</v>
      </c>
      <c r="B118" s="1730" t="str">
        <f t="shared" si="6"/>
        <v/>
      </c>
      <c r="C118" s="2179" t="s">
        <v>4155</v>
      </c>
      <c r="D118" s="1731" t="s">
        <v>5855</v>
      </c>
      <c r="E118" s="1732"/>
      <c r="F118" s="1732"/>
      <c r="G118" s="1732"/>
      <c r="H118" s="1732"/>
      <c r="I118" s="1732"/>
      <c r="J118" s="1732"/>
      <c r="K118" s="1732"/>
      <c r="L118" s="1733">
        <f>MCA_2</f>
        <v>1630</v>
      </c>
      <c r="M118" s="1732"/>
      <c r="N118" s="1732"/>
      <c r="O118" s="2937"/>
      <c r="P118" s="3713"/>
      <c r="Q118" s="2180"/>
      <c r="R118" s="1741"/>
      <c r="T118" s="1791" t="s">
        <v>5842</v>
      </c>
    </row>
    <row r="119" spans="1:20" x14ac:dyDescent="0.35">
      <c r="A119" s="1342">
        <v>16</v>
      </c>
      <c r="B119" s="2281" t="str">
        <f t="shared" si="6"/>
        <v/>
      </c>
      <c r="C119" s="2179" t="s">
        <v>4156</v>
      </c>
      <c r="D119" s="1731" t="s">
        <v>5856</v>
      </c>
      <c r="E119" s="1732"/>
      <c r="F119" s="1732"/>
      <c r="G119" s="1732"/>
      <c r="H119" s="1732"/>
      <c r="I119" s="1732"/>
      <c r="J119" s="1732"/>
      <c r="K119" s="1732"/>
      <c r="L119" s="1732"/>
      <c r="M119" s="1732"/>
      <c r="N119" s="1732"/>
      <c r="O119" s="2937"/>
      <c r="P119" s="3713"/>
      <c r="Q119" s="2180"/>
      <c r="R119" s="1741"/>
      <c r="T119" s="1790"/>
    </row>
    <row r="120" spans="1:20" x14ac:dyDescent="0.35">
      <c r="A120" s="1342">
        <v>17</v>
      </c>
      <c r="B120" s="2281" t="str">
        <f t="shared" si="6"/>
        <v/>
      </c>
      <c r="C120" s="2179" t="s">
        <v>4157</v>
      </c>
      <c r="D120" s="1731" t="s">
        <v>5857</v>
      </c>
      <c r="E120" s="1732"/>
      <c r="F120" s="1732"/>
      <c r="G120" s="1732"/>
      <c r="H120" s="1732"/>
      <c r="I120" s="1732"/>
      <c r="J120" s="1732"/>
      <c r="K120" s="1732"/>
      <c r="L120" s="1732"/>
      <c r="M120" s="1732"/>
      <c r="N120" s="1732"/>
      <c r="O120" s="2937"/>
      <c r="P120" s="3713"/>
      <c r="Q120" s="2180"/>
      <c r="R120" s="1741"/>
      <c r="T120" s="1790"/>
    </row>
    <row r="121" spans="1:20" x14ac:dyDescent="0.35">
      <c r="A121" s="1342">
        <v>18</v>
      </c>
      <c r="B121" s="2281" t="str">
        <f t="shared" si="6"/>
        <v/>
      </c>
      <c r="C121" s="2179" t="s">
        <v>4158</v>
      </c>
      <c r="D121" s="1731" t="s">
        <v>5858</v>
      </c>
      <c r="E121" s="1732"/>
      <c r="F121" s="1732"/>
      <c r="G121" s="1732"/>
      <c r="H121" s="1732"/>
      <c r="I121" s="1732"/>
      <c r="J121" s="1732"/>
      <c r="K121" s="1732"/>
      <c r="L121" s="1732"/>
      <c r="M121" s="1732"/>
      <c r="N121" s="1732"/>
      <c r="O121" s="2937"/>
      <c r="P121" s="3713"/>
      <c r="Q121" s="2180"/>
      <c r="R121" s="1741"/>
      <c r="T121" s="1790"/>
    </row>
    <row r="122" spans="1:20" ht="12" thickBot="1" x14ac:dyDescent="0.4">
      <c r="A122" s="1342">
        <v>19</v>
      </c>
      <c r="B122" s="1730"/>
      <c r="C122" s="2183" t="s">
        <v>4159</v>
      </c>
      <c r="D122" s="2184" t="s">
        <v>2625</v>
      </c>
      <c r="E122" s="2185"/>
      <c r="F122" s="2185"/>
      <c r="G122" s="2185"/>
      <c r="H122" s="2185"/>
      <c r="I122" s="2185"/>
      <c r="J122" s="2185"/>
      <c r="K122" s="2185"/>
      <c r="L122" s="2185"/>
      <c r="M122" s="2185"/>
      <c r="N122" s="2185"/>
      <c r="O122" s="2939"/>
      <c r="P122" s="2939"/>
      <c r="Q122" s="2186"/>
      <c r="R122" s="1741"/>
      <c r="T122" s="1790"/>
    </row>
    <row r="124" spans="1:20" x14ac:dyDescent="0.35">
      <c r="A124" s="1342" t="s">
        <v>4845</v>
      </c>
      <c r="B124" s="1312" t="s">
        <v>4210</v>
      </c>
      <c r="C124" s="988" t="s">
        <v>4955</v>
      </c>
      <c r="D124" s="1356"/>
      <c r="E124" s="683">
        <v>1</v>
      </c>
      <c r="F124" s="683">
        <v>2</v>
      </c>
      <c r="G124" s="684">
        <v>3</v>
      </c>
      <c r="H124" s="684">
        <v>4</v>
      </c>
      <c r="I124" s="684">
        <v>5</v>
      </c>
      <c r="J124" s="684">
        <v>6</v>
      </c>
      <c r="K124" s="684">
        <v>7</v>
      </c>
      <c r="L124" s="684">
        <v>8</v>
      </c>
      <c r="M124" s="684">
        <v>9</v>
      </c>
      <c r="N124" s="684">
        <v>10</v>
      </c>
      <c r="O124" s="2904">
        <v>11</v>
      </c>
      <c r="P124" s="3685">
        <v>12</v>
      </c>
      <c r="Q124" s="1613">
        <v>13</v>
      </c>
      <c r="R124" s="1741"/>
      <c r="S124" s="2175" t="s">
        <v>6613</v>
      </c>
    </row>
    <row r="125" spans="1:20" x14ac:dyDescent="0.35">
      <c r="A125" s="1342">
        <v>2</v>
      </c>
      <c r="B125" s="730" t="str">
        <f>IF(NI2_IND&gt;1,IF(HLOOKUP(NI2_IND-1,NI2_RANGE,A125)="","",HLOOKUP(NI2_IND-1,NI2_RANGE,A125)),"")</f>
        <v/>
      </c>
      <c r="C125" s="727" t="s">
        <v>4804</v>
      </c>
      <c r="D125" s="1354"/>
      <c r="E125" s="1305"/>
      <c r="F125" s="1307">
        <f>IF(NIC_exempt,0,52*NIC2SF_weekamt)</f>
        <v>182</v>
      </c>
      <c r="G125" s="1307">
        <f>IF(NIC_exempt,0,51*NIC2SF_weekamt)</f>
        <v>178.5</v>
      </c>
      <c r="H125" s="1306">
        <f>IF(NIC_exempt,0,52*NIC2_weekamt)</f>
        <v>148.20000000000002</v>
      </c>
      <c r="I125" s="1306">
        <f>IF(NIC_exempt,0,51*NIC2_weekamt)</f>
        <v>145.35</v>
      </c>
      <c r="J125" s="1306">
        <f>IF(NIC_exempt,0,50*NIC2_weekamt)</f>
        <v>142.5</v>
      </c>
      <c r="K125" s="1306">
        <f>IF(NIC_exempt,0,23*NIC2_weekamt)</f>
        <v>65.55</v>
      </c>
      <c r="L125" s="1306">
        <f>IF(NIC_exempt,0,25*NIC2_weekamt)</f>
        <v>71.25</v>
      </c>
      <c r="M125" s="1306">
        <f>IF(NIC_exempt,0,28*NIC2_weekamt)</f>
        <v>79.8</v>
      </c>
      <c r="N125" s="1306">
        <f>IF(NIC_exempt,0,39*NIC2_weekamt)</f>
        <v>111.15</v>
      </c>
      <c r="O125" s="2940"/>
      <c r="P125" s="3715"/>
      <c r="Q125" s="1306"/>
      <c r="R125" s="1741"/>
      <c r="S125" s="2488" t="s">
        <v>6617</v>
      </c>
    </row>
    <row r="126" spans="1:20" x14ac:dyDescent="0.35">
      <c r="A126" s="1342">
        <v>3</v>
      </c>
      <c r="B126" s="1344" t="str">
        <f>IF(NI2_IND&gt;1,IF(HLOOKUP(NI2_IND-1,NI2_RANGE,A126)="","",HLOOKUP(NI2_IND-1,NI2_RANGE,A126)),"")</f>
        <v/>
      </c>
      <c r="C126" s="1313" t="s">
        <v>4964</v>
      </c>
      <c r="D126" s="1357"/>
      <c r="E126" s="1314">
        <v>1</v>
      </c>
      <c r="F126" s="1314">
        <v>3</v>
      </c>
      <c r="G126" s="1315">
        <v>3</v>
      </c>
      <c r="H126" s="1315">
        <v>2</v>
      </c>
      <c r="I126" s="1315">
        <v>2</v>
      </c>
      <c r="J126" s="1315">
        <v>2</v>
      </c>
      <c r="K126" s="1315">
        <v>2</v>
      </c>
      <c r="L126" s="1315">
        <v>2</v>
      </c>
      <c r="M126" s="1315">
        <v>2</v>
      </c>
      <c r="N126" s="1315">
        <v>2</v>
      </c>
      <c r="O126" s="2941"/>
      <c r="P126" s="3716"/>
      <c r="Q126" s="1315"/>
      <c r="R126" s="1741"/>
    </row>
    <row r="128" spans="1:20" x14ac:dyDescent="0.35">
      <c r="A128" s="1342" t="s">
        <v>4845</v>
      </c>
      <c r="B128" s="1312" t="s">
        <v>4210</v>
      </c>
      <c r="C128" s="988" t="s">
        <v>4956</v>
      </c>
      <c r="D128" s="1356"/>
      <c r="E128" s="683">
        <v>1</v>
      </c>
      <c r="F128" s="683">
        <v>2</v>
      </c>
      <c r="G128" s="684">
        <v>3</v>
      </c>
      <c r="H128" s="684">
        <v>4</v>
      </c>
      <c r="I128" s="684">
        <v>5</v>
      </c>
      <c r="J128" s="684">
        <v>6</v>
      </c>
      <c r="K128" s="684">
        <v>7</v>
      </c>
      <c r="L128" s="684">
        <v>8</v>
      </c>
      <c r="M128" s="684">
        <v>9</v>
      </c>
      <c r="N128" s="684">
        <v>10</v>
      </c>
      <c r="O128" s="2904">
        <v>11</v>
      </c>
      <c r="P128" s="3685">
        <v>12</v>
      </c>
      <c r="Q128" s="1613">
        <v>13</v>
      </c>
      <c r="R128" s="1741"/>
    </row>
    <row r="129" spans="1:18" x14ac:dyDescent="0.35">
      <c r="A129" s="1342">
        <v>2</v>
      </c>
      <c r="B129" s="627" t="str">
        <f>IF(NI1_IND&gt;1,IF(HLOOKUP(NI1_IND-1,NI1_RANGE,A129)="","",HLOOKUP(NI1_IND-1,NI1_RANGE,A129)),"")</f>
        <v/>
      </c>
      <c r="C129" s="2699" t="s">
        <v>6361</v>
      </c>
      <c r="D129" s="1354"/>
      <c r="E129" s="2820">
        <f>MAX(0,MIN('C2'!F3,Class1_UEL)-Class1_PT)</f>
        <v>25090</v>
      </c>
      <c r="F129" s="2820">
        <f>MAX(0,MIN('C2'!G3,Class1_UEL)-Class1_PT)</f>
        <v>19351</v>
      </c>
      <c r="G129" s="2820">
        <f>MAX(0,MIN('C2'!H3,Class1_UEL)-Class1_PT)</f>
        <v>0</v>
      </c>
      <c r="H129" s="2820">
        <f>MAX(0,MIN('C2'!I3,Class1_UEL)-Class1_PT)</f>
        <v>36836</v>
      </c>
      <c r="I129" s="2820">
        <f>MAX(0,MIN('C2'!J3,Class1_UEL)-Class1_PT)</f>
        <v>10336</v>
      </c>
      <c r="J129" s="2820">
        <f>MAX(0,MIN('C2'!K3,Class1_UEL)-Class1_PT)</f>
        <v>36836</v>
      </c>
      <c r="K129" s="2820">
        <f>MAX(0,MIN('C2'!L3,Class1_UEL)-Class1_PT)</f>
        <v>25090</v>
      </c>
      <c r="L129" s="2820">
        <f>MAX(0,MIN('C2'!M3,Class1_UEL)-Class1_PT)</f>
        <v>886</v>
      </c>
      <c r="M129" s="2820">
        <f>MAX(0,MIN('C2'!N3,Class1_UEL)-Class1_PT)</f>
        <v>36836</v>
      </c>
      <c r="N129" s="2820">
        <f>MAX(0,MIN('C2'!O3,Class1_UEL)-Class1_PT)</f>
        <v>29786</v>
      </c>
      <c r="O129" s="2942">
        <v>36836</v>
      </c>
      <c r="P129" s="3497"/>
      <c r="Q129" s="2820"/>
      <c r="R129" s="1741"/>
    </row>
    <row r="130" spans="1:18" x14ac:dyDescent="0.35">
      <c r="A130" s="3496">
        <v>3</v>
      </c>
      <c r="B130" s="627" t="str">
        <f>IF(NI1_IND&gt;1,IF(HLOOKUP(NI1_IND-1,NI1_RANGE,A130)="","",HLOOKUP(NI1_IND-1,NI1_RANGE,A130)),"")</f>
        <v/>
      </c>
      <c r="C130" s="2699" t="s">
        <v>6362</v>
      </c>
      <c r="D130" s="1354"/>
      <c r="E130" s="736"/>
      <c r="F130" s="736"/>
      <c r="G130" s="736"/>
      <c r="H130" s="2820">
        <v>0</v>
      </c>
      <c r="I130" s="3497"/>
      <c r="J130" s="3497"/>
      <c r="K130" s="3497"/>
      <c r="L130" s="3497"/>
      <c r="M130" s="3497"/>
      <c r="N130" s="3497"/>
      <c r="O130" s="3497"/>
      <c r="P130" s="3497"/>
      <c r="Q130" s="3497"/>
      <c r="R130" s="1741"/>
    </row>
    <row r="131" spans="1:18" x14ac:dyDescent="0.35">
      <c r="A131" s="1342">
        <v>4</v>
      </c>
      <c r="B131" s="627" t="str">
        <f>IF(NI1_IND&gt;1,IF(HLOOKUP(NI1_IND-1,NI1_RANGE,A131)="","",HLOOKUP(NI1_IND-1,NI1_RANGE,A131)),"")</f>
        <v/>
      </c>
      <c r="C131" s="2699" t="s">
        <v>8093</v>
      </c>
      <c r="D131" s="1354"/>
      <c r="E131" s="736">
        <f>E129+E130</f>
        <v>25090</v>
      </c>
      <c r="F131" s="736">
        <f t="shared" ref="F131:O131" si="7">F129+F130</f>
        <v>19351</v>
      </c>
      <c r="G131" s="736">
        <f t="shared" si="7"/>
        <v>0</v>
      </c>
      <c r="H131" s="736">
        <f t="shared" si="7"/>
        <v>36836</v>
      </c>
      <c r="I131" s="736">
        <f t="shared" si="7"/>
        <v>10336</v>
      </c>
      <c r="J131" s="736">
        <f t="shared" si="7"/>
        <v>36836</v>
      </c>
      <c r="K131" s="736">
        <f t="shared" si="7"/>
        <v>25090</v>
      </c>
      <c r="L131" s="736">
        <f t="shared" si="7"/>
        <v>886</v>
      </c>
      <c r="M131" s="736">
        <f t="shared" si="7"/>
        <v>36836</v>
      </c>
      <c r="N131" s="736">
        <f t="shared" si="7"/>
        <v>29786</v>
      </c>
      <c r="O131" s="736">
        <f t="shared" si="7"/>
        <v>36836</v>
      </c>
      <c r="P131" s="3717"/>
      <c r="Q131" s="736"/>
      <c r="R131" s="1741"/>
    </row>
  </sheetData>
  <phoneticPr fontId="68" type="noConversion"/>
  <conditionalFormatting sqref="J89">
    <cfRule type="cellIs" dxfId="4" priority="4" operator="equal">
      <formula>"Y"</formula>
    </cfRule>
    <cfRule type="cellIs" dxfId="3" priority="5" operator="equal">
      <formula>100000</formula>
    </cfRule>
  </conditionalFormatting>
  <conditionalFormatting sqref="Q58 R58:S102 E58:P65 E67:P69 G66:P66 E71:P102">
    <cfRule type="cellIs" dxfId="2" priority="3" operator="equal">
      <formula>"Y"</formula>
    </cfRule>
  </conditionalFormatting>
  <conditionalFormatting sqref="Q59:Q102">
    <cfRule type="cellIs" dxfId="1" priority="2" operator="equal">
      <formula>"Y"</formula>
    </cfRule>
  </conditionalFormatting>
  <conditionalFormatting sqref="E70:P70">
    <cfRule type="cellIs" dxfId="0" priority="1" operator="equal">
      <formula>"Y"</formula>
    </cfRule>
  </conditionalFormatting>
  <dataValidations count="1">
    <dataValidation type="list" allowBlank="1" showInputMessage="1" showErrorMessage="1" sqref="S3:S56 S125">
      <formula1>allowedTypes</formula1>
    </dataValidation>
  </dataValidations>
  <pageMargins left="0.75" right="0.75" top="1" bottom="1" header="0.5" footer="0.5"/>
  <pageSetup paperSize="9" orientation="portrait" horizontalDpi="1200" verticalDpi="1200"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Q42"/>
  <sheetViews>
    <sheetView showGridLines="0" showRowColHeaders="0" zoomScale="115" zoomScaleNormal="115" workbookViewId="0">
      <selection activeCell="F30" sqref="F30"/>
    </sheetView>
  </sheetViews>
  <sheetFormatPr defaultColWidth="9.1328125" defaultRowHeight="11.65" x14ac:dyDescent="0.35"/>
  <cols>
    <col min="1" max="1" width="2.3984375" style="40" customWidth="1"/>
    <col min="2" max="2" width="0.86328125" style="40" customWidth="1"/>
    <col min="3" max="3" width="38.59765625" style="40" customWidth="1"/>
    <col min="4" max="4" width="1.265625" style="40" customWidth="1"/>
    <col min="5" max="5" width="1" style="40" customWidth="1"/>
    <col min="6" max="6" width="29.86328125" style="40" customWidth="1"/>
    <col min="7" max="7" width="5.265625" style="40" customWidth="1"/>
    <col min="8" max="8" width="28.59765625" style="40" customWidth="1"/>
    <col min="9" max="9" width="3.73046875" style="40" customWidth="1"/>
    <col min="10" max="10" width="14" style="40" customWidth="1"/>
    <col min="11" max="11" width="33.73046875" style="40" customWidth="1"/>
    <col min="12" max="12" width="6.265625" style="137" hidden="1" customWidth="1"/>
    <col min="13" max="13" width="30.73046875" style="40" hidden="1" customWidth="1"/>
    <col min="14" max="14" width="4.59765625" style="137" hidden="1" customWidth="1"/>
    <col min="15" max="15" width="6.265625" style="40" hidden="1" customWidth="1"/>
    <col min="16" max="16" width="4.73046875" style="137" hidden="1" customWidth="1"/>
    <col min="17" max="17" width="6.265625" style="40" hidden="1" customWidth="1"/>
    <col min="18" max="16384" width="9.1328125" style="40"/>
  </cols>
  <sheetData>
    <row r="1" spans="1:17" ht="5.25" customHeight="1" x14ac:dyDescent="0.35">
      <c r="A1" s="481"/>
      <c r="B1" s="481"/>
      <c r="C1" s="481"/>
      <c r="D1" s="481"/>
      <c r="E1" s="481"/>
      <c r="F1" s="481"/>
      <c r="G1" s="481"/>
      <c r="H1" s="481"/>
      <c r="I1" s="481"/>
      <c r="J1" s="481"/>
      <c r="K1" s="481"/>
      <c r="L1" s="488"/>
      <c r="M1" s="481"/>
      <c r="N1" s="488"/>
    </row>
    <row r="2" spans="1:17" ht="12.75" customHeight="1" x14ac:dyDescent="0.35">
      <c r="A2" s="481"/>
      <c r="B2" s="481"/>
      <c r="C2" s="569" t="str">
        <f>"Tax Calculation for "&amp;tax_year</f>
        <v>Tax Calculation for 2017-18</v>
      </c>
      <c r="D2" s="570"/>
      <c r="E2" s="570"/>
      <c r="F2" s="571" t="s">
        <v>8535</v>
      </c>
      <c r="G2" s="481"/>
      <c r="H2" s="570" t="s">
        <v>3738</v>
      </c>
      <c r="I2" s="481"/>
      <c r="J2" s="481"/>
      <c r="K2" s="481"/>
      <c r="L2" s="1789"/>
      <c r="M2" s="1970"/>
      <c r="N2" s="1789"/>
      <c r="O2" s="1970"/>
      <c r="P2" s="1789"/>
      <c r="Q2" s="1970"/>
    </row>
    <row r="3" spans="1:17" ht="15.75" customHeight="1" x14ac:dyDescent="0.35">
      <c r="A3" s="481"/>
      <c r="B3" s="481"/>
      <c r="C3" s="488" t="s">
        <v>3752</v>
      </c>
      <c r="D3" s="481"/>
      <c r="E3" s="481"/>
      <c r="F3" s="571" t="s">
        <v>8536</v>
      </c>
      <c r="G3" s="481"/>
      <c r="H3" s="529"/>
      <c r="I3" s="481"/>
      <c r="J3" s="481"/>
      <c r="K3" s="481"/>
      <c r="L3" s="1789"/>
      <c r="M3" s="1970"/>
      <c r="N3" s="1789"/>
      <c r="O3" s="1970"/>
      <c r="P3" s="1789"/>
      <c r="Q3" s="1970"/>
    </row>
    <row r="4" spans="1:17" ht="12.75" customHeight="1" x14ac:dyDescent="0.35">
      <c r="A4" s="481"/>
      <c r="B4" s="481"/>
      <c r="C4" s="147"/>
      <c r="D4" s="481"/>
      <c r="E4" s="481"/>
      <c r="F4" s="530" t="s">
        <v>6976</v>
      </c>
      <c r="G4" s="481"/>
      <c r="H4" s="488" t="s">
        <v>1968</v>
      </c>
      <c r="I4" s="481"/>
      <c r="J4" s="481"/>
      <c r="K4" s="481"/>
      <c r="L4" s="1789"/>
      <c r="M4" s="1970"/>
      <c r="N4" s="1789"/>
      <c r="O4" s="1970"/>
      <c r="P4" s="1789"/>
      <c r="Q4" s="1970"/>
    </row>
    <row r="5" spans="1:17" ht="12.75" customHeight="1" x14ac:dyDescent="0.35">
      <c r="A5" s="481"/>
      <c r="B5" s="481"/>
      <c r="C5" s="147"/>
      <c r="D5" s="481"/>
      <c r="E5" s="481"/>
      <c r="F5" s="531"/>
      <c r="G5" s="481"/>
      <c r="H5" s="532"/>
      <c r="I5" s="481"/>
      <c r="J5" s="481"/>
      <c r="K5" s="481"/>
      <c r="L5" s="1789"/>
      <c r="M5" s="1970"/>
      <c r="N5" s="1789"/>
      <c r="O5" s="1970"/>
      <c r="P5" s="1789"/>
      <c r="Q5" s="1970"/>
    </row>
    <row r="6" spans="1:17" ht="12.75" customHeight="1" x14ac:dyDescent="0.35">
      <c r="A6" s="481"/>
      <c r="B6" s="481"/>
      <c r="C6" s="147"/>
      <c r="D6" s="481"/>
      <c r="E6" s="481"/>
      <c r="F6" s="481"/>
      <c r="G6" s="481"/>
      <c r="H6" s="481"/>
      <c r="I6" s="481"/>
      <c r="J6" s="481"/>
      <c r="K6" s="481"/>
      <c r="L6" s="1789"/>
      <c r="M6" s="1970"/>
      <c r="N6" s="1789"/>
      <c r="O6" s="1970"/>
      <c r="P6" s="1789"/>
      <c r="Q6" s="1970"/>
    </row>
    <row r="7" spans="1:17" ht="12.75" customHeight="1" x14ac:dyDescent="0.35">
      <c r="A7" s="481"/>
      <c r="B7" s="481"/>
      <c r="C7" s="147"/>
      <c r="D7" s="481"/>
      <c r="E7" s="481"/>
      <c r="F7" s="481"/>
      <c r="G7" s="481"/>
      <c r="H7" s="481"/>
      <c r="I7" s="481"/>
      <c r="J7" s="481"/>
      <c r="K7" s="481"/>
      <c r="L7" s="1789" t="s">
        <v>4043</v>
      </c>
      <c r="M7" s="1180" t="b">
        <v>0</v>
      </c>
      <c r="N7" s="1971" t="s">
        <v>3566</v>
      </c>
      <c r="O7" s="1180" t="b">
        <v>0</v>
      </c>
      <c r="P7" s="1971" t="s">
        <v>3570</v>
      </c>
      <c r="Q7" s="1180" t="b">
        <v>0</v>
      </c>
    </row>
    <row r="8" spans="1:17" ht="16.5" customHeight="1" x14ac:dyDescent="0.35">
      <c r="A8" s="481"/>
      <c r="B8" s="488" t="s">
        <v>3108</v>
      </c>
      <c r="C8" s="481"/>
      <c r="D8" s="481"/>
      <c r="E8" s="481"/>
      <c r="F8" s="488" t="s">
        <v>3370</v>
      </c>
      <c r="G8" s="570" t="s">
        <v>1604</v>
      </c>
      <c r="H8" s="481"/>
      <c r="I8" s="570" t="s">
        <v>1604</v>
      </c>
      <c r="J8" s="481"/>
      <c r="K8" s="481"/>
      <c r="L8" s="1789" t="s">
        <v>2184</v>
      </c>
      <c r="M8" s="1180" t="b">
        <v>0</v>
      </c>
      <c r="N8" s="1971" t="s">
        <v>3567</v>
      </c>
      <c r="O8" s="1180" t="b">
        <v>0</v>
      </c>
      <c r="P8" s="1971" t="s">
        <v>6</v>
      </c>
      <c r="Q8" s="1180" t="b">
        <v>0</v>
      </c>
    </row>
    <row r="9" spans="1:17" ht="16.5" customHeight="1" x14ac:dyDescent="0.35">
      <c r="A9" s="481"/>
      <c r="B9" s="533"/>
      <c r="C9" s="536"/>
      <c r="D9" s="481"/>
      <c r="E9" s="534"/>
      <c r="F9" s="535"/>
      <c r="G9" s="535"/>
      <c r="H9" s="535"/>
      <c r="I9" s="536"/>
      <c r="J9" s="481"/>
      <c r="K9" s="481"/>
      <c r="L9" s="1789" t="s">
        <v>829</v>
      </c>
      <c r="M9" s="1180" t="b">
        <v>0</v>
      </c>
      <c r="N9" s="1971" t="s">
        <v>3568</v>
      </c>
      <c r="O9" s="1180" t="b">
        <v>0</v>
      </c>
      <c r="P9" s="1971" t="s">
        <v>4112</v>
      </c>
      <c r="Q9" s="1180" t="b">
        <v>0</v>
      </c>
    </row>
    <row r="10" spans="1:17" ht="11.25" customHeight="1" x14ac:dyDescent="0.35">
      <c r="A10" s="481"/>
      <c r="B10" s="537"/>
      <c r="C10" s="573" t="s">
        <v>4142</v>
      </c>
      <c r="D10" s="481"/>
      <c r="E10" s="537"/>
      <c r="F10" s="538"/>
      <c r="G10" s="538"/>
      <c r="H10" s="538"/>
      <c r="I10" s="539"/>
      <c r="J10" s="481"/>
      <c r="K10" s="481"/>
      <c r="L10" s="1789" t="s">
        <v>3927</v>
      </c>
      <c r="M10" s="1180" t="b">
        <v>0</v>
      </c>
      <c r="N10" s="1971" t="s">
        <v>2951</v>
      </c>
      <c r="O10" s="1180" t="b">
        <v>0</v>
      </c>
      <c r="P10" s="1971" t="s">
        <v>627</v>
      </c>
      <c r="Q10" s="1180" t="b">
        <v>0</v>
      </c>
    </row>
    <row r="11" spans="1:17" ht="11.25" customHeight="1" x14ac:dyDescent="0.35">
      <c r="A11" s="481"/>
      <c r="B11" s="537"/>
      <c r="C11" s="539"/>
      <c r="D11" s="481"/>
      <c r="E11" s="537"/>
      <c r="F11" s="538"/>
      <c r="G11" s="538"/>
      <c r="H11" s="538"/>
      <c r="I11" s="539"/>
      <c r="J11" s="481"/>
      <c r="K11" s="481"/>
      <c r="L11" s="1789" t="s">
        <v>830</v>
      </c>
      <c r="M11" s="1180" t="b">
        <v>0</v>
      </c>
      <c r="N11" s="1971" t="s">
        <v>3569</v>
      </c>
      <c r="O11" s="1180" t="b">
        <v>0</v>
      </c>
      <c r="P11" s="1971" t="s">
        <v>4114</v>
      </c>
      <c r="Q11" s="1180" t="b">
        <v>0</v>
      </c>
    </row>
    <row r="12" spans="1:17" ht="11.25" customHeight="1" x14ac:dyDescent="0.35">
      <c r="A12" s="481"/>
      <c r="B12" s="537"/>
      <c r="C12" s="539"/>
      <c r="D12" s="481"/>
      <c r="E12" s="537"/>
      <c r="F12" s="538"/>
      <c r="G12" s="538"/>
      <c r="H12" s="538"/>
      <c r="I12" s="539"/>
      <c r="J12" s="481"/>
      <c r="K12" s="481"/>
      <c r="L12" s="1789" t="s">
        <v>4944</v>
      </c>
      <c r="M12" s="1180" t="b">
        <v>0</v>
      </c>
      <c r="N12" s="1789" t="s">
        <v>579</v>
      </c>
      <c r="O12" s="1180" t="b">
        <v>0</v>
      </c>
      <c r="P12" s="1971"/>
      <c r="Q12" s="1970"/>
    </row>
    <row r="13" spans="1:17" ht="11.25" customHeight="1" x14ac:dyDescent="0.35">
      <c r="A13" s="481"/>
      <c r="B13" s="537"/>
      <c r="C13" s="539"/>
      <c r="D13" s="481"/>
      <c r="E13" s="537"/>
      <c r="F13" s="538"/>
      <c r="G13" s="538"/>
      <c r="H13" s="538"/>
      <c r="I13" s="539"/>
      <c r="J13" s="481"/>
      <c r="K13" s="481"/>
      <c r="L13" s="1789"/>
      <c r="M13" s="1970"/>
      <c r="N13" s="1789"/>
      <c r="O13" s="1970"/>
      <c r="P13" s="1789"/>
      <c r="Q13" s="1970"/>
    </row>
    <row r="14" spans="1:17" ht="11.25" customHeight="1" x14ac:dyDescent="0.35">
      <c r="A14" s="481"/>
      <c r="B14" s="537"/>
      <c r="C14" s="539"/>
      <c r="D14" s="481"/>
      <c r="E14" s="537"/>
      <c r="F14" s="538"/>
      <c r="G14" s="538"/>
      <c r="H14" s="538"/>
      <c r="I14" s="539"/>
      <c r="J14" s="481"/>
      <c r="K14" s="481"/>
      <c r="L14" s="1789"/>
      <c r="M14" s="1970"/>
      <c r="N14" s="1789"/>
      <c r="O14" s="1970"/>
      <c r="P14" s="1789"/>
      <c r="Q14" s="1970"/>
    </row>
    <row r="15" spans="1:17" ht="11.25" customHeight="1" x14ac:dyDescent="0.35">
      <c r="A15" s="481"/>
      <c r="B15" s="537"/>
      <c r="C15" s="539"/>
      <c r="D15" s="481"/>
      <c r="E15" s="537"/>
      <c r="F15" s="538"/>
      <c r="G15" s="538"/>
      <c r="H15" s="538"/>
      <c r="I15" s="539"/>
      <c r="J15" s="481"/>
      <c r="K15" s="481"/>
      <c r="L15" s="1789"/>
      <c r="M15" s="1970"/>
      <c r="N15" s="1789"/>
      <c r="O15" s="1970"/>
      <c r="P15" s="1789"/>
      <c r="Q15" s="1970"/>
    </row>
    <row r="16" spans="1:17" ht="11.25" customHeight="1" x14ac:dyDescent="0.35">
      <c r="A16" s="481"/>
      <c r="B16" s="537"/>
      <c r="C16" s="539"/>
      <c r="D16" s="481"/>
      <c r="E16" s="537"/>
      <c r="F16" s="538"/>
      <c r="G16" s="538"/>
      <c r="H16" s="538"/>
      <c r="I16" s="539"/>
      <c r="J16" s="481"/>
      <c r="K16" s="481"/>
      <c r="L16" s="1789"/>
      <c r="M16" s="1970"/>
      <c r="N16" s="1789"/>
      <c r="O16" s="1970"/>
      <c r="P16" s="1789"/>
      <c r="Q16" s="1970"/>
    </row>
    <row r="17" spans="1:17" ht="11.25" customHeight="1" x14ac:dyDescent="0.35">
      <c r="A17" s="481"/>
      <c r="B17" s="537"/>
      <c r="C17" s="539"/>
      <c r="D17" s="481"/>
      <c r="E17" s="537"/>
      <c r="F17" s="538"/>
      <c r="G17" s="538"/>
      <c r="H17" s="538"/>
      <c r="I17" s="539"/>
      <c r="J17" s="481"/>
      <c r="K17" s="481"/>
      <c r="L17" s="1789"/>
      <c r="M17" s="1970"/>
      <c r="N17" s="1789"/>
      <c r="O17" s="1970"/>
      <c r="P17" s="1789"/>
      <c r="Q17" s="1970"/>
    </row>
    <row r="18" spans="1:17" ht="11.25" customHeight="1" x14ac:dyDescent="0.35">
      <c r="A18" s="481"/>
      <c r="B18" s="537"/>
      <c r="C18" s="539"/>
      <c r="D18" s="481"/>
      <c r="E18" s="537"/>
      <c r="F18" s="538"/>
      <c r="G18" s="538"/>
      <c r="H18" s="538"/>
      <c r="I18" s="539"/>
      <c r="J18" s="481"/>
      <c r="K18" s="481"/>
      <c r="L18" s="1789"/>
      <c r="M18" s="1970"/>
      <c r="N18" s="1789"/>
      <c r="O18" s="1970"/>
      <c r="P18" s="1789"/>
      <c r="Q18" s="1970"/>
    </row>
    <row r="19" spans="1:17" ht="5.25" customHeight="1" x14ac:dyDescent="0.35">
      <c r="A19" s="481"/>
      <c r="B19" s="537"/>
      <c r="C19" s="539"/>
      <c r="D19" s="481"/>
      <c r="E19" s="537"/>
      <c r="F19" s="538"/>
      <c r="G19" s="538"/>
      <c r="H19" s="538"/>
      <c r="I19" s="539"/>
      <c r="J19" s="481"/>
      <c r="K19" s="481"/>
      <c r="L19" s="1789"/>
      <c r="M19" s="1970"/>
      <c r="N19" s="1789"/>
      <c r="O19" s="1970"/>
      <c r="P19" s="1789"/>
      <c r="Q19" s="1970"/>
    </row>
    <row r="20" spans="1:17" ht="5.25" customHeight="1" x14ac:dyDescent="0.35">
      <c r="A20" s="481"/>
      <c r="B20" s="540"/>
      <c r="C20" s="541"/>
      <c r="D20" s="481"/>
      <c r="E20" s="540"/>
      <c r="F20" s="542"/>
      <c r="G20" s="542"/>
      <c r="H20" s="542"/>
      <c r="I20" s="541"/>
      <c r="J20" s="481"/>
      <c r="K20" s="481"/>
      <c r="L20" s="1789"/>
      <c r="M20" s="1970"/>
      <c r="N20" s="1789"/>
      <c r="O20" s="1970"/>
      <c r="P20" s="1789"/>
      <c r="Q20" s="1970"/>
    </row>
    <row r="21" spans="1:17" ht="6.75" customHeight="1" x14ac:dyDescent="0.35">
      <c r="A21" s="481"/>
      <c r="B21" s="481"/>
      <c r="C21" s="481"/>
      <c r="D21" s="481"/>
      <c r="E21" s="481"/>
      <c r="F21" s="481"/>
      <c r="G21" s="481"/>
      <c r="H21" s="481"/>
      <c r="I21" s="481"/>
      <c r="J21" s="481"/>
      <c r="K21" s="481"/>
      <c r="L21" s="1789"/>
      <c r="M21" s="1970"/>
      <c r="N21" s="1789"/>
      <c r="O21" s="1970"/>
      <c r="P21" s="1789"/>
      <c r="Q21" s="1970"/>
    </row>
    <row r="22" spans="1:17" ht="11.25" customHeight="1" x14ac:dyDescent="0.35">
      <c r="A22" s="481"/>
      <c r="B22" s="481"/>
      <c r="C22" s="481"/>
      <c r="D22" s="481"/>
      <c r="E22" s="538"/>
      <c r="F22" s="538"/>
      <c r="G22" s="538"/>
      <c r="H22" s="538"/>
      <c r="I22" s="538"/>
      <c r="J22" s="481"/>
      <c r="K22" s="481"/>
      <c r="L22" s="1789"/>
      <c r="M22" s="1970"/>
      <c r="N22" s="1789"/>
      <c r="O22" s="1970"/>
      <c r="P22" s="1789"/>
      <c r="Q22" s="1970"/>
    </row>
    <row r="23" spans="1:17" ht="12.75" customHeight="1" x14ac:dyDescent="0.35">
      <c r="A23" s="481"/>
      <c r="B23" s="481"/>
      <c r="C23" s="481"/>
      <c r="D23" s="481"/>
      <c r="E23" s="538"/>
      <c r="F23" s="538"/>
      <c r="G23" s="538"/>
      <c r="H23" s="538"/>
      <c r="I23" s="538"/>
      <c r="J23" s="481"/>
      <c r="K23" s="481"/>
      <c r="L23" s="1789"/>
      <c r="M23" s="1970"/>
      <c r="N23" s="1789"/>
      <c r="O23" s="1970"/>
      <c r="P23" s="1789"/>
      <c r="Q23" s="1970"/>
    </row>
    <row r="24" spans="1:17" ht="12.75" customHeight="1" x14ac:dyDescent="0.35">
      <c r="A24" s="481"/>
      <c r="B24" s="481"/>
      <c r="C24" s="481"/>
      <c r="D24" s="481"/>
      <c r="E24" s="538"/>
      <c r="F24" s="538"/>
      <c r="G24" s="538"/>
      <c r="H24" s="538"/>
      <c r="I24" s="538"/>
      <c r="J24" s="481"/>
      <c r="K24" s="481"/>
      <c r="L24" s="1180" t="b">
        <v>0</v>
      </c>
      <c r="M24" s="1971" t="s">
        <v>4945</v>
      </c>
      <c r="N24" s="1971"/>
      <c r="O24" s="1970"/>
      <c r="P24" s="1789"/>
      <c r="Q24" s="1970"/>
    </row>
    <row r="25" spans="1:17" ht="11.25" customHeight="1" x14ac:dyDescent="0.35">
      <c r="A25" s="481"/>
      <c r="B25" s="481"/>
      <c r="C25" s="481"/>
      <c r="D25" s="481"/>
      <c r="E25" s="538"/>
      <c r="F25" s="538"/>
      <c r="G25" s="538"/>
      <c r="H25" s="675" t="s">
        <v>987</v>
      </c>
      <c r="I25" s="538"/>
      <c r="J25" s="481"/>
      <c r="K25" s="481"/>
      <c r="L25" s="1789"/>
      <c r="M25" s="1970"/>
      <c r="N25" s="1789"/>
      <c r="O25" s="1970"/>
      <c r="P25" s="1789"/>
      <c r="Q25" s="1970"/>
    </row>
    <row r="26" spans="1:17" ht="12.75" customHeight="1" x14ac:dyDescent="0.35">
      <c r="A26" s="481"/>
      <c r="B26" s="481"/>
      <c r="C26" s="481"/>
      <c r="D26" s="481"/>
      <c r="E26" s="538"/>
      <c r="F26" s="538"/>
      <c r="G26" s="538"/>
      <c r="H26" s="572" t="str">
        <f>"working sheets "&amp;IF(L21,"are currently visible","are currently hidden")</f>
        <v>working sheets are currently hidden</v>
      </c>
      <c r="I26" s="538"/>
      <c r="J26" s="481"/>
      <c r="K26" s="481"/>
      <c r="L26" s="1789"/>
      <c r="M26" s="1970"/>
      <c r="N26" s="1789"/>
      <c r="O26" s="1970"/>
      <c r="P26" s="1789"/>
      <c r="Q26" s="1970"/>
    </row>
    <row r="27" spans="1:17" x14ac:dyDescent="0.35">
      <c r="A27" s="481"/>
      <c r="B27" s="481"/>
      <c r="C27" s="481"/>
      <c r="D27" s="481"/>
      <c r="E27" s="538"/>
      <c r="F27" s="538"/>
      <c r="G27" s="538"/>
      <c r="H27" s="538"/>
      <c r="I27" s="538"/>
      <c r="J27" s="481"/>
      <c r="K27" s="481"/>
      <c r="L27" s="1789"/>
      <c r="M27" s="1970"/>
      <c r="N27" s="1789"/>
      <c r="O27" s="1970"/>
      <c r="P27" s="1789"/>
      <c r="Q27" s="1970"/>
    </row>
    <row r="28" spans="1:17" x14ac:dyDescent="0.35">
      <c r="A28" s="481"/>
      <c r="B28" s="481"/>
      <c r="C28" s="481"/>
      <c r="D28" s="481"/>
      <c r="E28" s="481"/>
      <c r="F28" s="481"/>
      <c r="G28" s="481"/>
      <c r="H28" s="675"/>
      <c r="I28" s="481"/>
      <c r="J28" s="481"/>
      <c r="K28" s="481"/>
      <c r="L28" s="1789"/>
      <c r="M28" s="1970"/>
      <c r="N28" s="1789"/>
      <c r="O28" s="1970"/>
      <c r="P28" s="1789"/>
      <c r="Q28" s="1970"/>
    </row>
    <row r="29" spans="1:17" x14ac:dyDescent="0.35">
      <c r="A29" s="481"/>
      <c r="B29" s="481"/>
      <c r="C29" s="481"/>
      <c r="D29" s="481"/>
      <c r="E29" s="481"/>
      <c r="F29" s="481"/>
      <c r="G29" s="481"/>
      <c r="H29" s="572"/>
      <c r="I29" s="481"/>
      <c r="J29" s="481"/>
      <c r="K29" s="481"/>
      <c r="L29" s="1789"/>
      <c r="M29" s="1970"/>
      <c r="N29" s="1789"/>
      <c r="O29" s="1970"/>
      <c r="P29" s="1789"/>
      <c r="Q29" s="1970"/>
    </row>
    <row r="30" spans="1:17" x14ac:dyDescent="0.35">
      <c r="A30" s="481"/>
      <c r="B30" s="481"/>
      <c r="C30" s="481"/>
      <c r="D30" s="481"/>
      <c r="E30" s="481"/>
      <c r="F30" s="481"/>
      <c r="G30" s="1972"/>
      <c r="H30" s="1973"/>
      <c r="I30" s="1974"/>
      <c r="J30" s="481"/>
      <c r="K30" s="481"/>
      <c r="L30" s="1789"/>
      <c r="M30" s="1970"/>
      <c r="N30" s="1789"/>
      <c r="O30" s="1970"/>
      <c r="P30" s="1789"/>
      <c r="Q30" s="1970"/>
    </row>
    <row r="31" spans="1:17" x14ac:dyDescent="0.35">
      <c r="A31" s="481"/>
      <c r="B31" s="481"/>
      <c r="C31" s="481"/>
      <c r="D31" s="481"/>
      <c r="E31" s="481"/>
      <c r="F31" s="481"/>
      <c r="G31" s="1975"/>
      <c r="H31" s="538" t="str">
        <f>IF(L35,"in-year repayment","")</f>
        <v/>
      </c>
      <c r="I31" s="1976"/>
      <c r="J31" s="481"/>
      <c r="K31" s="481"/>
      <c r="L31" s="1789"/>
      <c r="M31" s="1970"/>
      <c r="N31" s="1789"/>
      <c r="O31" s="1970"/>
      <c r="P31" s="1789"/>
      <c r="Q31" s="1970"/>
    </row>
    <row r="32" spans="1:17" x14ac:dyDescent="0.35">
      <c r="A32" s="481"/>
      <c r="B32" s="481"/>
      <c r="C32" s="481"/>
      <c r="D32" s="481"/>
      <c r="E32" s="481"/>
      <c r="F32" s="481"/>
      <c r="G32" s="1975"/>
      <c r="H32" s="538"/>
      <c r="I32" s="1976"/>
      <c r="J32" s="481"/>
      <c r="K32" s="481"/>
      <c r="L32" s="1789"/>
      <c r="M32" s="1970"/>
      <c r="N32" s="1789"/>
      <c r="O32" s="1970"/>
      <c r="P32" s="1789"/>
      <c r="Q32" s="1970"/>
    </row>
    <row r="33" spans="1:17" x14ac:dyDescent="0.35">
      <c r="A33" s="481"/>
      <c r="B33" s="481"/>
      <c r="C33" s="481"/>
      <c r="D33" s="481"/>
      <c r="E33" s="481"/>
      <c r="F33" s="481"/>
      <c r="G33" s="1975"/>
      <c r="H33" s="538"/>
      <c r="I33" s="1976"/>
      <c r="J33" s="481"/>
      <c r="K33" s="481"/>
      <c r="L33" s="1789"/>
      <c r="M33" s="1970"/>
      <c r="N33" s="1789"/>
      <c r="O33" s="1970"/>
      <c r="P33" s="1789"/>
      <c r="Q33" s="1970"/>
    </row>
    <row r="34" spans="1:17" x14ac:dyDescent="0.35">
      <c r="A34" s="481"/>
      <c r="B34" s="481"/>
      <c r="C34" s="1161"/>
      <c r="D34" s="481"/>
      <c r="E34" s="481"/>
      <c r="F34" s="481"/>
      <c r="G34" s="1975"/>
      <c r="H34" s="538"/>
      <c r="I34" s="1976"/>
      <c r="J34" s="481"/>
      <c r="K34" s="481"/>
      <c r="L34" s="1789"/>
      <c r="M34" s="1970"/>
      <c r="N34" s="1789"/>
      <c r="O34" s="1970"/>
      <c r="P34" s="1789"/>
      <c r="Q34" s="1970"/>
    </row>
    <row r="35" spans="1:17" x14ac:dyDescent="0.35">
      <c r="A35" s="481"/>
      <c r="B35" s="481"/>
      <c r="C35" s="481"/>
      <c r="D35" s="481"/>
      <c r="E35" s="481"/>
      <c r="F35" s="481"/>
      <c r="G35" s="1977"/>
      <c r="H35" s="1978"/>
      <c r="I35" s="1979"/>
      <c r="J35" s="481"/>
      <c r="K35" s="481"/>
      <c r="L35" s="1180" t="b">
        <v>0</v>
      </c>
      <c r="M35" s="1971" t="s">
        <v>6533</v>
      </c>
      <c r="N35" s="1789"/>
      <c r="O35" s="1970"/>
      <c r="P35" s="1789"/>
      <c r="Q35" s="1970"/>
    </row>
    <row r="36" spans="1:17" x14ac:dyDescent="0.35">
      <c r="A36" s="481"/>
      <c r="B36" s="481"/>
      <c r="C36" s="481"/>
      <c r="D36" s="481"/>
      <c r="E36" s="481"/>
      <c r="F36" s="481"/>
      <c r="G36" s="1975" t="s">
        <v>6532</v>
      </c>
      <c r="H36" s="1980"/>
      <c r="I36" s="1976"/>
      <c r="J36" s="481"/>
      <c r="K36" s="481"/>
      <c r="L36" s="1180"/>
      <c r="M36" s="1971"/>
      <c r="N36" s="1789"/>
      <c r="O36" s="1970"/>
      <c r="P36" s="1789"/>
      <c r="Q36" s="1970"/>
    </row>
    <row r="37" spans="1:17" x14ac:dyDescent="0.35">
      <c r="A37" s="481"/>
      <c r="B37" s="481"/>
      <c r="C37" s="481"/>
      <c r="D37" s="481"/>
      <c r="E37" s="481"/>
      <c r="F37" s="481"/>
      <c r="G37" s="1981"/>
      <c r="H37" s="1982"/>
      <c r="I37" s="1983"/>
      <c r="J37" s="481"/>
      <c r="K37" s="481"/>
      <c r="L37" s="1180"/>
      <c r="M37" s="1971"/>
      <c r="N37" s="1789"/>
      <c r="O37" s="1970"/>
      <c r="P37" s="1789"/>
      <c r="Q37" s="1970"/>
    </row>
    <row r="38" spans="1:17" x14ac:dyDescent="0.35">
      <c r="A38" s="481"/>
      <c r="B38" s="481"/>
      <c r="C38" s="481"/>
      <c r="D38" s="481"/>
      <c r="E38" s="481"/>
      <c r="F38" s="481"/>
      <c r="G38" s="1970"/>
      <c r="H38" s="1970"/>
      <c r="I38" s="1970"/>
      <c r="J38" s="481"/>
      <c r="K38" s="481"/>
      <c r="L38" s="1180"/>
      <c r="M38" s="1971"/>
      <c r="N38" s="1789"/>
      <c r="O38" s="1970"/>
      <c r="P38" s="1789"/>
      <c r="Q38" s="1970"/>
    </row>
    <row r="39" spans="1:17" x14ac:dyDescent="0.35">
      <c r="A39" s="1970"/>
      <c r="B39" s="1970"/>
      <c r="C39" s="1970"/>
      <c r="D39" s="1970"/>
      <c r="E39" s="1970"/>
      <c r="F39" s="1970"/>
      <c r="G39" s="1970"/>
      <c r="H39" s="1970"/>
      <c r="I39" s="1970"/>
      <c r="J39" s="1970"/>
      <c r="K39" s="1970"/>
      <c r="L39" s="1789"/>
      <c r="M39" s="1970"/>
      <c r="N39" s="1789"/>
      <c r="O39" s="1970"/>
      <c r="P39" s="1789"/>
      <c r="Q39" s="1970"/>
    </row>
    <row r="40" spans="1:17" x14ac:dyDescent="0.35">
      <c r="A40" s="481"/>
      <c r="B40" s="481"/>
      <c r="C40" s="481"/>
      <c r="D40" s="481"/>
      <c r="E40" s="481"/>
      <c r="F40" s="481"/>
      <c r="G40" s="1970"/>
      <c r="H40" s="1970"/>
      <c r="I40" s="1970"/>
      <c r="J40" s="481"/>
      <c r="K40" s="481"/>
      <c r="L40" s="1789"/>
      <c r="M40" s="1970"/>
      <c r="N40" s="1789"/>
      <c r="O40" s="1970"/>
      <c r="P40" s="1789"/>
      <c r="Q40" s="1970"/>
    </row>
    <row r="41" spans="1:17" x14ac:dyDescent="0.35">
      <c r="A41" s="1970"/>
      <c r="B41" s="1970"/>
      <c r="C41" s="1970"/>
      <c r="D41" s="1970"/>
      <c r="E41" s="1970"/>
      <c r="F41" s="1970"/>
      <c r="G41" s="1970"/>
      <c r="H41" s="1970"/>
      <c r="I41" s="1970"/>
      <c r="J41" s="1970"/>
      <c r="K41" s="1970"/>
      <c r="L41" s="1789"/>
      <c r="M41" s="1970"/>
      <c r="N41" s="1789"/>
      <c r="O41" s="1970"/>
      <c r="P41" s="1789"/>
      <c r="Q41" s="1970"/>
    </row>
    <row r="42" spans="1:17" x14ac:dyDescent="0.35">
      <c r="A42" s="1970"/>
      <c r="B42" s="1970"/>
      <c r="C42" s="1970"/>
      <c r="D42" s="1970"/>
      <c r="E42" s="1970"/>
      <c r="F42" s="1970"/>
      <c r="G42" s="1970"/>
      <c r="H42" s="1970"/>
      <c r="I42" s="1970"/>
      <c r="J42" s="1970"/>
      <c r="K42" s="1970"/>
    </row>
  </sheetData>
  <sheetProtection sheet="1" objects="1" scenarios="1"/>
  <phoneticPr fontId="68"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08" r:id="rId4" name="Check Box 56">
              <controlPr defaultSize="0" autoFill="0" autoLine="0" autoPict="0" macro="[0]!Show_EMP">
                <anchor moveWithCells="1">
                  <from>
                    <xdr:col>6</xdr:col>
                    <xdr:colOff>0</xdr:colOff>
                    <xdr:row>8</xdr:row>
                    <xdr:rowOff>19050</xdr:rowOff>
                  </from>
                  <to>
                    <xdr:col>6</xdr:col>
                    <xdr:colOff>314325</xdr:colOff>
                    <xdr:row>9</xdr:row>
                    <xdr:rowOff>38100</xdr:rowOff>
                  </to>
                </anchor>
              </controlPr>
            </control>
          </mc:Choice>
        </mc:AlternateContent>
        <mc:AlternateContent xmlns:mc="http://schemas.openxmlformats.org/markup-compatibility/2006">
          <mc:Choice Requires="x14">
            <control shapeId="49209" r:id="rId5" name="Check Box 57">
              <controlPr defaultSize="0" autoFill="0" autoLine="0" autoPict="0" macro="[0]!Show_MOR">
                <anchor moveWithCells="1">
                  <from>
                    <xdr:col>6</xdr:col>
                    <xdr:colOff>0</xdr:colOff>
                    <xdr:row>9</xdr:row>
                    <xdr:rowOff>104775</xdr:rowOff>
                  </from>
                  <to>
                    <xdr:col>6</xdr:col>
                    <xdr:colOff>314325</xdr:colOff>
                    <xdr:row>11</xdr:row>
                    <xdr:rowOff>38100</xdr:rowOff>
                  </to>
                </anchor>
              </controlPr>
            </control>
          </mc:Choice>
        </mc:AlternateContent>
        <mc:AlternateContent xmlns:mc="http://schemas.openxmlformats.org/markup-compatibility/2006">
          <mc:Choice Requires="x14">
            <control shapeId="49210" r:id="rId6" name="Check Box 58">
              <controlPr defaultSize="0" autoFill="0" autoLine="0" autoPict="0" macro="[0]!Show_SE">
                <anchor moveWithCells="1">
                  <from>
                    <xdr:col>6</xdr:col>
                    <xdr:colOff>9525</xdr:colOff>
                    <xdr:row>11</xdr:row>
                    <xdr:rowOff>76200</xdr:rowOff>
                  </from>
                  <to>
                    <xdr:col>6</xdr:col>
                    <xdr:colOff>323850</xdr:colOff>
                    <xdr:row>13</xdr:row>
                    <xdr:rowOff>19050</xdr:rowOff>
                  </to>
                </anchor>
              </controlPr>
            </control>
          </mc:Choice>
        </mc:AlternateContent>
        <mc:AlternateContent xmlns:mc="http://schemas.openxmlformats.org/markup-compatibility/2006">
          <mc:Choice Requires="x14">
            <control shapeId="49211" r:id="rId7" name="Check Box 59">
              <controlPr defaultSize="0" autoFill="0" autoLine="0" autoPict="0" macro="[0]!Show_PS">
                <anchor moveWithCells="1">
                  <from>
                    <xdr:col>6</xdr:col>
                    <xdr:colOff>9525</xdr:colOff>
                    <xdr:row>15</xdr:row>
                    <xdr:rowOff>38100</xdr:rowOff>
                  </from>
                  <to>
                    <xdr:col>6</xdr:col>
                    <xdr:colOff>323850</xdr:colOff>
                    <xdr:row>16</xdr:row>
                    <xdr:rowOff>114300</xdr:rowOff>
                  </to>
                </anchor>
              </controlPr>
            </control>
          </mc:Choice>
        </mc:AlternateContent>
        <mc:AlternateContent xmlns:mc="http://schemas.openxmlformats.org/markup-compatibility/2006">
          <mc:Choice Requires="x14">
            <control shapeId="49212" r:id="rId8" name="Check Box 60">
              <controlPr defaultSize="0" autoFill="0" autoLine="0" autoPict="0" macro="[0]!Show_FOR">
                <anchor moveWithCells="1">
                  <from>
                    <xdr:col>8</xdr:col>
                    <xdr:colOff>0</xdr:colOff>
                    <xdr:row>9</xdr:row>
                    <xdr:rowOff>95250</xdr:rowOff>
                  </from>
                  <to>
                    <xdr:col>9</xdr:col>
                    <xdr:colOff>57150</xdr:colOff>
                    <xdr:row>11</xdr:row>
                    <xdr:rowOff>28575</xdr:rowOff>
                  </to>
                </anchor>
              </controlPr>
            </control>
          </mc:Choice>
        </mc:AlternateContent>
        <mc:AlternateContent xmlns:mc="http://schemas.openxmlformats.org/markup-compatibility/2006">
          <mc:Choice Requires="x14">
            <control shapeId="49213" r:id="rId9" name="Check Box 61">
              <controlPr defaultSize="0" autoFill="0" autoLine="0" autoPict="0" macro="[0]!Show_TRU">
                <anchor moveWithCells="1">
                  <from>
                    <xdr:col>8</xdr:col>
                    <xdr:colOff>0</xdr:colOff>
                    <xdr:row>11</xdr:row>
                    <xdr:rowOff>66675</xdr:rowOff>
                  </from>
                  <to>
                    <xdr:col>9</xdr:col>
                    <xdr:colOff>57150</xdr:colOff>
                    <xdr:row>13</xdr:row>
                    <xdr:rowOff>0</xdr:rowOff>
                  </to>
                </anchor>
              </controlPr>
            </control>
          </mc:Choice>
        </mc:AlternateContent>
        <mc:AlternateContent xmlns:mc="http://schemas.openxmlformats.org/markup-compatibility/2006">
          <mc:Choice Requires="x14">
            <control shapeId="49214" r:id="rId10" name="Check Box 62">
              <controlPr defaultSize="0" autoFill="0" autoLine="0" autoPict="0" macro="[0]!Show_CGT">
                <anchor moveWithCells="1">
                  <from>
                    <xdr:col>8</xdr:col>
                    <xdr:colOff>0</xdr:colOff>
                    <xdr:row>13</xdr:row>
                    <xdr:rowOff>38100</xdr:rowOff>
                  </from>
                  <to>
                    <xdr:col>9</xdr:col>
                    <xdr:colOff>57150</xdr:colOff>
                    <xdr:row>14</xdr:row>
                    <xdr:rowOff>123825</xdr:rowOff>
                  </to>
                </anchor>
              </controlPr>
            </control>
          </mc:Choice>
        </mc:AlternateContent>
        <mc:AlternateContent xmlns:mc="http://schemas.openxmlformats.org/markup-compatibility/2006">
          <mc:Choice Requires="x14">
            <control shapeId="49215" r:id="rId11" name="Check Box 63">
              <controlPr defaultSize="0" autoFill="0" autoLine="0" autoPict="0" macro="[0]!Show_PRO">
                <anchor moveWithCells="1">
                  <from>
                    <xdr:col>8</xdr:col>
                    <xdr:colOff>0</xdr:colOff>
                    <xdr:row>8</xdr:row>
                    <xdr:rowOff>19050</xdr:rowOff>
                  </from>
                  <to>
                    <xdr:col>9</xdr:col>
                    <xdr:colOff>57150</xdr:colOff>
                    <xdr:row>9</xdr:row>
                    <xdr:rowOff>38100</xdr:rowOff>
                  </to>
                </anchor>
              </controlPr>
            </control>
          </mc:Choice>
        </mc:AlternateContent>
        <mc:AlternateContent xmlns:mc="http://schemas.openxmlformats.org/markup-compatibility/2006">
          <mc:Choice Requires="x14">
            <control shapeId="49216" r:id="rId12" name="Check Box 64">
              <controlPr defaultSize="0" autoFill="0" autoLine="0" autoPict="0" macro="[0]!Show_LUN">
                <anchor moveWithCells="1">
                  <from>
                    <xdr:col>6</xdr:col>
                    <xdr:colOff>9525</xdr:colOff>
                    <xdr:row>13</xdr:row>
                    <xdr:rowOff>57150</xdr:rowOff>
                  </from>
                  <to>
                    <xdr:col>6</xdr:col>
                    <xdr:colOff>323850</xdr:colOff>
                    <xdr:row>14</xdr:row>
                    <xdr:rowOff>133350</xdr:rowOff>
                  </to>
                </anchor>
              </controlPr>
            </control>
          </mc:Choice>
        </mc:AlternateContent>
        <mc:AlternateContent xmlns:mc="http://schemas.openxmlformats.org/markup-compatibility/2006">
          <mc:Choice Requires="x14">
            <control shapeId="49217" r:id="rId13" name="Button 65">
              <controlPr defaultSize="0" print="0" autoFill="0" autoPict="0" macro="[0]!clear_all">
                <anchor moveWithCells="1" sizeWithCells="1">
                  <from>
                    <xdr:col>1</xdr:col>
                    <xdr:colOff>47625</xdr:colOff>
                    <xdr:row>21</xdr:row>
                    <xdr:rowOff>57150</xdr:rowOff>
                  </from>
                  <to>
                    <xdr:col>2</xdr:col>
                    <xdr:colOff>1581150</xdr:colOff>
                    <xdr:row>23</xdr:row>
                    <xdr:rowOff>66675</xdr:rowOff>
                  </to>
                </anchor>
              </controlPr>
            </control>
          </mc:Choice>
        </mc:AlternateContent>
        <mc:AlternateContent xmlns:mc="http://schemas.openxmlformats.org/markup-compatibility/2006">
          <mc:Choice Requires="x14">
            <control shapeId="49218" r:id="rId14" name="Button 66">
              <controlPr defaultSize="0" print="0" autoFill="0" autoPict="0" macro="[0]!Calculate_now">
                <anchor moveWithCells="1">
                  <from>
                    <xdr:col>2</xdr:col>
                    <xdr:colOff>2019300</xdr:colOff>
                    <xdr:row>21</xdr:row>
                    <xdr:rowOff>47625</xdr:rowOff>
                  </from>
                  <to>
                    <xdr:col>5</xdr:col>
                    <xdr:colOff>1552575</xdr:colOff>
                    <xdr:row>23</xdr:row>
                    <xdr:rowOff>76200</xdr:rowOff>
                  </to>
                </anchor>
              </controlPr>
            </control>
          </mc:Choice>
        </mc:AlternateContent>
        <mc:AlternateContent xmlns:mc="http://schemas.openxmlformats.org/markup-compatibility/2006">
          <mc:Choice Requires="x14">
            <control shapeId="49219" r:id="rId15" name="Button 67">
              <controlPr defaultSize="0" print="0" autoFill="0" autoPict="0" macro="[0]!toggle_C_boxes">
                <anchor moveWithCells="1" sizeWithCells="1">
                  <from>
                    <xdr:col>6</xdr:col>
                    <xdr:colOff>0</xdr:colOff>
                    <xdr:row>21</xdr:row>
                    <xdr:rowOff>66675</xdr:rowOff>
                  </from>
                  <to>
                    <xdr:col>9</xdr:col>
                    <xdr:colOff>19050</xdr:colOff>
                    <xdr:row>23</xdr:row>
                    <xdr:rowOff>66675</xdr:rowOff>
                  </to>
                </anchor>
              </controlPr>
            </control>
          </mc:Choice>
        </mc:AlternateContent>
        <mc:AlternateContent xmlns:mc="http://schemas.openxmlformats.org/markup-compatibility/2006">
          <mc:Choice Requires="x14">
            <control shapeId="49220" r:id="rId16" name="Check Box 68">
              <controlPr defaultSize="0" autoFill="0" autoLine="0" autoPict="0" macro="[0]!Show_NRD">
                <anchor moveWithCells="1">
                  <from>
                    <xdr:col>8</xdr:col>
                    <xdr:colOff>0</xdr:colOff>
                    <xdr:row>15</xdr:row>
                    <xdr:rowOff>28575</xdr:rowOff>
                  </from>
                  <to>
                    <xdr:col>9</xdr:col>
                    <xdr:colOff>57150</xdr:colOff>
                    <xdr:row>16</xdr:row>
                    <xdr:rowOff>114300</xdr:rowOff>
                  </to>
                </anchor>
              </controlPr>
            </control>
          </mc:Choice>
        </mc:AlternateContent>
        <mc:AlternateContent xmlns:mc="http://schemas.openxmlformats.org/markup-compatibility/2006">
          <mc:Choice Requires="x14">
            <control shapeId="49221" r:id="rId17" name="Check Box 69">
              <controlPr defaultSize="0" autoFill="0" autoLine="0" autoPict="0" macro="[0]!Show_cal">
                <anchor moveWithCells="1">
                  <from>
                    <xdr:col>8</xdr:col>
                    <xdr:colOff>0</xdr:colOff>
                    <xdr:row>16</xdr:row>
                    <xdr:rowOff>133350</xdr:rowOff>
                  </from>
                  <to>
                    <xdr:col>9</xdr:col>
                    <xdr:colOff>57150</xdr:colOff>
                    <xdr:row>19</xdr:row>
                    <xdr:rowOff>9525</xdr:rowOff>
                  </to>
                </anchor>
              </controlPr>
            </control>
          </mc:Choice>
        </mc:AlternateContent>
        <mc:AlternateContent xmlns:mc="http://schemas.openxmlformats.org/markup-compatibility/2006">
          <mc:Choice Requires="x14">
            <control shapeId="49222" r:id="rId18" name="Check Box 70">
              <controlPr defaultSize="0" autoFill="0" autoLine="0" autoPict="0" macro="[0]!Show_AOI">
                <anchor moveWithCells="1">
                  <from>
                    <xdr:col>2</xdr:col>
                    <xdr:colOff>2247900</xdr:colOff>
                    <xdr:row>8</xdr:row>
                    <xdr:rowOff>38100</xdr:rowOff>
                  </from>
                  <to>
                    <xdr:col>2</xdr:col>
                    <xdr:colOff>2552700</xdr:colOff>
                    <xdr:row>9</xdr:row>
                    <xdr:rowOff>47625</xdr:rowOff>
                  </to>
                </anchor>
              </controlPr>
            </control>
          </mc:Choice>
        </mc:AlternateContent>
        <mc:AlternateContent xmlns:mc="http://schemas.openxmlformats.org/markup-compatibility/2006">
          <mc:Choice Requires="x14">
            <control shapeId="49223" r:id="rId19" name="Check Box 71">
              <controlPr defaultSize="0" autoFill="0" autoLine="0" autoPict="0" macro="[0]!Show_ASE">
                <anchor moveWithCells="1">
                  <from>
                    <xdr:col>2</xdr:col>
                    <xdr:colOff>2247900</xdr:colOff>
                    <xdr:row>10</xdr:row>
                    <xdr:rowOff>19050</xdr:rowOff>
                  </from>
                  <to>
                    <xdr:col>2</xdr:col>
                    <xdr:colOff>2552700</xdr:colOff>
                    <xdr:row>11</xdr:row>
                    <xdr:rowOff>95250</xdr:rowOff>
                  </to>
                </anchor>
              </controlPr>
            </control>
          </mc:Choice>
        </mc:AlternateContent>
        <mc:AlternateContent xmlns:mc="http://schemas.openxmlformats.org/markup-compatibility/2006">
          <mc:Choice Requires="x14">
            <control shapeId="49224" r:id="rId20" name="Check Box 72">
              <controlPr defaultSize="0" autoFill="0" autoLine="0" autoPict="0" macro="[0]!Show_AOR">
                <anchor moveWithCells="1">
                  <from>
                    <xdr:col>2</xdr:col>
                    <xdr:colOff>2247900</xdr:colOff>
                    <xdr:row>12</xdr:row>
                    <xdr:rowOff>38100</xdr:rowOff>
                  </from>
                  <to>
                    <xdr:col>2</xdr:col>
                    <xdr:colOff>2552700</xdr:colOff>
                    <xdr:row>13</xdr:row>
                    <xdr:rowOff>114300</xdr:rowOff>
                  </to>
                </anchor>
              </controlPr>
            </control>
          </mc:Choice>
        </mc:AlternateContent>
        <mc:AlternateContent xmlns:mc="http://schemas.openxmlformats.org/markup-compatibility/2006">
          <mc:Choice Requires="x14">
            <control shapeId="49225" r:id="rId21" name="Check Box 73">
              <controlPr defaultSize="0" autoFill="0" autoLine="0" autoPict="0" macro="[0]!Show_MCA">
                <anchor moveWithCells="1">
                  <from>
                    <xdr:col>2</xdr:col>
                    <xdr:colOff>2247900</xdr:colOff>
                    <xdr:row>14</xdr:row>
                    <xdr:rowOff>47625</xdr:rowOff>
                  </from>
                  <to>
                    <xdr:col>2</xdr:col>
                    <xdr:colOff>2552700</xdr:colOff>
                    <xdr:row>15</xdr:row>
                    <xdr:rowOff>123825</xdr:rowOff>
                  </to>
                </anchor>
              </controlPr>
            </control>
          </mc:Choice>
        </mc:AlternateContent>
        <mc:AlternateContent xmlns:mc="http://schemas.openxmlformats.org/markup-compatibility/2006">
          <mc:Choice Requires="x14">
            <control shapeId="49226" r:id="rId22" name="Check Box 74">
              <controlPr defaultSize="0" autoFill="0" autoLine="0" autoPict="0" macro="[0]!Show_AIL">
                <anchor moveWithCells="1">
                  <from>
                    <xdr:col>2</xdr:col>
                    <xdr:colOff>2257425</xdr:colOff>
                    <xdr:row>16</xdr:row>
                    <xdr:rowOff>57150</xdr:rowOff>
                  </from>
                  <to>
                    <xdr:col>2</xdr:col>
                    <xdr:colOff>2562225</xdr:colOff>
                    <xdr:row>17</xdr:row>
                    <xdr:rowOff>133350</xdr:rowOff>
                  </to>
                </anchor>
              </controlPr>
            </control>
          </mc:Choice>
        </mc:AlternateContent>
        <mc:AlternateContent xmlns:mc="http://schemas.openxmlformats.org/markup-compatibility/2006">
          <mc:Choice Requires="x14">
            <control shapeId="2" r:id="rId23" name="Check Box 76">
              <controlPr defaultSize="0" autoFill="0" autoLine="0" autoPict="0" macro="[0]!Show_NI">
                <anchor moveWithCells="1">
                  <from>
                    <xdr:col>6</xdr:col>
                    <xdr:colOff>9525</xdr:colOff>
                    <xdr:row>16</xdr:row>
                    <xdr:rowOff>123825</xdr:rowOff>
                  </from>
                  <to>
                    <xdr:col>6</xdr:col>
                    <xdr:colOff>323850</xdr:colOff>
                    <xdr:row>18</xdr:row>
                    <xdr:rowOff>57150</xdr:rowOff>
                  </to>
                </anchor>
              </controlPr>
            </control>
          </mc:Choice>
        </mc:AlternateContent>
        <mc:AlternateContent xmlns:mc="http://schemas.openxmlformats.org/markup-compatibility/2006">
          <mc:Choice Requires="x14">
            <control shapeId="3" r:id="rId24" name="Button 78">
              <controlPr defaultSize="0" print="0" autoFill="0" autoPict="0" macro="[0]!Calculate_now_W">
                <anchor moveWithCells="1">
                  <from>
                    <xdr:col>2</xdr:col>
                    <xdr:colOff>2019300</xdr:colOff>
                    <xdr:row>23</xdr:row>
                    <xdr:rowOff>142875</xdr:rowOff>
                  </from>
                  <to>
                    <xdr:col>5</xdr:col>
                    <xdr:colOff>1552575</xdr:colOff>
                    <xdr:row>25</xdr:row>
                    <xdr:rowOff>161925</xdr:rowOff>
                  </to>
                </anchor>
              </controlPr>
            </control>
          </mc:Choice>
        </mc:AlternateContent>
        <mc:AlternateContent xmlns:mc="http://schemas.openxmlformats.org/markup-compatibility/2006">
          <mc:Choice Requires="x14">
            <control shapeId="49231" r:id="rId25" name="Check Box 79">
              <controlPr defaultSize="0" autoFill="0" autoLine="0" autoPict="0" macro="[0]!Show_EMP">
                <anchor moveWithCells="1">
                  <from>
                    <xdr:col>6</xdr:col>
                    <xdr:colOff>38100</xdr:colOff>
                    <xdr:row>29</xdr:row>
                    <xdr:rowOff>142875</xdr:rowOff>
                  </from>
                  <to>
                    <xdr:col>7</xdr:col>
                    <xdr:colOff>123825</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BJ77"/>
  <sheetViews>
    <sheetView showGridLines="0" topLeftCell="AD1" zoomScaleNormal="100" workbookViewId="0"/>
  </sheetViews>
  <sheetFormatPr defaultColWidth="9.1328125" defaultRowHeight="11.65" x14ac:dyDescent="0.35"/>
  <cols>
    <col min="1" max="1" width="4.265625" style="590" customWidth="1"/>
    <col min="2" max="2" width="11.3984375" style="589" customWidth="1"/>
    <col min="3" max="3" width="2.3984375" style="589" customWidth="1"/>
    <col min="4" max="4" width="5.59765625" style="589" customWidth="1"/>
    <col min="5" max="5" width="11.86328125" style="589" customWidth="1"/>
    <col min="6" max="6" width="2.73046875" style="589" customWidth="1"/>
    <col min="7" max="7" width="5.265625" style="589" customWidth="1"/>
    <col min="8" max="8" width="12" style="589" customWidth="1"/>
    <col min="9" max="9" width="2.3984375" style="589" customWidth="1"/>
    <col min="10" max="10" width="4.86328125" style="589" customWidth="1"/>
    <col min="11" max="11" width="12.59765625" style="589" customWidth="1"/>
    <col min="12" max="12" width="2.265625" style="589" customWidth="1"/>
    <col min="13" max="13" width="6.73046875" style="590" customWidth="1"/>
    <col min="14" max="14" width="12.73046875" style="589" customWidth="1"/>
    <col min="15" max="15" width="2.3984375" style="589" customWidth="1"/>
    <col min="16" max="16" width="5.1328125" style="589" customWidth="1"/>
    <col min="17" max="17" width="11.59765625" style="589" customWidth="1"/>
    <col min="18" max="18" width="2.73046875" style="589" customWidth="1"/>
    <col min="19" max="19" width="4.73046875" style="589" customWidth="1"/>
    <col min="20" max="20" width="11" style="589" customWidth="1"/>
    <col min="21" max="21" width="3.1328125" style="589" customWidth="1"/>
    <col min="22" max="22" width="4.73046875" style="589" customWidth="1"/>
    <col min="23" max="23" width="11.86328125" style="589" customWidth="1"/>
    <col min="24" max="24" width="2.86328125" style="589" customWidth="1"/>
    <col min="25" max="25" width="5.265625" style="589" customWidth="1"/>
    <col min="26" max="26" width="12.86328125" style="589" customWidth="1"/>
    <col min="27" max="27" width="3.3984375" style="589" customWidth="1"/>
    <col min="28" max="28" width="4.265625" style="148" customWidth="1"/>
    <col min="29" max="29" width="11" style="148" customWidth="1"/>
    <col min="30" max="30" width="2.73046875" style="148" customWidth="1"/>
    <col min="31" max="31" width="4.1328125" style="148" customWidth="1"/>
    <col min="32" max="32" width="12" style="148" customWidth="1"/>
    <col min="33" max="33" width="2.73046875" style="148" customWidth="1"/>
    <col min="34" max="34" width="4.73046875" style="148" customWidth="1"/>
    <col min="35" max="35" width="11.86328125" style="148" customWidth="1"/>
    <col min="36" max="36" width="2.73046875" style="148" customWidth="1"/>
    <col min="37" max="37" width="4.265625" style="148" customWidth="1"/>
    <col min="38" max="38" width="13.59765625" style="148" customWidth="1"/>
    <col min="39" max="39" width="1.73046875" style="148" customWidth="1"/>
    <col min="40" max="40" width="4.59765625" style="148" customWidth="1"/>
    <col min="41" max="41" width="12.265625" style="148" customWidth="1"/>
    <col min="42" max="42" width="2.73046875" style="148" customWidth="1"/>
    <col min="43" max="43" width="4.1328125" style="148" customWidth="1"/>
    <col min="44" max="44" width="11.86328125" style="148" customWidth="1"/>
    <col min="45" max="45" width="2.73046875" style="148" customWidth="1"/>
    <col min="46" max="46" width="4.265625" style="148" customWidth="1"/>
    <col min="47" max="47" width="11.265625" style="148" customWidth="1"/>
    <col min="48" max="48" width="2.1328125" style="148" customWidth="1"/>
    <col min="49" max="49" width="4" style="148" customWidth="1"/>
    <col min="50" max="50" width="11" style="148" customWidth="1"/>
    <col min="51" max="51" width="2.1328125" style="148" customWidth="1"/>
    <col min="52" max="52" width="4.265625" style="148" customWidth="1"/>
    <col min="53" max="53" width="12.265625" style="148" customWidth="1"/>
    <col min="54" max="54" width="2.59765625" style="148" customWidth="1"/>
    <col min="55" max="55" width="4.3984375" style="148" customWidth="1"/>
    <col min="56" max="56" width="10.265625" style="148" customWidth="1"/>
    <col min="57" max="57" width="2.73046875" style="148" customWidth="1"/>
    <col min="58" max="58" width="5.1328125" style="148" customWidth="1"/>
    <col min="59" max="59" width="11.59765625" style="148" customWidth="1"/>
    <col min="60" max="60" width="2" style="148" customWidth="1"/>
    <col min="61" max="61" width="4.59765625" style="590" customWidth="1"/>
    <col min="62" max="62" width="13.59765625" style="148" customWidth="1"/>
    <col min="63" max="63" width="3.59765625" style="148" customWidth="1"/>
    <col min="64" max="64" width="6.73046875" style="148" customWidth="1"/>
    <col min="65" max="65" width="13.265625" style="148" customWidth="1"/>
    <col min="66" max="16384" width="9.1328125" style="148"/>
  </cols>
  <sheetData>
    <row r="1" spans="1:62" x14ac:dyDescent="0.35">
      <c r="A1" s="606"/>
      <c r="B1" s="115" t="s">
        <v>8519</v>
      </c>
      <c r="C1" s="115"/>
      <c r="D1" s="115"/>
      <c r="E1" s="115"/>
      <c r="F1" s="115"/>
      <c r="G1" s="606"/>
      <c r="H1" s="115"/>
      <c r="I1" s="115"/>
      <c r="J1" s="606"/>
      <c r="K1" s="115"/>
      <c r="L1" s="115"/>
      <c r="M1" s="606"/>
      <c r="N1" s="115"/>
      <c r="O1" s="115"/>
      <c r="P1" s="115"/>
      <c r="Q1" s="115"/>
      <c r="R1" s="115"/>
      <c r="S1" s="115"/>
      <c r="T1" s="115"/>
      <c r="U1" s="115"/>
      <c r="V1" s="606"/>
      <c r="W1" s="115"/>
      <c r="X1" s="115"/>
      <c r="Y1" s="115"/>
      <c r="Z1" s="115"/>
      <c r="AA1" s="115"/>
      <c r="AB1" s="115"/>
      <c r="AC1" s="115"/>
      <c r="AD1" s="115"/>
      <c r="AE1" s="115"/>
      <c r="AF1" s="115"/>
      <c r="AG1" s="115"/>
      <c r="AH1" s="115"/>
      <c r="AI1" s="115"/>
      <c r="AJ1" s="115"/>
      <c r="AK1" s="115"/>
      <c r="AL1" s="115"/>
      <c r="AM1" s="115"/>
      <c r="AN1" s="115"/>
      <c r="AO1" s="115"/>
      <c r="AP1" s="115"/>
      <c r="AQ1" s="606"/>
      <c r="AR1" s="115"/>
      <c r="AS1" s="115"/>
      <c r="AT1" s="115"/>
      <c r="AU1" s="115"/>
      <c r="AV1" s="115"/>
      <c r="AW1" s="115"/>
      <c r="AX1" s="115"/>
      <c r="AY1" s="115"/>
      <c r="AZ1" s="115"/>
      <c r="BA1" s="115"/>
      <c r="BB1" s="115"/>
      <c r="BC1" s="115"/>
      <c r="BD1" s="115"/>
      <c r="BE1" s="115"/>
      <c r="BF1" s="115"/>
      <c r="BG1" s="115"/>
      <c r="BH1" s="115"/>
      <c r="BI1" s="606"/>
      <c r="BJ1" s="115"/>
    </row>
    <row r="2" spans="1:62" x14ac:dyDescent="0.35">
      <c r="A2" s="2251"/>
      <c r="B2" s="2252"/>
      <c r="C2" s="2253" t="s">
        <v>2363</v>
      </c>
      <c r="D2" s="2254"/>
      <c r="E2" s="2255"/>
      <c r="F2" s="115"/>
      <c r="G2" s="2251"/>
      <c r="H2" s="2252"/>
      <c r="I2" s="2253" t="s">
        <v>2364</v>
      </c>
      <c r="J2" s="2254"/>
      <c r="K2" s="2255"/>
      <c r="L2" s="115"/>
      <c r="M2" s="2251"/>
      <c r="N2" s="2256" t="s">
        <v>2365</v>
      </c>
      <c r="O2" s="115"/>
      <c r="P2" s="2251"/>
      <c r="Q2" s="2256" t="s">
        <v>2802</v>
      </c>
      <c r="R2" s="115"/>
      <c r="S2" s="2251"/>
      <c r="T2" s="2256" t="s">
        <v>4010</v>
      </c>
      <c r="U2" s="115"/>
      <c r="V2" s="2251"/>
      <c r="W2" s="2252"/>
      <c r="X2" s="2265" t="s">
        <v>2366</v>
      </c>
      <c r="Y2" s="2253"/>
      <c r="Z2" s="2266"/>
      <c r="AA2" s="115"/>
      <c r="AB2" s="2251"/>
      <c r="AC2" s="2252"/>
      <c r="AD2" s="2253" t="s">
        <v>2801</v>
      </c>
      <c r="AE2" s="2252"/>
      <c r="AF2" s="2255"/>
      <c r="AG2" s="115"/>
      <c r="AH2" s="2251"/>
      <c r="AI2" s="2256" t="s">
        <v>2803</v>
      </c>
      <c r="AJ2" s="115"/>
      <c r="AK2" s="2251"/>
      <c r="AL2" s="2254"/>
      <c r="AM2" s="2253" t="s">
        <v>2804</v>
      </c>
      <c r="AN2" s="2254"/>
      <c r="AO2" s="2256"/>
      <c r="AP2" s="115"/>
      <c r="AQ2" s="2251"/>
      <c r="AR2" s="2256" t="s">
        <v>2367</v>
      </c>
      <c r="AS2" s="115"/>
      <c r="AT2" s="2251"/>
      <c r="AU2" s="2252"/>
      <c r="AV2" s="2256" t="s">
        <v>4011</v>
      </c>
      <c r="AW2" s="2251"/>
      <c r="AX2" s="2256"/>
      <c r="AY2" s="115"/>
      <c r="AZ2" s="2251"/>
      <c r="BA2" s="2256" t="s">
        <v>4012</v>
      </c>
      <c r="BB2" s="115"/>
      <c r="BC2" s="2251"/>
      <c r="BD2" s="2256" t="s">
        <v>2799</v>
      </c>
      <c r="BE2" s="115"/>
      <c r="BF2" s="2251"/>
      <c r="BG2" s="2256" t="s">
        <v>2800</v>
      </c>
      <c r="BH2" s="115"/>
      <c r="BI2" s="2251"/>
      <c r="BJ2" s="2256" t="s">
        <v>2368</v>
      </c>
    </row>
    <row r="3" spans="1:62" ht="12" thickBot="1" x14ac:dyDescent="0.4">
      <c r="A3" s="1124" t="s">
        <v>668</v>
      </c>
      <c r="B3" s="148"/>
      <c r="C3" s="148"/>
      <c r="D3" s="611" t="s">
        <v>3037</v>
      </c>
      <c r="E3" s="1125" t="s">
        <v>8520</v>
      </c>
      <c r="F3" s="148"/>
      <c r="G3" s="1124" t="s">
        <v>3570</v>
      </c>
      <c r="H3" s="1125" t="s">
        <v>8517</v>
      </c>
      <c r="I3" s="148"/>
      <c r="J3" s="1124" t="s">
        <v>627</v>
      </c>
      <c r="K3" s="1125" t="s">
        <v>8518</v>
      </c>
      <c r="L3" s="148"/>
      <c r="M3" s="1124" t="s">
        <v>4008</v>
      </c>
      <c r="N3" s="1450" t="s">
        <v>8518</v>
      </c>
      <c r="O3" s="148"/>
      <c r="P3" s="1124" t="s">
        <v>2184</v>
      </c>
      <c r="Q3" s="1450" t="s">
        <v>8518</v>
      </c>
      <c r="R3" s="148"/>
      <c r="S3" s="1124" t="s">
        <v>2185</v>
      </c>
      <c r="T3" s="1450" t="s">
        <v>8518</v>
      </c>
      <c r="U3" s="148"/>
      <c r="V3" s="1124" t="s">
        <v>3925</v>
      </c>
      <c r="W3" s="1450" t="s">
        <v>8518</v>
      </c>
      <c r="X3" s="148"/>
      <c r="Y3" s="1124" t="s">
        <v>3925</v>
      </c>
      <c r="Z3" s="1450" t="s">
        <v>8518</v>
      </c>
      <c r="AA3" s="148"/>
      <c r="AB3" s="1124" t="s">
        <v>3927</v>
      </c>
      <c r="AC3" s="1450" t="s">
        <v>8518</v>
      </c>
      <c r="AE3" s="1124" t="s">
        <v>3927</v>
      </c>
      <c r="AF3" s="1450" t="s">
        <v>8518</v>
      </c>
      <c r="AH3" s="1124" t="s">
        <v>2385</v>
      </c>
      <c r="AI3" s="1450" t="s">
        <v>8518</v>
      </c>
      <c r="AK3" s="1124" t="s">
        <v>3564</v>
      </c>
      <c r="AL3" s="1450" t="s">
        <v>8518</v>
      </c>
      <c r="AM3" s="1450"/>
      <c r="AN3" s="1124" t="s">
        <v>3564</v>
      </c>
      <c r="AO3" s="1450" t="s">
        <v>8518</v>
      </c>
      <c r="AQ3" s="1124" t="s">
        <v>3566</v>
      </c>
      <c r="AR3" s="1450" t="s">
        <v>8521</v>
      </c>
      <c r="AT3" s="1124" t="s">
        <v>3567</v>
      </c>
      <c r="AU3" s="1450" t="s">
        <v>8518</v>
      </c>
      <c r="AW3" s="1124" t="s">
        <v>3567</v>
      </c>
      <c r="AX3" s="1450" t="s">
        <v>8518</v>
      </c>
      <c r="AZ3" s="1124" t="s">
        <v>3568</v>
      </c>
      <c r="BA3" s="1450" t="s">
        <v>8518</v>
      </c>
      <c r="BC3" s="1124" t="s">
        <v>2951</v>
      </c>
      <c r="BD3" s="1450" t="s">
        <v>8518</v>
      </c>
      <c r="BF3" s="1124" t="s">
        <v>3569</v>
      </c>
      <c r="BG3" s="1450" t="s">
        <v>8522</v>
      </c>
      <c r="BH3" s="115"/>
      <c r="BI3" s="606" t="s">
        <v>579</v>
      </c>
      <c r="BJ3" s="619" t="s">
        <v>8518</v>
      </c>
    </row>
    <row r="4" spans="1:62" ht="12" thickBot="1" x14ac:dyDescent="0.4">
      <c r="A4" s="2247" t="s">
        <v>990</v>
      </c>
      <c r="B4" s="2257" t="s">
        <v>2892</v>
      </c>
      <c r="C4" s="148"/>
      <c r="D4" s="607" t="s">
        <v>990</v>
      </c>
      <c r="E4" s="2273" t="s">
        <v>1987</v>
      </c>
      <c r="F4" s="148"/>
      <c r="G4" s="607" t="s">
        <v>990</v>
      </c>
      <c r="H4" s="2249" t="s">
        <v>1987</v>
      </c>
      <c r="I4" s="148"/>
      <c r="J4" s="607" t="s">
        <v>990</v>
      </c>
      <c r="K4" s="2249" t="s">
        <v>1987</v>
      </c>
      <c r="L4" s="148"/>
      <c r="M4" s="607" t="s">
        <v>990</v>
      </c>
      <c r="N4" s="2249" t="s">
        <v>1987</v>
      </c>
      <c r="O4" s="148"/>
      <c r="P4" s="607" t="s">
        <v>990</v>
      </c>
      <c r="Q4" s="2249" t="s">
        <v>1987</v>
      </c>
      <c r="R4" s="148"/>
      <c r="S4" s="607" t="s">
        <v>990</v>
      </c>
      <c r="T4" s="2249" t="s">
        <v>1987</v>
      </c>
      <c r="U4" s="148"/>
      <c r="V4" s="607" t="s">
        <v>990</v>
      </c>
      <c r="W4" s="2249" t="s">
        <v>1987</v>
      </c>
      <c r="X4" s="148"/>
      <c r="Y4" s="2267" t="s">
        <v>2982</v>
      </c>
      <c r="Z4" s="2268"/>
      <c r="AA4" s="148"/>
      <c r="AB4" s="607" t="s">
        <v>990</v>
      </c>
      <c r="AC4" s="2249" t="s">
        <v>1987</v>
      </c>
      <c r="AE4" s="607" t="s">
        <v>3057</v>
      </c>
      <c r="AF4" s="2249" t="s">
        <v>1987</v>
      </c>
      <c r="AH4" s="607" t="s">
        <v>990</v>
      </c>
      <c r="AI4" s="2269" t="s">
        <v>1987</v>
      </c>
      <c r="AK4" s="607" t="s">
        <v>990</v>
      </c>
      <c r="AL4" s="2270" t="s">
        <v>1987</v>
      </c>
      <c r="AM4" s="631"/>
      <c r="AN4" s="607" t="s">
        <v>3060</v>
      </c>
      <c r="AO4" s="2273" t="s">
        <v>1987</v>
      </c>
      <c r="AQ4" s="607" t="s">
        <v>990</v>
      </c>
      <c r="AR4" s="2250">
        <v>2</v>
      </c>
      <c r="AT4" s="2271">
        <v>1</v>
      </c>
      <c r="AU4" s="2249" t="s">
        <v>1987</v>
      </c>
      <c r="AW4" s="2271">
        <v>14</v>
      </c>
      <c r="AX4" s="2249" t="s">
        <v>1987</v>
      </c>
      <c r="AZ4" s="607" t="s">
        <v>990</v>
      </c>
      <c r="BA4" s="2249" t="s">
        <v>1987</v>
      </c>
      <c r="BC4" s="607" t="s">
        <v>990</v>
      </c>
      <c r="BD4" s="2249" t="s">
        <v>1987</v>
      </c>
      <c r="BF4" s="607" t="s">
        <v>990</v>
      </c>
      <c r="BG4" s="2269" t="s">
        <v>583</v>
      </c>
      <c r="BI4" s="607" t="s">
        <v>990</v>
      </c>
      <c r="BJ4" s="2249">
        <v>0</v>
      </c>
    </row>
    <row r="5" spans="1:62" x14ac:dyDescent="0.35">
      <c r="A5" s="2247" t="s">
        <v>2371</v>
      </c>
      <c r="B5" s="2257"/>
      <c r="C5" s="148"/>
      <c r="D5" s="2248" t="s">
        <v>2371</v>
      </c>
      <c r="E5" s="2273" t="s">
        <v>1987</v>
      </c>
      <c r="F5" s="148"/>
      <c r="G5" s="2248" t="s">
        <v>2371</v>
      </c>
      <c r="H5" s="2249" t="s">
        <v>1987</v>
      </c>
      <c r="I5" s="148"/>
      <c r="J5" s="2248" t="s">
        <v>2371</v>
      </c>
      <c r="K5" s="2249" t="s">
        <v>1987</v>
      </c>
      <c r="L5" s="148"/>
      <c r="M5" s="2248" t="s">
        <v>2371</v>
      </c>
      <c r="N5" s="2249" t="s">
        <v>1987</v>
      </c>
      <c r="O5" s="148"/>
      <c r="P5" s="2248" t="s">
        <v>2371</v>
      </c>
      <c r="Q5" s="2249" t="s">
        <v>1987</v>
      </c>
      <c r="R5" s="148"/>
      <c r="S5" s="2248" t="s">
        <v>2371</v>
      </c>
      <c r="T5" s="2249" t="s">
        <v>1987</v>
      </c>
      <c r="U5" s="148"/>
      <c r="V5" s="2248" t="s">
        <v>2371</v>
      </c>
      <c r="W5" s="2249" t="s">
        <v>1987</v>
      </c>
      <c r="X5" s="148"/>
      <c r="Y5" s="2267" t="s">
        <v>2985</v>
      </c>
      <c r="Z5" s="2268"/>
      <c r="AA5" s="148"/>
      <c r="AB5" s="2248" t="s">
        <v>2371</v>
      </c>
      <c r="AC5" s="2249" t="s">
        <v>1987</v>
      </c>
      <c r="AE5" s="2248" t="s">
        <v>3060</v>
      </c>
      <c r="AF5" s="2249" t="s">
        <v>1987</v>
      </c>
      <c r="AH5" s="2248" t="s">
        <v>2371</v>
      </c>
      <c r="AI5" s="2269" t="s">
        <v>1987</v>
      </c>
      <c r="AK5" s="2248" t="s">
        <v>2371</v>
      </c>
      <c r="AL5" s="2270" t="s">
        <v>1987</v>
      </c>
      <c r="AM5" s="631"/>
      <c r="AN5" s="2248" t="s">
        <v>2982</v>
      </c>
      <c r="AO5" s="2273" t="s">
        <v>1987</v>
      </c>
      <c r="AQ5" s="2248" t="s">
        <v>2371</v>
      </c>
      <c r="AR5" s="2269" t="s">
        <v>1987</v>
      </c>
      <c r="AT5" s="2272">
        <v>2</v>
      </c>
      <c r="AU5" s="2249" t="s">
        <v>1987</v>
      </c>
      <c r="AW5" s="3037">
        <v>14.1</v>
      </c>
      <c r="AX5" s="3038" t="s">
        <v>1987</v>
      </c>
      <c r="AZ5" s="2248" t="s">
        <v>2371</v>
      </c>
      <c r="BA5" s="2249" t="s">
        <v>1987</v>
      </c>
      <c r="BC5" s="2248" t="s">
        <v>2371</v>
      </c>
      <c r="BD5" s="2249" t="s">
        <v>1987</v>
      </c>
      <c r="BF5" s="2248" t="s">
        <v>2371</v>
      </c>
      <c r="BG5" s="2269" t="s">
        <v>1237</v>
      </c>
      <c r="BI5" s="2248" t="s">
        <v>2371</v>
      </c>
      <c r="BJ5" s="2249" t="s">
        <v>1987</v>
      </c>
    </row>
    <row r="6" spans="1:62" ht="12" thickBot="1" x14ac:dyDescent="0.4">
      <c r="A6" s="2247" t="s">
        <v>2374</v>
      </c>
      <c r="B6" s="2258"/>
      <c r="C6" s="148"/>
      <c r="D6" s="2248" t="s">
        <v>2374</v>
      </c>
      <c r="E6" s="2273" t="s">
        <v>1987</v>
      </c>
      <c r="F6" s="148"/>
      <c r="G6" s="610" t="s">
        <v>2374</v>
      </c>
      <c r="H6" s="2249" t="s">
        <v>1987</v>
      </c>
      <c r="I6" s="148"/>
      <c r="J6" s="2248" t="s">
        <v>2374</v>
      </c>
      <c r="K6" s="2249" t="s">
        <v>1987</v>
      </c>
      <c r="L6" s="148"/>
      <c r="M6" s="2248" t="s">
        <v>2374</v>
      </c>
      <c r="N6" s="2249" t="s">
        <v>1987</v>
      </c>
      <c r="O6" s="148"/>
      <c r="P6" s="2248" t="s">
        <v>2374</v>
      </c>
      <c r="Q6" s="2249" t="s">
        <v>1987</v>
      </c>
      <c r="R6" s="148"/>
      <c r="S6" s="2248" t="s">
        <v>2374</v>
      </c>
      <c r="T6" s="2249" t="s">
        <v>1987</v>
      </c>
      <c r="U6" s="148"/>
      <c r="V6" s="2248" t="s">
        <v>2374</v>
      </c>
      <c r="W6" s="2249" t="s">
        <v>1987</v>
      </c>
      <c r="X6" s="148"/>
      <c r="Y6" s="2248" t="s">
        <v>2988</v>
      </c>
      <c r="Z6" s="2249" t="s">
        <v>1987</v>
      </c>
      <c r="AA6" s="148"/>
      <c r="AB6" s="2248" t="s">
        <v>2374</v>
      </c>
      <c r="AC6" s="2249" t="s">
        <v>1987</v>
      </c>
      <c r="AE6" s="2248" t="s">
        <v>2982</v>
      </c>
      <c r="AF6" s="2249" t="s">
        <v>1987</v>
      </c>
      <c r="AH6" s="2248" t="s">
        <v>2374</v>
      </c>
      <c r="AI6" s="2273" t="s">
        <v>1987</v>
      </c>
      <c r="AK6" s="2248" t="s">
        <v>2374</v>
      </c>
      <c r="AL6" s="2283" t="s">
        <v>1987</v>
      </c>
      <c r="AM6" s="632"/>
      <c r="AN6" s="2248" t="s">
        <v>2985</v>
      </c>
      <c r="AO6" s="2273" t="s">
        <v>1987</v>
      </c>
      <c r="AQ6" s="2248" t="s">
        <v>2374</v>
      </c>
      <c r="AR6" s="2269" t="s">
        <v>1987</v>
      </c>
      <c r="AT6" s="2272" t="s">
        <v>4400</v>
      </c>
      <c r="AU6" s="2249" t="s">
        <v>1987</v>
      </c>
      <c r="AW6" s="3037">
        <v>14.2</v>
      </c>
      <c r="AX6" s="3038" t="s">
        <v>1987</v>
      </c>
      <c r="AZ6" s="2248" t="s">
        <v>2374</v>
      </c>
      <c r="BA6" s="2249" t="s">
        <v>1987</v>
      </c>
      <c r="BC6" s="2248" t="s">
        <v>2374</v>
      </c>
      <c r="BD6" s="2250" t="s">
        <v>1987</v>
      </c>
      <c r="BF6" s="2248" t="s">
        <v>2374</v>
      </c>
      <c r="BG6" s="2269" t="s">
        <v>1237</v>
      </c>
      <c r="BI6" s="2248" t="s">
        <v>2374</v>
      </c>
      <c r="BJ6" s="2273" t="s">
        <v>1987</v>
      </c>
    </row>
    <row r="7" spans="1:62" ht="12" thickBot="1" x14ac:dyDescent="0.4">
      <c r="A7" s="2247" t="s">
        <v>2377</v>
      </c>
      <c r="B7" s="2258"/>
      <c r="C7" s="148"/>
      <c r="D7" s="610" t="s">
        <v>2377</v>
      </c>
      <c r="E7" s="2273" t="s">
        <v>1987</v>
      </c>
      <c r="F7" s="148"/>
      <c r="G7" s="607" t="s">
        <v>2377</v>
      </c>
      <c r="H7" s="2249" t="s">
        <v>1987</v>
      </c>
      <c r="I7" s="148"/>
      <c r="J7" s="2248" t="s">
        <v>2377</v>
      </c>
      <c r="K7" s="2249" t="s">
        <v>1987</v>
      </c>
      <c r="L7" s="148"/>
      <c r="M7" s="2248" t="s">
        <v>2377</v>
      </c>
      <c r="N7" s="2249" t="s">
        <v>1987</v>
      </c>
      <c r="O7" s="148"/>
      <c r="P7" s="2248" t="s">
        <v>2377</v>
      </c>
      <c r="Q7" s="2249" t="s">
        <v>1987</v>
      </c>
      <c r="R7" s="148"/>
      <c r="S7" s="2248" t="s">
        <v>2377</v>
      </c>
      <c r="T7" s="2249" t="s">
        <v>1987</v>
      </c>
      <c r="U7" s="148"/>
      <c r="V7" s="2248" t="s">
        <v>2377</v>
      </c>
      <c r="W7" s="2249" t="s">
        <v>1987</v>
      </c>
      <c r="X7" s="148"/>
      <c r="Y7" s="2248" t="s">
        <v>2401</v>
      </c>
      <c r="Z7" s="2249" t="s">
        <v>1987</v>
      </c>
      <c r="AA7" s="148"/>
      <c r="AB7" s="2248" t="s">
        <v>2377</v>
      </c>
      <c r="AC7" s="2249" t="s">
        <v>1987</v>
      </c>
      <c r="AE7" s="2248" t="s">
        <v>2985</v>
      </c>
      <c r="AF7" s="2249" t="s">
        <v>1987</v>
      </c>
      <c r="AH7" s="2248" t="s">
        <v>2377</v>
      </c>
      <c r="AI7" s="2273" t="s">
        <v>1987</v>
      </c>
      <c r="AK7" s="2248" t="s">
        <v>2377</v>
      </c>
      <c r="AL7" s="2283" t="s">
        <v>1987</v>
      </c>
      <c r="AM7" s="632"/>
      <c r="AN7" s="2248" t="s">
        <v>2988</v>
      </c>
      <c r="AO7" s="2273" t="s">
        <v>1987</v>
      </c>
      <c r="AQ7" s="2248" t="s">
        <v>2377</v>
      </c>
      <c r="AR7" s="2269" t="s">
        <v>1987</v>
      </c>
      <c r="AT7" s="2272" t="s">
        <v>4401</v>
      </c>
      <c r="AU7" s="2249" t="s">
        <v>1987</v>
      </c>
      <c r="AW7" s="2272">
        <v>15</v>
      </c>
      <c r="AX7" s="2250" t="s">
        <v>1987</v>
      </c>
      <c r="AZ7" s="2248" t="s">
        <v>2377</v>
      </c>
      <c r="BA7" s="2249" t="s">
        <v>1987</v>
      </c>
      <c r="BC7" s="2248" t="s">
        <v>2377</v>
      </c>
      <c r="BD7" s="2249" t="s">
        <v>1987</v>
      </c>
      <c r="BF7" s="2248" t="s">
        <v>6645</v>
      </c>
      <c r="BG7" s="2269" t="s">
        <v>1237</v>
      </c>
      <c r="BI7" s="2248" t="s">
        <v>2377</v>
      </c>
      <c r="BJ7" s="2249">
        <v>0</v>
      </c>
    </row>
    <row r="8" spans="1:62" ht="12" thickBot="1" x14ac:dyDescent="0.4">
      <c r="A8" s="2691" t="s">
        <v>6368</v>
      </c>
      <c r="B8" s="2258">
        <v>1</v>
      </c>
      <c r="C8" s="148"/>
      <c r="D8" s="607" t="s">
        <v>2380</v>
      </c>
      <c r="E8" s="2273">
        <v>3450</v>
      </c>
      <c r="F8" s="148"/>
      <c r="G8" s="2248" t="s">
        <v>2380</v>
      </c>
      <c r="H8" s="2250" t="s">
        <v>1987</v>
      </c>
      <c r="I8" s="148"/>
      <c r="J8" s="2248" t="s">
        <v>2380</v>
      </c>
      <c r="K8" s="2249" t="s">
        <v>1987</v>
      </c>
      <c r="L8" s="148"/>
      <c r="M8" s="2248" t="s">
        <v>2380</v>
      </c>
      <c r="N8" s="2249" t="s">
        <v>1987</v>
      </c>
      <c r="O8" s="148"/>
      <c r="P8" s="2248" t="s">
        <v>2380</v>
      </c>
      <c r="Q8" s="2249" t="s">
        <v>1987</v>
      </c>
      <c r="R8" s="148"/>
      <c r="S8" s="2248" t="s">
        <v>2380</v>
      </c>
      <c r="T8" s="2249" t="s">
        <v>1987</v>
      </c>
      <c r="U8" s="148"/>
      <c r="V8" s="2248" t="s">
        <v>2380</v>
      </c>
      <c r="W8" s="2249" t="s">
        <v>1987</v>
      </c>
      <c r="X8" s="148"/>
      <c r="Y8" s="2248" t="s">
        <v>1873</v>
      </c>
      <c r="Z8" s="2249" t="s">
        <v>1987</v>
      </c>
      <c r="AA8" s="148"/>
      <c r="AB8" s="2248" t="s">
        <v>2380</v>
      </c>
      <c r="AC8" s="2249" t="s">
        <v>1987</v>
      </c>
      <c r="AE8" s="2248" t="s">
        <v>2988</v>
      </c>
      <c r="AF8" s="2249" t="s">
        <v>1987</v>
      </c>
      <c r="AH8" s="2248" t="s">
        <v>2380</v>
      </c>
      <c r="AI8" s="2273" t="s">
        <v>1987</v>
      </c>
      <c r="AK8" s="2248" t="s">
        <v>2380</v>
      </c>
      <c r="AL8" s="2270" t="s">
        <v>1987</v>
      </c>
      <c r="AM8" s="632"/>
      <c r="AN8" s="2248" t="s">
        <v>2401</v>
      </c>
      <c r="AO8" s="2273" t="s">
        <v>1987</v>
      </c>
      <c r="AQ8" s="2248" t="s">
        <v>2380</v>
      </c>
      <c r="AR8" s="2273" t="s">
        <v>1987</v>
      </c>
      <c r="AT8" s="2272" t="s">
        <v>4402</v>
      </c>
      <c r="AU8" s="2249" t="s">
        <v>1987</v>
      </c>
      <c r="AW8" s="2272">
        <v>16</v>
      </c>
      <c r="AX8" s="2249" t="s">
        <v>1987</v>
      </c>
      <c r="AZ8" s="2248" t="s">
        <v>2380</v>
      </c>
      <c r="BA8" s="2249" t="s">
        <v>1987</v>
      </c>
      <c r="BC8" s="2248" t="s">
        <v>2380</v>
      </c>
      <c r="BD8" s="2249" t="s">
        <v>1987</v>
      </c>
      <c r="BF8" s="2248" t="s">
        <v>2377</v>
      </c>
      <c r="BG8" s="2269" t="s">
        <v>583</v>
      </c>
      <c r="BI8" s="2248" t="s">
        <v>4929</v>
      </c>
      <c r="BJ8" s="2249">
        <v>0</v>
      </c>
    </row>
    <row r="9" spans="1:62" x14ac:dyDescent="0.35">
      <c r="C9" s="148"/>
      <c r="D9" s="2248" t="s">
        <v>2383</v>
      </c>
      <c r="E9" s="2273">
        <v>3000</v>
      </c>
      <c r="F9" s="148"/>
      <c r="G9" s="2248" t="s">
        <v>2383</v>
      </c>
      <c r="H9" s="2249" t="s">
        <v>1987</v>
      </c>
      <c r="I9" s="148"/>
      <c r="J9" s="2248" t="s">
        <v>2383</v>
      </c>
      <c r="K9" s="2249" t="s">
        <v>1987</v>
      </c>
      <c r="L9" s="148"/>
      <c r="M9" s="2248" t="s">
        <v>2383</v>
      </c>
      <c r="N9" s="2249" t="s">
        <v>1987</v>
      </c>
      <c r="O9" s="148"/>
      <c r="P9" s="2248" t="s">
        <v>2383</v>
      </c>
      <c r="Q9" s="2249" t="s">
        <v>1987</v>
      </c>
      <c r="R9" s="148"/>
      <c r="S9" s="2248" t="s">
        <v>2383</v>
      </c>
      <c r="T9" s="2249" t="s">
        <v>1987</v>
      </c>
      <c r="U9" s="148"/>
      <c r="V9" s="2248" t="s">
        <v>2383</v>
      </c>
      <c r="W9" s="2249" t="s">
        <v>1987</v>
      </c>
      <c r="X9" s="148"/>
      <c r="Y9" s="2267" t="s">
        <v>1875</v>
      </c>
      <c r="Z9" s="2268"/>
      <c r="AA9" s="148"/>
      <c r="AB9" s="2248" t="s">
        <v>2383</v>
      </c>
      <c r="AC9" s="2249" t="s">
        <v>1987</v>
      </c>
      <c r="AE9" s="2248" t="s">
        <v>2401</v>
      </c>
      <c r="AF9" s="2249" t="s">
        <v>1987</v>
      </c>
      <c r="AH9" s="2248" t="s">
        <v>2383</v>
      </c>
      <c r="AI9" s="2273" t="s">
        <v>1987</v>
      </c>
      <c r="AK9" s="2248" t="s">
        <v>2383</v>
      </c>
      <c r="AL9" s="2283" t="s">
        <v>1987</v>
      </c>
      <c r="AN9" s="2248" t="s">
        <v>1873</v>
      </c>
      <c r="AO9" s="2273" t="s">
        <v>1987</v>
      </c>
      <c r="AQ9" s="3149" t="s">
        <v>8412</v>
      </c>
      <c r="AR9" s="2748" t="s">
        <v>1987</v>
      </c>
      <c r="AT9" s="2272" t="s">
        <v>4403</v>
      </c>
      <c r="AU9" s="2249" t="s">
        <v>1987</v>
      </c>
      <c r="AW9" s="2272">
        <v>17</v>
      </c>
      <c r="AX9" s="2249" t="s">
        <v>1987</v>
      </c>
      <c r="AZ9" s="2248" t="s">
        <v>2383</v>
      </c>
      <c r="BA9" s="2249" t="s">
        <v>1987</v>
      </c>
      <c r="BC9" s="2248" t="s">
        <v>2383</v>
      </c>
      <c r="BD9" s="2249" t="s">
        <v>1987</v>
      </c>
      <c r="BF9" s="2248" t="s">
        <v>2380</v>
      </c>
      <c r="BG9" s="2269" t="s">
        <v>1237</v>
      </c>
      <c r="BI9" s="2248" t="s">
        <v>2380</v>
      </c>
      <c r="BJ9" s="2249" t="s">
        <v>1987</v>
      </c>
    </row>
    <row r="10" spans="1:62" ht="12" thickBot="1" x14ac:dyDescent="0.4">
      <c r="A10" s="609" t="s">
        <v>3033</v>
      </c>
      <c r="B10" s="1125" t="s">
        <v>8523</v>
      </c>
      <c r="C10" s="148"/>
      <c r="D10" s="2248" t="s">
        <v>4221</v>
      </c>
      <c r="E10" s="2273" t="s">
        <v>1987</v>
      </c>
      <c r="F10" s="148"/>
      <c r="G10" s="2248" t="s">
        <v>4221</v>
      </c>
      <c r="H10" s="2250" t="s">
        <v>1987</v>
      </c>
      <c r="I10" s="148"/>
      <c r="J10" s="2248" t="s">
        <v>4221</v>
      </c>
      <c r="K10" s="2249" t="s">
        <v>1987</v>
      </c>
      <c r="L10" s="148"/>
      <c r="M10" s="2248" t="s">
        <v>1791</v>
      </c>
      <c r="N10" s="2249" t="s">
        <v>1987</v>
      </c>
      <c r="O10" s="148"/>
      <c r="P10" s="2248" t="s">
        <v>4221</v>
      </c>
      <c r="Q10" s="2249" t="s">
        <v>1987</v>
      </c>
      <c r="R10" s="148"/>
      <c r="S10" s="2248" t="s">
        <v>4221</v>
      </c>
      <c r="T10" s="2249" t="s">
        <v>1987</v>
      </c>
      <c r="U10" s="148"/>
      <c r="V10" s="2248" t="s">
        <v>4221</v>
      </c>
      <c r="W10" s="2249" t="s">
        <v>1987</v>
      </c>
      <c r="X10" s="148"/>
      <c r="Y10" s="2248" t="s">
        <v>1878</v>
      </c>
      <c r="Z10" s="2249" t="s">
        <v>1987</v>
      </c>
      <c r="AA10" s="148"/>
      <c r="AB10" s="3433" t="s">
        <v>4221</v>
      </c>
      <c r="AC10" s="3434"/>
      <c r="AE10" s="2248" t="s">
        <v>1873</v>
      </c>
      <c r="AF10" s="2249" t="s">
        <v>1987</v>
      </c>
      <c r="AH10" s="2248" t="s">
        <v>4221</v>
      </c>
      <c r="AI10" s="2273" t="s">
        <v>1987</v>
      </c>
      <c r="AK10" s="2248" t="s">
        <v>4221</v>
      </c>
      <c r="AL10" s="2283" t="s">
        <v>1987</v>
      </c>
      <c r="AN10" s="2248" t="s">
        <v>1875</v>
      </c>
      <c r="AO10" s="2273" t="s">
        <v>1987</v>
      </c>
      <c r="AQ10" s="3149" t="s">
        <v>8413</v>
      </c>
      <c r="AR10" s="2748" t="s">
        <v>1987</v>
      </c>
      <c r="AT10" s="2272" t="s">
        <v>4404</v>
      </c>
      <c r="AU10" s="2249" t="s">
        <v>1987</v>
      </c>
      <c r="AW10" s="2272">
        <v>18</v>
      </c>
      <c r="AX10" s="2249" t="s">
        <v>1987</v>
      </c>
      <c r="AZ10" s="2248" t="s">
        <v>4221</v>
      </c>
      <c r="BA10" s="2249" t="s">
        <v>1987</v>
      </c>
      <c r="BC10" s="2248" t="s">
        <v>4221</v>
      </c>
      <c r="BD10" s="2249" t="s">
        <v>1987</v>
      </c>
      <c r="BF10" s="2248" t="s">
        <v>2383</v>
      </c>
      <c r="BG10" s="2284" t="s">
        <v>1987</v>
      </c>
      <c r="BI10" s="2248" t="s">
        <v>2383</v>
      </c>
      <c r="BJ10" s="2249" t="s">
        <v>1987</v>
      </c>
    </row>
    <row r="11" spans="1:62" x14ac:dyDescent="0.35">
      <c r="A11" s="607" t="s">
        <v>990</v>
      </c>
      <c r="B11" s="2249">
        <v>321</v>
      </c>
      <c r="C11" s="148"/>
      <c r="D11" s="2248" t="s">
        <v>4224</v>
      </c>
      <c r="E11" s="2273" t="s">
        <v>1987</v>
      </c>
      <c r="F11" s="148"/>
      <c r="G11" s="2248" t="s">
        <v>4224</v>
      </c>
      <c r="H11" s="2249" t="s">
        <v>1987</v>
      </c>
      <c r="I11" s="148"/>
      <c r="J11" s="2248" t="s">
        <v>4224</v>
      </c>
      <c r="K11" s="2249" t="s">
        <v>1987</v>
      </c>
      <c r="L11" s="148"/>
      <c r="M11" s="2248" t="s">
        <v>4221</v>
      </c>
      <c r="N11" s="2249" t="s">
        <v>1987</v>
      </c>
      <c r="O11" s="148"/>
      <c r="P11" s="2248" t="s">
        <v>4224</v>
      </c>
      <c r="Q11" s="2249" t="s">
        <v>1987</v>
      </c>
      <c r="R11" s="148"/>
      <c r="S11" s="2248" t="s">
        <v>4224</v>
      </c>
      <c r="T11" s="2249" t="s">
        <v>1987</v>
      </c>
      <c r="U11" s="148"/>
      <c r="V11" s="2248" t="s">
        <v>4224</v>
      </c>
      <c r="W11" s="2249" t="s">
        <v>1987</v>
      </c>
      <c r="X11" s="148"/>
      <c r="Y11" s="2248" t="s">
        <v>42</v>
      </c>
      <c r="Z11" s="2249" t="s">
        <v>1987</v>
      </c>
      <c r="AA11" s="148"/>
      <c r="AB11" s="2248" t="s">
        <v>4224</v>
      </c>
      <c r="AC11" s="2249" t="s">
        <v>1987</v>
      </c>
      <c r="AE11" s="2248" t="s">
        <v>1875</v>
      </c>
      <c r="AF11" s="2249" t="s">
        <v>1987</v>
      </c>
      <c r="AH11" s="2248" t="s">
        <v>4224</v>
      </c>
      <c r="AI11" s="2273" t="s">
        <v>1987</v>
      </c>
      <c r="AK11" s="2248" t="s">
        <v>4224</v>
      </c>
      <c r="AL11" s="2285" t="s">
        <v>1987</v>
      </c>
      <c r="AN11" s="2248" t="s">
        <v>1878</v>
      </c>
      <c r="AO11" s="2273" t="s">
        <v>1987</v>
      </c>
      <c r="AQ11" s="2248" t="s">
        <v>2383</v>
      </c>
      <c r="AR11" s="2273" t="s">
        <v>1987</v>
      </c>
      <c r="AT11" s="2272" t="s">
        <v>4405</v>
      </c>
      <c r="AU11" s="2249" t="s">
        <v>1987</v>
      </c>
      <c r="AW11" s="2272">
        <v>19</v>
      </c>
      <c r="AX11" s="2249" t="s">
        <v>1987</v>
      </c>
      <c r="AZ11" s="2248" t="s">
        <v>4224</v>
      </c>
      <c r="BA11" s="2249" t="s">
        <v>1987</v>
      </c>
      <c r="BC11" s="2248" t="s">
        <v>4224</v>
      </c>
      <c r="BD11" s="2269" t="s">
        <v>1987</v>
      </c>
      <c r="BF11" s="2248" t="s">
        <v>4221</v>
      </c>
      <c r="BG11" s="2269" t="s">
        <v>1237</v>
      </c>
      <c r="BI11" s="2248" t="s">
        <v>4221</v>
      </c>
      <c r="BJ11" s="2249" t="s">
        <v>1987</v>
      </c>
    </row>
    <row r="12" spans="1:62" x14ac:dyDescent="0.35">
      <c r="A12" s="2248" t="s">
        <v>2371</v>
      </c>
      <c r="B12" s="2249">
        <v>1625</v>
      </c>
      <c r="C12" s="148"/>
      <c r="D12" s="2248" t="s">
        <v>3056</v>
      </c>
      <c r="E12" s="2273" t="s">
        <v>1987</v>
      </c>
      <c r="F12" s="148"/>
      <c r="G12" s="2248" t="s">
        <v>3056</v>
      </c>
      <c r="H12" s="2250" t="s">
        <v>1987</v>
      </c>
      <c r="I12" s="148"/>
      <c r="J12" s="2248" t="s">
        <v>3056</v>
      </c>
      <c r="K12" s="2249" t="s">
        <v>1987</v>
      </c>
      <c r="L12" s="148"/>
      <c r="M12" s="2248" t="s">
        <v>4224</v>
      </c>
      <c r="N12" s="2249" t="s">
        <v>1987</v>
      </c>
      <c r="O12" s="148"/>
      <c r="P12" s="2248" t="s">
        <v>3056</v>
      </c>
      <c r="Q12" s="2249" t="s">
        <v>1987</v>
      </c>
      <c r="R12" s="148"/>
      <c r="S12" s="2248" t="s">
        <v>3056</v>
      </c>
      <c r="T12" s="2249" t="s">
        <v>1987</v>
      </c>
      <c r="U12" s="148"/>
      <c r="V12" s="2248" t="s">
        <v>3056</v>
      </c>
      <c r="W12" s="2249" t="s">
        <v>1987</v>
      </c>
      <c r="X12" s="148"/>
      <c r="Y12" s="2248" t="s">
        <v>44</v>
      </c>
      <c r="Z12" s="2249" t="s">
        <v>1987</v>
      </c>
      <c r="AA12" s="148"/>
      <c r="AB12" s="2248" t="s">
        <v>3056</v>
      </c>
      <c r="AC12" s="2249" t="s">
        <v>1987</v>
      </c>
      <c r="AE12" s="2248" t="s">
        <v>1878</v>
      </c>
      <c r="AF12" s="2249" t="s">
        <v>1987</v>
      </c>
      <c r="AH12" s="2248" t="s">
        <v>3056</v>
      </c>
      <c r="AI12" s="2273" t="s">
        <v>1987</v>
      </c>
      <c r="AK12" s="2248" t="s">
        <v>3056</v>
      </c>
      <c r="AL12" s="2285" t="s">
        <v>1987</v>
      </c>
      <c r="AN12" s="2248" t="s">
        <v>42</v>
      </c>
      <c r="AO12" s="2273" t="s">
        <v>1987</v>
      </c>
      <c r="AQ12" s="2248" t="s">
        <v>4221</v>
      </c>
      <c r="AR12" s="2273" t="s">
        <v>1987</v>
      </c>
      <c r="AT12" s="2272" t="s">
        <v>4406</v>
      </c>
      <c r="AU12" s="2249" t="s">
        <v>1987</v>
      </c>
      <c r="AW12" s="2272">
        <v>20</v>
      </c>
      <c r="AX12" s="2249" t="s">
        <v>1987</v>
      </c>
      <c r="AZ12" s="2248" t="s">
        <v>3056</v>
      </c>
      <c r="BA12" s="2249" t="s">
        <v>1987</v>
      </c>
      <c r="BC12" s="2248" t="s">
        <v>3056</v>
      </c>
      <c r="BD12" s="2249" t="s">
        <v>1987</v>
      </c>
      <c r="BF12" s="2248" t="s">
        <v>4224</v>
      </c>
      <c r="BG12" s="2269" t="s">
        <v>1237</v>
      </c>
      <c r="BI12" s="2248" t="s">
        <v>4224</v>
      </c>
      <c r="BJ12" s="2249" t="s">
        <v>1987</v>
      </c>
    </row>
    <row r="13" spans="1:62" ht="12" thickBot="1" x14ac:dyDescent="0.4">
      <c r="A13" s="2248" t="s">
        <v>2374</v>
      </c>
      <c r="B13" s="2249" t="s">
        <v>1987</v>
      </c>
      <c r="C13" s="148"/>
      <c r="D13" s="2248" t="s">
        <v>3059</v>
      </c>
      <c r="E13" s="2273" t="s">
        <v>1987</v>
      </c>
      <c r="F13" s="148"/>
      <c r="G13" s="2248" t="s">
        <v>3059</v>
      </c>
      <c r="H13" s="2249" t="s">
        <v>1987</v>
      </c>
      <c r="I13" s="148"/>
      <c r="J13" s="2248" t="s">
        <v>3059</v>
      </c>
      <c r="K13" s="2249" t="s">
        <v>1987</v>
      </c>
      <c r="L13" s="148"/>
      <c r="M13" s="2248" t="s">
        <v>3056</v>
      </c>
      <c r="N13" s="2249" t="s">
        <v>1987</v>
      </c>
      <c r="O13" s="148"/>
      <c r="P13" s="2248" t="s">
        <v>3059</v>
      </c>
      <c r="Q13" s="2249" t="s">
        <v>1987</v>
      </c>
      <c r="R13" s="148"/>
      <c r="S13" s="2248" t="s">
        <v>3059</v>
      </c>
      <c r="T13" s="2249" t="s">
        <v>1987</v>
      </c>
      <c r="U13" s="148"/>
      <c r="V13" s="2248" t="s">
        <v>3059</v>
      </c>
      <c r="W13" s="2249" t="s">
        <v>1987</v>
      </c>
      <c r="X13" s="148"/>
      <c r="Y13" s="2248" t="s">
        <v>46</v>
      </c>
      <c r="Z13" s="2249" t="s">
        <v>1987</v>
      </c>
      <c r="AA13" s="148"/>
      <c r="AB13" s="3433" t="s">
        <v>3059</v>
      </c>
      <c r="AC13" s="3434"/>
      <c r="AE13" s="2248" t="s">
        <v>42</v>
      </c>
      <c r="AF13" s="2249" t="s">
        <v>1987</v>
      </c>
      <c r="AH13" s="2248" t="s">
        <v>3059</v>
      </c>
      <c r="AI13" s="2273" t="s">
        <v>1987</v>
      </c>
      <c r="AK13" s="2248" t="s">
        <v>3059</v>
      </c>
      <c r="AL13" s="2285" t="s">
        <v>1987</v>
      </c>
      <c r="AN13" s="2248" t="s">
        <v>44</v>
      </c>
      <c r="AO13" s="2273" t="s">
        <v>1987</v>
      </c>
      <c r="AQ13" s="2248" t="s">
        <v>4224</v>
      </c>
      <c r="AR13" s="2273" t="s">
        <v>1987</v>
      </c>
      <c r="AT13" s="2272" t="s">
        <v>4407</v>
      </c>
      <c r="AU13" s="2249" t="s">
        <v>1987</v>
      </c>
      <c r="AW13" s="2272">
        <v>21</v>
      </c>
      <c r="AX13" s="2249" t="s">
        <v>1987</v>
      </c>
      <c r="AZ13" s="2248" t="s">
        <v>3059</v>
      </c>
      <c r="BA13" s="2249" t="s">
        <v>1987</v>
      </c>
      <c r="BC13" s="2248" t="s">
        <v>3059</v>
      </c>
      <c r="BD13" s="2249" t="s">
        <v>1987</v>
      </c>
      <c r="BF13" s="2248" t="s">
        <v>3056</v>
      </c>
      <c r="BG13" s="2269" t="s">
        <v>1237</v>
      </c>
      <c r="BI13" s="2248" t="s">
        <v>3056</v>
      </c>
      <c r="BJ13" s="2249" t="s">
        <v>1987</v>
      </c>
    </row>
    <row r="14" spans="1:62" ht="12" thickBot="1" x14ac:dyDescent="0.4">
      <c r="A14" s="607" t="s">
        <v>2377</v>
      </c>
      <c r="B14" s="2249">
        <v>128</v>
      </c>
      <c r="C14" s="148"/>
      <c r="D14" s="2248" t="s">
        <v>2981</v>
      </c>
      <c r="E14" s="2273" t="s">
        <v>1987</v>
      </c>
      <c r="F14" s="148"/>
      <c r="G14" s="610" t="s">
        <v>2981</v>
      </c>
      <c r="H14" s="2249" t="s">
        <v>1987</v>
      </c>
      <c r="I14" s="148"/>
      <c r="J14" s="610" t="s">
        <v>2981</v>
      </c>
      <c r="K14" s="2249" t="s">
        <v>1987</v>
      </c>
      <c r="L14" s="148"/>
      <c r="M14" s="2248" t="s">
        <v>3059</v>
      </c>
      <c r="N14" s="2249" t="s">
        <v>1987</v>
      </c>
      <c r="O14" s="148"/>
      <c r="P14" s="2248" t="s">
        <v>2981</v>
      </c>
      <c r="Q14" s="2249" t="s">
        <v>1987</v>
      </c>
      <c r="R14" s="148"/>
      <c r="S14" s="3149" t="s">
        <v>8452</v>
      </c>
      <c r="T14" s="3038" t="s">
        <v>1987</v>
      </c>
      <c r="U14" s="148"/>
      <c r="V14" s="2248" t="s">
        <v>2981</v>
      </c>
      <c r="W14" s="2249" t="s">
        <v>1987</v>
      </c>
      <c r="X14" s="148"/>
      <c r="Y14" s="2248" t="s">
        <v>48</v>
      </c>
      <c r="Z14" s="2249" t="s">
        <v>1987</v>
      </c>
      <c r="AA14" s="148"/>
      <c r="AB14" s="2248" t="s">
        <v>2981</v>
      </c>
      <c r="AC14" s="2249" t="s">
        <v>1987</v>
      </c>
      <c r="AE14" s="2248" t="s">
        <v>44</v>
      </c>
      <c r="AF14" s="2249" t="s">
        <v>1987</v>
      </c>
      <c r="AH14" s="2248" t="s">
        <v>2981</v>
      </c>
      <c r="AI14" s="2273" t="s">
        <v>1987</v>
      </c>
      <c r="AK14" s="2248" t="s">
        <v>2981</v>
      </c>
      <c r="AL14" s="2285" t="s">
        <v>1987</v>
      </c>
      <c r="AN14" s="2248" t="s">
        <v>46</v>
      </c>
      <c r="AO14" s="2273" t="s">
        <v>1987</v>
      </c>
      <c r="AQ14" s="2248" t="s">
        <v>3056</v>
      </c>
      <c r="AR14" s="2273" t="s">
        <v>1987</v>
      </c>
      <c r="AT14" s="2272" t="s">
        <v>4408</v>
      </c>
      <c r="AU14" s="2249" t="s">
        <v>1987</v>
      </c>
      <c r="AW14" s="2272">
        <v>22</v>
      </c>
      <c r="AX14" s="2249" t="s">
        <v>1987</v>
      </c>
      <c r="AZ14" s="2248" t="s">
        <v>2981</v>
      </c>
      <c r="BA14" s="2249" t="s">
        <v>1987</v>
      </c>
      <c r="BC14" s="2248" t="s">
        <v>2981</v>
      </c>
      <c r="BD14" s="2249" t="s">
        <v>1987</v>
      </c>
      <c r="BF14" s="2248" t="s">
        <v>3059</v>
      </c>
      <c r="BG14" s="2250">
        <v>84</v>
      </c>
      <c r="BI14" s="2248" t="s">
        <v>3059</v>
      </c>
      <c r="BJ14" s="2249" t="s">
        <v>1987</v>
      </c>
    </row>
    <row r="15" spans="1:62" ht="12" thickBot="1" x14ac:dyDescent="0.4">
      <c r="A15" s="2248" t="s">
        <v>2380</v>
      </c>
      <c r="B15" s="2249" t="s">
        <v>1987</v>
      </c>
      <c r="C15" s="148"/>
      <c r="D15" s="610" t="s">
        <v>2984</v>
      </c>
      <c r="E15" s="2273" t="s">
        <v>1987</v>
      </c>
      <c r="F15" s="148"/>
      <c r="G15" s="607" t="s">
        <v>2984</v>
      </c>
      <c r="H15" s="2249" t="s">
        <v>1987</v>
      </c>
      <c r="I15" s="148"/>
      <c r="J15" s="148"/>
      <c r="K15" s="148"/>
      <c r="L15" s="148"/>
      <c r="M15" s="2248" t="s">
        <v>2981</v>
      </c>
      <c r="N15" s="2249" t="s">
        <v>1987</v>
      </c>
      <c r="O15" s="148"/>
      <c r="P15" s="2248" t="s">
        <v>2984</v>
      </c>
      <c r="Q15" s="2249" t="s">
        <v>1987</v>
      </c>
      <c r="R15" s="148"/>
      <c r="S15" s="2248" t="s">
        <v>2981</v>
      </c>
      <c r="T15" s="2249" t="s">
        <v>1987</v>
      </c>
      <c r="U15" s="148"/>
      <c r="V15" s="2248" t="s">
        <v>2984</v>
      </c>
      <c r="W15" s="2249" t="s">
        <v>1987</v>
      </c>
      <c r="X15" s="148"/>
      <c r="Y15" s="2248" t="s">
        <v>50</v>
      </c>
      <c r="Z15" s="2249" t="s">
        <v>1987</v>
      </c>
      <c r="AA15" s="148"/>
      <c r="AB15" s="2248" t="s">
        <v>2984</v>
      </c>
      <c r="AC15" s="2249" t="s">
        <v>1987</v>
      </c>
      <c r="AE15" s="2248" t="s">
        <v>46</v>
      </c>
      <c r="AF15" s="2249" t="s">
        <v>1987</v>
      </c>
      <c r="AH15" s="2248" t="s">
        <v>2984</v>
      </c>
      <c r="AI15" s="2273" t="s">
        <v>1987</v>
      </c>
      <c r="AK15" s="2248" t="s">
        <v>2984</v>
      </c>
      <c r="AL15" s="2285" t="s">
        <v>1987</v>
      </c>
      <c r="AN15" s="2248" t="s">
        <v>48</v>
      </c>
      <c r="AO15" s="2273" t="s">
        <v>1987</v>
      </c>
      <c r="AQ15" s="2248" t="s">
        <v>3059</v>
      </c>
      <c r="AR15" s="2273" t="s">
        <v>1987</v>
      </c>
      <c r="AT15" s="2272" t="s">
        <v>4409</v>
      </c>
      <c r="AU15" s="2249" t="s">
        <v>1987</v>
      </c>
      <c r="AW15" s="2272">
        <v>23</v>
      </c>
      <c r="AX15" s="2249" t="s">
        <v>1987</v>
      </c>
      <c r="AZ15" s="2248" t="s">
        <v>2984</v>
      </c>
      <c r="BA15" s="2249" t="s">
        <v>1987</v>
      </c>
      <c r="BC15" s="2248" t="s">
        <v>2984</v>
      </c>
      <c r="BD15" s="2249" t="s">
        <v>1987</v>
      </c>
      <c r="BF15" s="2248" t="s">
        <v>2981</v>
      </c>
      <c r="BG15" s="2250">
        <v>0</v>
      </c>
      <c r="BI15" s="2248" t="s">
        <v>2981</v>
      </c>
      <c r="BJ15" s="2249" t="s">
        <v>1987</v>
      </c>
    </row>
    <row r="16" spans="1:62" ht="12" thickBot="1" x14ac:dyDescent="0.4">
      <c r="A16" s="2248" t="s">
        <v>2383</v>
      </c>
      <c r="B16" s="2249" t="s">
        <v>1987</v>
      </c>
      <c r="C16" s="148"/>
      <c r="D16" s="607" t="s">
        <v>2987</v>
      </c>
      <c r="E16" s="2269" t="s">
        <v>1987</v>
      </c>
      <c r="F16" s="148"/>
      <c r="G16" s="2248" t="s">
        <v>2987</v>
      </c>
      <c r="H16" s="2249" t="s">
        <v>1987</v>
      </c>
      <c r="I16" s="148"/>
      <c r="J16" s="1124" t="s">
        <v>4114</v>
      </c>
      <c r="K16" s="1125" t="s">
        <v>8518</v>
      </c>
      <c r="L16" s="148"/>
      <c r="M16" s="2248" t="s">
        <v>2984</v>
      </c>
      <c r="N16" s="2249" t="s">
        <v>1987</v>
      </c>
      <c r="O16" s="148"/>
      <c r="P16" s="2248" t="s">
        <v>2987</v>
      </c>
      <c r="Q16" s="2249" t="s">
        <v>1987</v>
      </c>
      <c r="R16" s="148"/>
      <c r="S16" s="2248" t="s">
        <v>2984</v>
      </c>
      <c r="T16" s="2249" t="s">
        <v>1987</v>
      </c>
      <c r="U16" s="148"/>
      <c r="V16" s="2248" t="s">
        <v>2987</v>
      </c>
      <c r="W16" s="2249" t="s">
        <v>1987</v>
      </c>
      <c r="X16" s="148"/>
      <c r="Y16" s="2248" t="s">
        <v>1900</v>
      </c>
      <c r="Z16" s="2249" t="s">
        <v>1987</v>
      </c>
      <c r="AA16" s="148"/>
      <c r="AB16" s="2248" t="s">
        <v>2987</v>
      </c>
      <c r="AC16" s="2249" t="s">
        <v>1987</v>
      </c>
      <c r="AE16" s="2248" t="s">
        <v>48</v>
      </c>
      <c r="AF16" s="2249" t="s">
        <v>1987</v>
      </c>
      <c r="AH16" s="2248" t="s">
        <v>2987</v>
      </c>
      <c r="AI16" s="2273" t="s">
        <v>1987</v>
      </c>
      <c r="AK16" s="2248" t="s">
        <v>2987</v>
      </c>
      <c r="AL16" s="2285" t="s">
        <v>1987</v>
      </c>
      <c r="AN16" s="3149" t="s">
        <v>8368</v>
      </c>
      <c r="AO16" s="2748" t="s">
        <v>1987</v>
      </c>
      <c r="AQ16" s="2248" t="s">
        <v>2981</v>
      </c>
      <c r="AR16" s="2273" t="s">
        <v>1987</v>
      </c>
      <c r="AT16" s="2272" t="s">
        <v>4410</v>
      </c>
      <c r="AU16" s="2249" t="s">
        <v>1987</v>
      </c>
      <c r="AW16" s="2272">
        <v>24</v>
      </c>
      <c r="AX16" s="2249" t="s">
        <v>1987</v>
      </c>
      <c r="AZ16" s="2248" t="s">
        <v>2987</v>
      </c>
      <c r="BA16" s="2249" t="s">
        <v>1987</v>
      </c>
      <c r="BC16" s="2248" t="s">
        <v>2987</v>
      </c>
      <c r="BD16" s="2249" t="s">
        <v>1987</v>
      </c>
      <c r="BF16" s="2248" t="s">
        <v>2984</v>
      </c>
      <c r="BG16" s="2250">
        <v>0</v>
      </c>
      <c r="BI16" s="2248" t="s">
        <v>2984</v>
      </c>
      <c r="BJ16" s="2249" t="s">
        <v>1987</v>
      </c>
    </row>
    <row r="17" spans="1:62" ht="12" thickBot="1" x14ac:dyDescent="0.4">
      <c r="A17" s="607" t="s">
        <v>4221</v>
      </c>
      <c r="B17" s="2249" t="s">
        <v>1987</v>
      </c>
      <c r="C17" s="148"/>
      <c r="D17" s="2248" t="s">
        <v>883</v>
      </c>
      <c r="E17" s="2269" t="s">
        <v>1987</v>
      </c>
      <c r="F17" s="148"/>
      <c r="G17" s="2248" t="s">
        <v>883</v>
      </c>
      <c r="H17" s="2249" t="s">
        <v>1987</v>
      </c>
      <c r="I17" s="148"/>
      <c r="J17" s="607" t="s">
        <v>990</v>
      </c>
      <c r="K17" s="2249" t="s">
        <v>1987</v>
      </c>
      <c r="L17" s="148"/>
      <c r="M17" s="2248" t="s">
        <v>2987</v>
      </c>
      <c r="N17" s="2249" t="s">
        <v>1987</v>
      </c>
      <c r="O17" s="148"/>
      <c r="P17" s="2248" t="s">
        <v>883</v>
      </c>
      <c r="Q17" s="2249" t="s">
        <v>1987</v>
      </c>
      <c r="R17" s="148"/>
      <c r="S17" s="2248" t="s">
        <v>2987</v>
      </c>
      <c r="T17" s="2249" t="s">
        <v>1987</v>
      </c>
      <c r="U17" s="148"/>
      <c r="V17" s="2248" t="s">
        <v>883</v>
      </c>
      <c r="W17" s="2249" t="s">
        <v>1987</v>
      </c>
      <c r="X17" s="148"/>
      <c r="Y17" s="2248" t="s">
        <v>1902</v>
      </c>
      <c r="Z17" s="2249" t="s">
        <v>1987</v>
      </c>
      <c r="AA17" s="148"/>
      <c r="AB17" s="2248" t="s">
        <v>883</v>
      </c>
      <c r="AC17" s="2249" t="s">
        <v>1987</v>
      </c>
      <c r="AE17" s="2248" t="s">
        <v>50</v>
      </c>
      <c r="AF17" s="2249" t="s">
        <v>1987</v>
      </c>
      <c r="AH17" s="2248" t="s">
        <v>883</v>
      </c>
      <c r="AI17" s="2273" t="s">
        <v>1987</v>
      </c>
      <c r="AK17" s="2248" t="s">
        <v>883</v>
      </c>
      <c r="AL17" s="2285" t="s">
        <v>1987</v>
      </c>
      <c r="AN17" s="2747" t="s">
        <v>7691</v>
      </c>
      <c r="AO17" s="2748" t="s">
        <v>1987</v>
      </c>
      <c r="AQ17" s="2248" t="s">
        <v>2984</v>
      </c>
      <c r="AR17" s="2273" t="s">
        <v>1987</v>
      </c>
      <c r="AT17" s="2272" t="s">
        <v>4411</v>
      </c>
      <c r="AU17" s="2249" t="s">
        <v>1987</v>
      </c>
      <c r="AW17" s="3037">
        <v>24.1</v>
      </c>
      <c r="AX17" s="3038" t="s">
        <v>1987</v>
      </c>
      <c r="AZ17" s="2248" t="s">
        <v>883</v>
      </c>
      <c r="BA17" s="2249" t="s">
        <v>1987</v>
      </c>
      <c r="BC17" s="2248" t="s">
        <v>883</v>
      </c>
      <c r="BD17" s="2250" t="s">
        <v>1987</v>
      </c>
      <c r="BF17" s="2248" t="s">
        <v>2987</v>
      </c>
      <c r="BG17" s="2250">
        <v>0</v>
      </c>
      <c r="BI17" s="2248" t="s">
        <v>2987</v>
      </c>
      <c r="BJ17" s="2249" t="s">
        <v>1987</v>
      </c>
    </row>
    <row r="18" spans="1:62" ht="12" thickBot="1" x14ac:dyDescent="0.4">
      <c r="A18" s="2248" t="s">
        <v>4224</v>
      </c>
      <c r="B18" s="2249">
        <v>14206</v>
      </c>
      <c r="C18" s="148"/>
      <c r="D18" s="2248" t="s">
        <v>2403</v>
      </c>
      <c r="E18" s="2269" t="s">
        <v>1987</v>
      </c>
      <c r="F18" s="148"/>
      <c r="G18" s="610" t="s">
        <v>2403</v>
      </c>
      <c r="H18" s="2249" t="s">
        <v>1987</v>
      </c>
      <c r="I18" s="148"/>
      <c r="J18" s="2248" t="s">
        <v>2371</v>
      </c>
      <c r="K18" s="2249" t="s">
        <v>1987</v>
      </c>
      <c r="L18" s="148"/>
      <c r="M18" s="2248" t="s">
        <v>883</v>
      </c>
      <c r="N18" s="2249" t="s">
        <v>1987</v>
      </c>
      <c r="O18" s="148"/>
      <c r="P18" s="2248" t="s">
        <v>2403</v>
      </c>
      <c r="Q18" s="2249" t="s">
        <v>1987</v>
      </c>
      <c r="R18" s="148"/>
      <c r="S18" s="2248" t="s">
        <v>883</v>
      </c>
      <c r="T18" s="2249" t="s">
        <v>1987</v>
      </c>
      <c r="U18" s="148"/>
      <c r="V18" s="2248" t="s">
        <v>2403</v>
      </c>
      <c r="W18" s="2249" t="s">
        <v>1987</v>
      </c>
      <c r="X18" s="148"/>
      <c r="Y18" s="2248" t="s">
        <v>1904</v>
      </c>
      <c r="Z18" s="2249" t="s">
        <v>1987</v>
      </c>
      <c r="AA18" s="148"/>
      <c r="AB18" s="2248" t="s">
        <v>2403</v>
      </c>
      <c r="AC18" s="2249" t="s">
        <v>1987</v>
      </c>
      <c r="AE18" s="2248" t="s">
        <v>1900</v>
      </c>
      <c r="AF18" s="2249" t="s">
        <v>1987</v>
      </c>
      <c r="AH18" s="3433" t="s">
        <v>2403</v>
      </c>
      <c r="AI18" s="3434"/>
      <c r="AK18" s="3433" t="s">
        <v>2403</v>
      </c>
      <c r="AL18" s="3435"/>
      <c r="AN18" s="2248" t="s">
        <v>50</v>
      </c>
      <c r="AO18" s="2273" t="s">
        <v>1987</v>
      </c>
      <c r="AQ18" s="2248" t="s">
        <v>2987</v>
      </c>
      <c r="AR18" s="2273" t="s">
        <v>1987</v>
      </c>
      <c r="AT18" s="2272">
        <v>3</v>
      </c>
      <c r="AU18" s="2249" t="s">
        <v>1987</v>
      </c>
      <c r="AW18" s="2272" t="s">
        <v>4400</v>
      </c>
      <c r="AX18" s="2249" t="s">
        <v>1987</v>
      </c>
      <c r="AZ18" s="2248" t="s">
        <v>2403</v>
      </c>
      <c r="BA18" s="2249" t="s">
        <v>1987</v>
      </c>
      <c r="BC18" s="2248" t="s">
        <v>2403</v>
      </c>
      <c r="BD18" s="2249" t="s">
        <v>1987</v>
      </c>
      <c r="BF18" s="2248" t="s">
        <v>883</v>
      </c>
      <c r="BG18" s="2250" t="s">
        <v>1987</v>
      </c>
      <c r="BI18" s="2248" t="s">
        <v>883</v>
      </c>
      <c r="BJ18" s="2249" t="s">
        <v>1987</v>
      </c>
    </row>
    <row r="19" spans="1:62" ht="12" thickBot="1" x14ac:dyDescent="0.4">
      <c r="A19" s="2248" t="s">
        <v>3056</v>
      </c>
      <c r="B19" s="2249" t="s">
        <v>1987</v>
      </c>
      <c r="C19" s="148"/>
      <c r="D19" s="610" t="s">
        <v>1874</v>
      </c>
      <c r="E19" s="2269" t="s">
        <v>1987</v>
      </c>
      <c r="F19" s="148"/>
      <c r="G19" s="1124"/>
      <c r="H19" s="148"/>
      <c r="I19" s="148"/>
      <c r="J19" s="2248" t="s">
        <v>2374</v>
      </c>
      <c r="K19" s="2249" t="s">
        <v>1987</v>
      </c>
      <c r="L19" s="148"/>
      <c r="M19" s="2248" t="s">
        <v>2403</v>
      </c>
      <c r="N19" s="2249" t="s">
        <v>1987</v>
      </c>
      <c r="O19" s="148"/>
      <c r="P19" s="2248" t="s">
        <v>1874</v>
      </c>
      <c r="Q19" s="2249" t="s">
        <v>1987</v>
      </c>
      <c r="R19" s="148"/>
      <c r="S19" s="2248" t="s">
        <v>2403</v>
      </c>
      <c r="T19" s="2249" t="s">
        <v>1987</v>
      </c>
      <c r="U19" s="148"/>
      <c r="V19" s="2248" t="s">
        <v>1874</v>
      </c>
      <c r="W19" s="2249" t="s">
        <v>1987</v>
      </c>
      <c r="X19" s="148"/>
      <c r="Y19" s="2248" t="s">
        <v>1906</v>
      </c>
      <c r="Z19" s="2249" t="s">
        <v>1987</v>
      </c>
      <c r="AA19" s="148"/>
      <c r="AB19" s="2248" t="s">
        <v>1874</v>
      </c>
      <c r="AC19" s="2249" t="s">
        <v>1987</v>
      </c>
      <c r="AE19" s="610" t="s">
        <v>1902</v>
      </c>
      <c r="AF19" s="2249" t="s">
        <v>1987</v>
      </c>
      <c r="AH19" s="2248" t="s">
        <v>1874</v>
      </c>
      <c r="AI19" s="2273" t="s">
        <v>1987</v>
      </c>
      <c r="AK19" s="2248" t="s">
        <v>1874</v>
      </c>
      <c r="AL19" s="2285" t="s">
        <v>1987</v>
      </c>
      <c r="AN19" s="2248" t="s">
        <v>1900</v>
      </c>
      <c r="AO19" s="2273" t="s">
        <v>1987</v>
      </c>
      <c r="AQ19" s="2248" t="s">
        <v>883</v>
      </c>
      <c r="AR19" s="2273" t="s">
        <v>1987</v>
      </c>
      <c r="AT19" s="2272">
        <v>4</v>
      </c>
      <c r="AU19" s="2249" t="s">
        <v>1987</v>
      </c>
      <c r="AW19" s="2272" t="s">
        <v>4438</v>
      </c>
      <c r="AX19" s="2249" t="s">
        <v>1987</v>
      </c>
      <c r="AZ19" s="2248" t="s">
        <v>1874</v>
      </c>
      <c r="BA19" s="2249" t="s">
        <v>1987</v>
      </c>
      <c r="BC19" s="2248" t="s">
        <v>1874</v>
      </c>
      <c r="BD19" s="2249" t="s">
        <v>1987</v>
      </c>
      <c r="BF19" s="2248" t="s">
        <v>2403</v>
      </c>
      <c r="BG19" s="2269" t="s">
        <v>1237</v>
      </c>
      <c r="BI19" s="2248" t="s">
        <v>2403</v>
      </c>
      <c r="BJ19" s="2249" t="s">
        <v>1987</v>
      </c>
    </row>
    <row r="20" spans="1:62" ht="12" thickBot="1" x14ac:dyDescent="0.4">
      <c r="A20" s="607" t="s">
        <v>3059</v>
      </c>
      <c r="B20" s="2249" t="s">
        <v>1987</v>
      </c>
      <c r="C20" s="148"/>
      <c r="F20" s="148"/>
      <c r="G20" s="1124" t="s">
        <v>6</v>
      </c>
      <c r="H20" s="1125" t="s">
        <v>8517</v>
      </c>
      <c r="I20" s="148"/>
      <c r="J20" s="2248" t="s">
        <v>2377</v>
      </c>
      <c r="K20" s="2249" t="s">
        <v>1987</v>
      </c>
      <c r="L20" s="148"/>
      <c r="M20" s="2248" t="s">
        <v>1874</v>
      </c>
      <c r="N20" s="2249" t="s">
        <v>1987</v>
      </c>
      <c r="O20" s="148"/>
      <c r="P20" s="2248" t="s">
        <v>1877</v>
      </c>
      <c r="Q20" s="2249" t="s">
        <v>1987</v>
      </c>
      <c r="R20" s="148"/>
      <c r="S20" s="2248" t="s">
        <v>1874</v>
      </c>
      <c r="T20" s="2249" t="s">
        <v>1987</v>
      </c>
      <c r="U20" s="148"/>
      <c r="V20" s="3149" t="s">
        <v>8453</v>
      </c>
      <c r="W20" s="3038" t="s">
        <v>1987</v>
      </c>
      <c r="X20" s="148"/>
      <c r="Y20" s="2248" t="s">
        <v>1908</v>
      </c>
      <c r="Z20" s="2249" t="s">
        <v>1987</v>
      </c>
      <c r="AA20" s="148"/>
      <c r="AB20" s="2248" t="s">
        <v>1877</v>
      </c>
      <c r="AC20" s="2249" t="s">
        <v>1987</v>
      </c>
      <c r="AH20" s="2248" t="s">
        <v>1877</v>
      </c>
      <c r="AI20" s="2273" t="s">
        <v>1987</v>
      </c>
      <c r="AK20" s="2248" t="s">
        <v>1877</v>
      </c>
      <c r="AL20" s="2285" t="s">
        <v>1987</v>
      </c>
      <c r="AN20" s="2248" t="s">
        <v>1902</v>
      </c>
      <c r="AO20" s="2273" t="s">
        <v>1987</v>
      </c>
      <c r="AQ20" s="2248" t="s">
        <v>2403</v>
      </c>
      <c r="AR20" s="2273" t="s">
        <v>1987</v>
      </c>
      <c r="AT20" s="2272" t="s">
        <v>4400</v>
      </c>
      <c r="AU20" s="2249" t="s">
        <v>1987</v>
      </c>
      <c r="AW20" s="2272" t="s">
        <v>4439</v>
      </c>
      <c r="AX20" s="2249" t="s">
        <v>1987</v>
      </c>
      <c r="AZ20" s="2248" t="s">
        <v>1877</v>
      </c>
      <c r="BA20" s="2249" t="s">
        <v>1987</v>
      </c>
      <c r="BC20" s="2248" t="s">
        <v>1877</v>
      </c>
      <c r="BD20" s="2249" t="s">
        <v>1987</v>
      </c>
      <c r="BF20" s="2248" t="s">
        <v>1874</v>
      </c>
      <c r="BG20" s="2269" t="s">
        <v>1237</v>
      </c>
      <c r="BI20" s="2248" t="s">
        <v>1874</v>
      </c>
      <c r="BJ20" s="2249" t="s">
        <v>1987</v>
      </c>
    </row>
    <row r="21" spans="1:62" ht="12" thickBot="1" x14ac:dyDescent="0.4">
      <c r="A21" s="2248" t="s">
        <v>2981</v>
      </c>
      <c r="B21" s="2249">
        <v>5300</v>
      </c>
      <c r="C21" s="148"/>
      <c r="D21" s="1124" t="s">
        <v>942</v>
      </c>
      <c r="E21" s="1125"/>
      <c r="F21" s="148"/>
      <c r="G21" s="607" t="s">
        <v>990</v>
      </c>
      <c r="H21" s="2249" t="s">
        <v>1987</v>
      </c>
      <c r="I21" s="148"/>
      <c r="J21" s="2248" t="s">
        <v>2380</v>
      </c>
      <c r="K21" s="2249" t="s">
        <v>1987</v>
      </c>
      <c r="L21" s="148"/>
      <c r="M21" s="2248" t="s">
        <v>1877</v>
      </c>
      <c r="N21" s="2249" t="s">
        <v>1987</v>
      </c>
      <c r="O21" s="148"/>
      <c r="P21" s="2248" t="s">
        <v>1880</v>
      </c>
      <c r="Q21" s="2249" t="s">
        <v>1987</v>
      </c>
      <c r="R21" s="148"/>
      <c r="S21" s="2248" t="s">
        <v>1877</v>
      </c>
      <c r="T21" s="2249" t="s">
        <v>1987</v>
      </c>
      <c r="U21" s="148"/>
      <c r="V21" s="2248" t="s">
        <v>1877</v>
      </c>
      <c r="W21" s="2249" t="s">
        <v>1987</v>
      </c>
      <c r="X21" s="148"/>
      <c r="Y21" s="2248" t="s">
        <v>1910</v>
      </c>
      <c r="Z21" s="2249" t="s">
        <v>1987</v>
      </c>
      <c r="AA21" s="148"/>
      <c r="AB21" s="2248" t="s">
        <v>1880</v>
      </c>
      <c r="AC21" s="2249" t="s">
        <v>1987</v>
      </c>
      <c r="AH21" s="2248" t="s">
        <v>1880</v>
      </c>
      <c r="AI21" s="2273" t="s">
        <v>1987</v>
      </c>
      <c r="AK21" s="2248" t="s">
        <v>1880</v>
      </c>
      <c r="AL21" s="2285" t="s">
        <v>1987</v>
      </c>
      <c r="AN21" s="2248" t="s">
        <v>1904</v>
      </c>
      <c r="AO21" s="2273" t="s">
        <v>1987</v>
      </c>
      <c r="AQ21" s="2248" t="s">
        <v>1874</v>
      </c>
      <c r="AR21" s="2273" t="s">
        <v>1987</v>
      </c>
      <c r="AT21" s="2272" t="s">
        <v>4401</v>
      </c>
      <c r="AU21" s="2249" t="s">
        <v>1987</v>
      </c>
      <c r="AW21" s="2272" t="s">
        <v>4440</v>
      </c>
      <c r="AX21" s="2249" t="s">
        <v>1987</v>
      </c>
      <c r="AZ21" s="2248" t="s">
        <v>1880</v>
      </c>
      <c r="BA21" s="2249" t="s">
        <v>1987</v>
      </c>
      <c r="BC21" s="2248" t="s">
        <v>1880</v>
      </c>
      <c r="BD21" s="2273" t="s">
        <v>1987</v>
      </c>
      <c r="BF21" s="2248" t="s">
        <v>1877</v>
      </c>
      <c r="BG21" s="2269" t="s">
        <v>3909</v>
      </c>
      <c r="BI21" s="610" t="s">
        <v>1877</v>
      </c>
      <c r="BJ21" s="2249"/>
    </row>
    <row r="22" spans="1:62" ht="12" thickBot="1" x14ac:dyDescent="0.4">
      <c r="A22" s="2248" t="s">
        <v>2984</v>
      </c>
      <c r="B22" s="2249">
        <v>1060</v>
      </c>
      <c r="C22" s="148"/>
      <c r="D22" s="2247" t="s">
        <v>990</v>
      </c>
      <c r="E22" s="2261">
        <v>0</v>
      </c>
      <c r="F22" s="148"/>
      <c r="G22" s="2259" t="s">
        <v>2371</v>
      </c>
      <c r="H22" s="2260"/>
      <c r="I22" s="148"/>
      <c r="J22" s="2248" t="s">
        <v>2383</v>
      </c>
      <c r="K22" s="2249" t="s">
        <v>1987</v>
      </c>
      <c r="L22" s="148"/>
      <c r="M22" s="2248" t="s">
        <v>1880</v>
      </c>
      <c r="N22" s="2249" t="s">
        <v>1987</v>
      </c>
      <c r="O22" s="148"/>
      <c r="P22" s="2248" t="s">
        <v>43</v>
      </c>
      <c r="Q22" s="2249" t="s">
        <v>1987</v>
      </c>
      <c r="R22" s="148"/>
      <c r="S22" s="2248" t="s">
        <v>1880</v>
      </c>
      <c r="T22" s="2249" t="s">
        <v>1987</v>
      </c>
      <c r="U22" s="148"/>
      <c r="V22" s="2248" t="s">
        <v>1880</v>
      </c>
      <c r="W22" s="2249" t="s">
        <v>1987</v>
      </c>
      <c r="X22" s="148"/>
      <c r="Y22" s="2248" t="s">
        <v>1912</v>
      </c>
      <c r="Z22" s="2249" t="s">
        <v>1987</v>
      </c>
      <c r="AA22" s="148"/>
      <c r="AB22" s="3433" t="s">
        <v>43</v>
      </c>
      <c r="AC22" s="3434"/>
      <c r="AH22" s="2248" t="s">
        <v>43</v>
      </c>
      <c r="AI22" s="2273" t="s">
        <v>1987</v>
      </c>
      <c r="AK22" s="2248" t="s">
        <v>43</v>
      </c>
      <c r="AL22" s="2285" t="s">
        <v>1987</v>
      </c>
      <c r="AN22" s="2248" t="s">
        <v>1906</v>
      </c>
      <c r="AO22" s="2273" t="s">
        <v>1987</v>
      </c>
      <c r="AQ22" s="2248" t="s">
        <v>1877</v>
      </c>
      <c r="AR22" s="2273" t="s">
        <v>1987</v>
      </c>
      <c r="AT22" s="2272" t="s">
        <v>4402</v>
      </c>
      <c r="AU22" s="2249" t="s">
        <v>1987</v>
      </c>
      <c r="AW22" s="2272" t="s">
        <v>4404</v>
      </c>
      <c r="AX22" s="2249" t="s">
        <v>1987</v>
      </c>
      <c r="AZ22" s="2248" t="s">
        <v>43</v>
      </c>
      <c r="BA22" s="2249" t="s">
        <v>1987</v>
      </c>
      <c r="BC22" s="2248" t="s">
        <v>43</v>
      </c>
      <c r="BD22" s="2249" t="s">
        <v>1987</v>
      </c>
      <c r="BF22" s="2248" t="s">
        <v>1880</v>
      </c>
      <c r="BG22" s="2269" t="s">
        <v>3909</v>
      </c>
      <c r="BI22" s="1124"/>
    </row>
    <row r="23" spans="1:62" x14ac:dyDescent="0.35">
      <c r="A23" s="607" t="s">
        <v>2987</v>
      </c>
      <c r="B23" s="2249" t="s">
        <v>1987</v>
      </c>
      <c r="C23" s="148"/>
      <c r="D23" s="2247" t="s">
        <v>2371</v>
      </c>
      <c r="E23" s="2262" t="s">
        <v>1237</v>
      </c>
      <c r="F23" s="148"/>
      <c r="G23" s="607" t="s">
        <v>2374</v>
      </c>
      <c r="H23" s="2249" t="s">
        <v>1987</v>
      </c>
      <c r="I23" s="148"/>
      <c r="J23" s="2248" t="s">
        <v>4221</v>
      </c>
      <c r="K23" s="2249" t="s">
        <v>1987</v>
      </c>
      <c r="L23" s="148"/>
      <c r="M23" s="2248" t="s">
        <v>43</v>
      </c>
      <c r="N23" s="2249" t="s">
        <v>1987</v>
      </c>
      <c r="O23" s="148"/>
      <c r="P23" s="2248" t="s">
        <v>45</v>
      </c>
      <c r="Q23" s="2249" t="s">
        <v>1987</v>
      </c>
      <c r="R23" s="148"/>
      <c r="S23" s="2248" t="s">
        <v>43</v>
      </c>
      <c r="T23" s="2249" t="s">
        <v>1987</v>
      </c>
      <c r="U23" s="148"/>
      <c r="V23" s="2248" t="s">
        <v>43</v>
      </c>
      <c r="W23" s="2249" t="s">
        <v>1987</v>
      </c>
      <c r="X23" s="148"/>
      <c r="Y23" s="2248" t="s">
        <v>1914</v>
      </c>
      <c r="Z23" s="2249" t="s">
        <v>1987</v>
      </c>
      <c r="AA23" s="148"/>
      <c r="AB23" s="2248" t="s">
        <v>45</v>
      </c>
      <c r="AC23" s="2249" t="s">
        <v>1987</v>
      </c>
      <c r="AH23" s="2248" t="s">
        <v>45</v>
      </c>
      <c r="AI23" s="2273" t="s">
        <v>1987</v>
      </c>
      <c r="AK23" s="2248" t="s">
        <v>45</v>
      </c>
      <c r="AL23" s="2285" t="s">
        <v>1987</v>
      </c>
      <c r="AN23" s="2248" t="s">
        <v>1908</v>
      </c>
      <c r="AO23" s="2273" t="s">
        <v>1987</v>
      </c>
      <c r="AQ23" s="2248" t="s">
        <v>1880</v>
      </c>
      <c r="AR23" s="2273" t="s">
        <v>1987</v>
      </c>
      <c r="AT23" s="2272" t="s">
        <v>4412</v>
      </c>
      <c r="AU23" s="2249" t="s">
        <v>1987</v>
      </c>
      <c r="AW23" s="2272" t="s">
        <v>4441</v>
      </c>
      <c r="AX23" s="2249" t="s">
        <v>1987</v>
      </c>
      <c r="AZ23" s="2248" t="s">
        <v>45</v>
      </c>
      <c r="BA23" s="2249" t="s">
        <v>1987</v>
      </c>
      <c r="BC23" s="2248" t="s">
        <v>45</v>
      </c>
      <c r="BD23" s="2269" t="s">
        <v>1987</v>
      </c>
      <c r="BF23" s="2248" t="s">
        <v>43</v>
      </c>
      <c r="BG23" s="2269" t="s">
        <v>3909</v>
      </c>
      <c r="BI23" s="2251"/>
      <c r="BJ23" s="2256" t="s">
        <v>4944</v>
      </c>
    </row>
    <row r="24" spans="1:62" ht="12" thickBot="1" x14ac:dyDescent="0.4">
      <c r="A24" s="2248" t="s">
        <v>883</v>
      </c>
      <c r="B24" s="2249" t="s">
        <v>1987</v>
      </c>
      <c r="C24" s="148"/>
      <c r="D24" s="2247" t="s">
        <v>2374</v>
      </c>
      <c r="E24" s="2262" t="s">
        <v>1237</v>
      </c>
      <c r="F24" s="148"/>
      <c r="G24" s="2248" t="s">
        <v>2377</v>
      </c>
      <c r="H24" s="2249" t="s">
        <v>1987</v>
      </c>
      <c r="I24" s="148"/>
      <c r="J24" s="2248" t="s">
        <v>4224</v>
      </c>
      <c r="K24" s="2249" t="s">
        <v>1987</v>
      </c>
      <c r="L24" s="148"/>
      <c r="M24" s="610" t="s">
        <v>45</v>
      </c>
      <c r="N24" s="2249" t="s">
        <v>1987</v>
      </c>
      <c r="O24" s="148"/>
      <c r="P24" s="2248" t="s">
        <v>47</v>
      </c>
      <c r="Q24" s="2249" t="s">
        <v>1987</v>
      </c>
      <c r="R24" s="148"/>
      <c r="S24" s="2248" t="s">
        <v>45</v>
      </c>
      <c r="T24" s="2249" t="s">
        <v>1987</v>
      </c>
      <c r="U24" s="148"/>
      <c r="V24" s="2248" t="s">
        <v>45</v>
      </c>
      <c r="W24" s="2249" t="s">
        <v>1987</v>
      </c>
      <c r="X24" s="148"/>
      <c r="Y24" s="2248" t="s">
        <v>1916</v>
      </c>
      <c r="Z24" s="2249" t="s">
        <v>1987</v>
      </c>
      <c r="AA24" s="148"/>
      <c r="AB24" s="2248" t="s">
        <v>47</v>
      </c>
      <c r="AC24" s="2249" t="s">
        <v>1987</v>
      </c>
      <c r="AH24" s="2248" t="s">
        <v>47</v>
      </c>
      <c r="AI24" s="2273" t="s">
        <v>1987</v>
      </c>
      <c r="AK24" s="2248" t="s">
        <v>47</v>
      </c>
      <c r="AL24" s="2285" t="s">
        <v>1987</v>
      </c>
      <c r="AN24" s="2248" t="s">
        <v>1910</v>
      </c>
      <c r="AO24" s="2273" t="s">
        <v>1987</v>
      </c>
      <c r="AQ24" s="2248" t="s">
        <v>43</v>
      </c>
      <c r="AR24" s="2273" t="s">
        <v>1987</v>
      </c>
      <c r="AT24" s="2272" t="s">
        <v>4404</v>
      </c>
      <c r="AU24" s="2249" t="s">
        <v>1987</v>
      </c>
      <c r="AW24" s="2272">
        <v>25</v>
      </c>
      <c r="AX24" s="2249" t="s">
        <v>1987</v>
      </c>
      <c r="AZ24" s="3039" t="s">
        <v>47</v>
      </c>
      <c r="BA24" s="3040" t="s">
        <v>7539</v>
      </c>
      <c r="BC24" s="2248" t="s">
        <v>47</v>
      </c>
      <c r="BD24" s="2249" t="s">
        <v>1987</v>
      </c>
      <c r="BF24" s="2248" t="s">
        <v>45</v>
      </c>
      <c r="BG24" s="2273" t="s">
        <v>1987</v>
      </c>
      <c r="BI24" s="590" t="s">
        <v>4604</v>
      </c>
      <c r="BJ24" s="148" t="s">
        <v>8518</v>
      </c>
    </row>
    <row r="25" spans="1:62" ht="12" thickBot="1" x14ac:dyDescent="0.4">
      <c r="A25" s="2248" t="s">
        <v>2403</v>
      </c>
      <c r="B25" s="2249" t="s">
        <v>1987</v>
      </c>
      <c r="C25" s="148"/>
      <c r="D25" s="2247" t="s">
        <v>2377</v>
      </c>
      <c r="E25" s="2249"/>
      <c r="F25" s="148"/>
      <c r="G25" s="2248" t="s">
        <v>2380</v>
      </c>
      <c r="H25" s="2249" t="s">
        <v>1987</v>
      </c>
      <c r="I25" s="148"/>
      <c r="J25" s="2248" t="s">
        <v>3056</v>
      </c>
      <c r="K25" s="2249" t="s">
        <v>1987</v>
      </c>
      <c r="L25" s="148"/>
      <c r="O25" s="148"/>
      <c r="P25" s="2248" t="s">
        <v>49</v>
      </c>
      <c r="Q25" s="2249" t="s">
        <v>1987</v>
      </c>
      <c r="S25" s="2248" t="s">
        <v>47</v>
      </c>
      <c r="T25" s="2249" t="s">
        <v>1987</v>
      </c>
      <c r="U25" s="148"/>
      <c r="V25" s="2248" t="s">
        <v>47</v>
      </c>
      <c r="W25" s="2249" t="s">
        <v>1987</v>
      </c>
      <c r="X25" s="148"/>
      <c r="Y25" s="2248" t="s">
        <v>1918</v>
      </c>
      <c r="Z25" s="2249" t="s">
        <v>1987</v>
      </c>
      <c r="AA25" s="148"/>
      <c r="AB25" s="2248" t="s">
        <v>49</v>
      </c>
      <c r="AC25" s="2249" t="s">
        <v>1987</v>
      </c>
      <c r="AH25" s="2248" t="s">
        <v>49</v>
      </c>
      <c r="AI25" s="2273" t="s">
        <v>1987</v>
      </c>
      <c r="AK25" s="2248" t="s">
        <v>49</v>
      </c>
      <c r="AL25" s="2285" t="s">
        <v>1987</v>
      </c>
      <c r="AN25" s="2248" t="s">
        <v>1912</v>
      </c>
      <c r="AO25" s="2273" t="s">
        <v>1987</v>
      </c>
      <c r="AQ25" s="2248" t="s">
        <v>2380</v>
      </c>
      <c r="AR25" s="2273" t="s">
        <v>1987</v>
      </c>
      <c r="AT25" s="2272" t="s">
        <v>4413</v>
      </c>
      <c r="AU25" s="2249" t="s">
        <v>1987</v>
      </c>
      <c r="AW25" s="2272">
        <v>26</v>
      </c>
      <c r="AX25" s="2249" t="s">
        <v>1987</v>
      </c>
      <c r="AZ25" s="2248" t="s">
        <v>49</v>
      </c>
      <c r="BA25" s="2249" t="s">
        <v>1987</v>
      </c>
      <c r="BC25" s="2248" t="s">
        <v>49</v>
      </c>
      <c r="BD25" s="2249" t="s">
        <v>1987</v>
      </c>
      <c r="BF25" s="2248" t="s">
        <v>47</v>
      </c>
      <c r="BG25" s="2273" t="s">
        <v>1987</v>
      </c>
      <c r="BI25" s="607" t="s">
        <v>4804</v>
      </c>
      <c r="BJ25" s="2249" t="s">
        <v>1987</v>
      </c>
    </row>
    <row r="26" spans="1:62" ht="12" thickBot="1" x14ac:dyDescent="0.4">
      <c r="A26" s="607" t="s">
        <v>1874</v>
      </c>
      <c r="B26" s="2249" t="s">
        <v>1987</v>
      </c>
      <c r="C26" s="148"/>
      <c r="D26" s="2247" t="s">
        <v>2380</v>
      </c>
      <c r="E26" s="2249"/>
      <c r="F26" s="148"/>
      <c r="G26" s="2248" t="s">
        <v>2383</v>
      </c>
      <c r="H26" s="2249" t="s">
        <v>1987</v>
      </c>
      <c r="I26" s="148"/>
      <c r="J26" s="2248" t="s">
        <v>3059</v>
      </c>
      <c r="K26" s="2249" t="s">
        <v>1987</v>
      </c>
      <c r="L26" s="148"/>
      <c r="M26" s="2263"/>
      <c r="N26" s="2264" t="s">
        <v>2365</v>
      </c>
      <c r="O26" s="148"/>
      <c r="P26" s="2248" t="s">
        <v>51</v>
      </c>
      <c r="Q26" s="2249" t="s">
        <v>1987</v>
      </c>
      <c r="S26" s="2248" t="s">
        <v>49</v>
      </c>
      <c r="T26" s="2249" t="s">
        <v>1987</v>
      </c>
      <c r="U26" s="148"/>
      <c r="V26" s="2248" t="s">
        <v>49</v>
      </c>
      <c r="W26" s="2249" t="s">
        <v>1987</v>
      </c>
      <c r="X26" s="148"/>
      <c r="Y26" s="2248" t="s">
        <v>1920</v>
      </c>
      <c r="Z26" s="2249" t="s">
        <v>1987</v>
      </c>
      <c r="AA26" s="148"/>
      <c r="AB26" s="2248" t="s">
        <v>51</v>
      </c>
      <c r="AC26" s="2249" t="s">
        <v>1987</v>
      </c>
      <c r="AH26" s="2248" t="s">
        <v>51</v>
      </c>
      <c r="AI26" s="2273" t="s">
        <v>1987</v>
      </c>
      <c r="AK26" s="2248" t="s">
        <v>51</v>
      </c>
      <c r="AL26" s="2285" t="s">
        <v>1987</v>
      </c>
      <c r="AN26" s="2248" t="s">
        <v>1914</v>
      </c>
      <c r="AO26" s="2273" t="s">
        <v>1987</v>
      </c>
      <c r="AQ26" s="3149" t="s">
        <v>8412</v>
      </c>
      <c r="AR26" s="2748" t="s">
        <v>1987</v>
      </c>
      <c r="AT26" s="2272" t="s">
        <v>4406</v>
      </c>
      <c r="AU26" s="2249" t="s">
        <v>1987</v>
      </c>
      <c r="AW26" s="2272">
        <v>27</v>
      </c>
      <c r="AX26" s="2249" t="s">
        <v>1987</v>
      </c>
      <c r="AZ26" s="2248" t="s">
        <v>51</v>
      </c>
      <c r="BA26" s="2249" t="s">
        <v>1987</v>
      </c>
      <c r="BC26" s="2248" t="s">
        <v>51</v>
      </c>
      <c r="BD26" s="2250" t="s">
        <v>1987</v>
      </c>
      <c r="BF26" s="2248" t="s">
        <v>49</v>
      </c>
      <c r="BG26" s="2273" t="s">
        <v>1987</v>
      </c>
      <c r="BI26" s="610" t="s">
        <v>5365</v>
      </c>
      <c r="BJ26" s="2250" t="s">
        <v>1987</v>
      </c>
    </row>
    <row r="27" spans="1:62" ht="12" thickBot="1" x14ac:dyDescent="0.4">
      <c r="A27" s="2248" t="s">
        <v>1877</v>
      </c>
      <c r="B27" s="2249" t="s">
        <v>1987</v>
      </c>
      <c r="C27" s="148"/>
      <c r="D27" s="2247" t="s">
        <v>2383</v>
      </c>
      <c r="E27" s="2249"/>
      <c r="F27" s="148"/>
      <c r="G27" s="2248" t="s">
        <v>4221</v>
      </c>
      <c r="H27" s="2249" t="s">
        <v>1987</v>
      </c>
      <c r="I27" s="148"/>
      <c r="J27" s="2248" t="s">
        <v>2981</v>
      </c>
      <c r="K27" s="2249" t="s">
        <v>1987</v>
      </c>
      <c r="L27" s="148"/>
      <c r="M27" s="1124" t="s">
        <v>4009</v>
      </c>
      <c r="N27" s="1450" t="s">
        <v>8518</v>
      </c>
      <c r="O27" s="148"/>
      <c r="P27" s="2248" t="s">
        <v>1901</v>
      </c>
      <c r="Q27" s="2249" t="s">
        <v>1987</v>
      </c>
      <c r="R27" s="148"/>
      <c r="S27" s="2248" t="s">
        <v>51</v>
      </c>
      <c r="T27" s="2249" t="s">
        <v>1987</v>
      </c>
      <c r="U27" s="148"/>
      <c r="V27" s="2248" t="s">
        <v>51</v>
      </c>
      <c r="W27" s="2249" t="s">
        <v>1987</v>
      </c>
      <c r="X27" s="148"/>
      <c r="Y27" s="2248" t="s">
        <v>1922</v>
      </c>
      <c r="Z27" s="2249" t="s">
        <v>1987</v>
      </c>
      <c r="AA27" s="148"/>
      <c r="AB27" s="2248" t="s">
        <v>1901</v>
      </c>
      <c r="AC27" s="2249" t="s">
        <v>1987</v>
      </c>
      <c r="AH27" s="2248" t="s">
        <v>1901</v>
      </c>
      <c r="AI27" s="2273" t="s">
        <v>1987</v>
      </c>
      <c r="AK27" s="2248" t="s">
        <v>1901</v>
      </c>
      <c r="AL27" s="2285" t="s">
        <v>1987</v>
      </c>
      <c r="AN27" s="2248" t="s">
        <v>1916</v>
      </c>
      <c r="AO27" s="2273" t="s">
        <v>1987</v>
      </c>
      <c r="AQ27" s="3149" t="s">
        <v>8413</v>
      </c>
      <c r="AR27" s="2748" t="s">
        <v>1987</v>
      </c>
      <c r="AT27" s="2272" t="s">
        <v>4407</v>
      </c>
      <c r="AU27" s="2249" t="s">
        <v>1987</v>
      </c>
      <c r="AW27" s="2272">
        <v>28</v>
      </c>
      <c r="AX27" s="2249" t="s">
        <v>1987</v>
      </c>
      <c r="AZ27" s="2248" t="s">
        <v>1901</v>
      </c>
      <c r="BA27" s="2249" t="s">
        <v>1987</v>
      </c>
      <c r="BC27" s="2248" t="s">
        <v>1901</v>
      </c>
      <c r="BD27" s="2273" t="s">
        <v>1987</v>
      </c>
      <c r="BF27" s="2248" t="s">
        <v>51</v>
      </c>
      <c r="BG27" s="2269" t="s">
        <v>583</v>
      </c>
    </row>
    <row r="28" spans="1:62" ht="12" thickBot="1" x14ac:dyDescent="0.4">
      <c r="A28" s="2248" t="s">
        <v>1880</v>
      </c>
      <c r="B28" s="2249" t="s">
        <v>1987</v>
      </c>
      <c r="C28" s="148"/>
      <c r="D28" s="2247" t="s">
        <v>4221</v>
      </c>
      <c r="E28" s="2249"/>
      <c r="F28" s="148"/>
      <c r="G28" s="2248" t="s">
        <v>4224</v>
      </c>
      <c r="H28" s="2249" t="s">
        <v>1987</v>
      </c>
      <c r="I28" s="148"/>
      <c r="J28" s="3403" t="s">
        <v>7969</v>
      </c>
      <c r="K28" s="3404" t="s">
        <v>1987</v>
      </c>
      <c r="L28" s="148"/>
      <c r="M28" s="607" t="s">
        <v>990</v>
      </c>
      <c r="N28" s="2249" t="s">
        <v>1987</v>
      </c>
      <c r="O28" s="148"/>
      <c r="P28" s="2248" t="s">
        <v>1903</v>
      </c>
      <c r="Q28" s="2249" t="s">
        <v>1987</v>
      </c>
      <c r="R28" s="148"/>
      <c r="S28" s="2248" t="s">
        <v>1901</v>
      </c>
      <c r="T28" s="2249" t="s">
        <v>1987</v>
      </c>
      <c r="U28" s="148"/>
      <c r="V28" s="2248" t="s">
        <v>1901</v>
      </c>
      <c r="W28" s="2249" t="s">
        <v>1987</v>
      </c>
      <c r="X28" s="148"/>
      <c r="Y28" s="2248" t="s">
        <v>1924</v>
      </c>
      <c r="Z28" s="2249" t="s">
        <v>1987</v>
      </c>
      <c r="AA28" s="148"/>
      <c r="AB28" s="2248" t="s">
        <v>1903</v>
      </c>
      <c r="AC28" s="2249" t="s">
        <v>1987</v>
      </c>
      <c r="AH28" s="2248" t="s">
        <v>1903</v>
      </c>
      <c r="AI28" s="2273" t="s">
        <v>1987</v>
      </c>
      <c r="AK28" s="2248" t="s">
        <v>1903</v>
      </c>
      <c r="AL28" s="2270" t="s">
        <v>1987</v>
      </c>
      <c r="AN28" s="2248" t="s">
        <v>1918</v>
      </c>
      <c r="AO28" s="2273" t="s">
        <v>1987</v>
      </c>
      <c r="AQ28" s="2248" t="s">
        <v>2383</v>
      </c>
      <c r="AR28" s="2273" t="s">
        <v>1987</v>
      </c>
      <c r="AT28" s="2272" t="s">
        <v>4408</v>
      </c>
      <c r="AU28" s="2249" t="s">
        <v>1987</v>
      </c>
      <c r="AW28" s="2272">
        <v>29</v>
      </c>
      <c r="AX28" s="2249" t="s">
        <v>1987</v>
      </c>
      <c r="AZ28" s="610" t="s">
        <v>1903</v>
      </c>
      <c r="BA28" s="2249" t="s">
        <v>1987</v>
      </c>
      <c r="BC28" s="2248" t="s">
        <v>1903</v>
      </c>
      <c r="BD28" s="2249" t="s">
        <v>1987</v>
      </c>
      <c r="BF28" s="3149" t="s">
        <v>8439</v>
      </c>
      <c r="BG28" s="2748" t="s">
        <v>1987</v>
      </c>
      <c r="BI28" s="2251"/>
      <c r="BJ28" s="2256" t="s">
        <v>4944</v>
      </c>
    </row>
    <row r="29" spans="1:62" ht="12" thickBot="1" x14ac:dyDescent="0.4">
      <c r="A29" s="607" t="s">
        <v>43</v>
      </c>
      <c r="B29" s="2249" t="s">
        <v>1987</v>
      </c>
      <c r="C29" s="148"/>
      <c r="D29" s="2247" t="s">
        <v>4224</v>
      </c>
      <c r="E29" s="2249"/>
      <c r="F29" s="148"/>
      <c r="G29" s="2248" t="s">
        <v>3056</v>
      </c>
      <c r="H29" s="2249" t="s">
        <v>1987</v>
      </c>
      <c r="I29" s="148"/>
      <c r="J29" s="3403" t="s">
        <v>7970</v>
      </c>
      <c r="K29" s="3404" t="s">
        <v>1987</v>
      </c>
      <c r="L29" s="148"/>
      <c r="M29" s="2248" t="s">
        <v>2371</v>
      </c>
      <c r="N29" s="2249" t="s">
        <v>1987</v>
      </c>
      <c r="O29" s="148"/>
      <c r="P29" s="2248" t="s">
        <v>1905</v>
      </c>
      <c r="Q29" s="2249" t="s">
        <v>1987</v>
      </c>
      <c r="R29" s="148"/>
      <c r="S29" s="2248" t="s">
        <v>1903</v>
      </c>
      <c r="T29" s="2249" t="s">
        <v>1987</v>
      </c>
      <c r="U29" s="148"/>
      <c r="V29" s="2248" t="s">
        <v>1903</v>
      </c>
      <c r="W29" s="2249" t="s">
        <v>1987</v>
      </c>
      <c r="X29" s="148"/>
      <c r="Y29" s="2248" t="s">
        <v>1926</v>
      </c>
      <c r="Z29" s="2249" t="s">
        <v>1987</v>
      </c>
      <c r="AA29" s="148"/>
      <c r="AB29" s="2248" t="s">
        <v>1905</v>
      </c>
      <c r="AC29" s="2249" t="s">
        <v>1987</v>
      </c>
      <c r="AH29" s="2248" t="s">
        <v>1905</v>
      </c>
      <c r="AI29" s="2273" t="s">
        <v>1987</v>
      </c>
      <c r="AK29" s="2248" t="s">
        <v>1905</v>
      </c>
      <c r="AL29" s="2270" t="s">
        <v>1987</v>
      </c>
      <c r="AN29" s="2248" t="s">
        <v>1920</v>
      </c>
      <c r="AO29" s="2273" t="s">
        <v>1987</v>
      </c>
      <c r="AQ29" s="2248" t="s">
        <v>4221</v>
      </c>
      <c r="AR29" s="2273" t="s">
        <v>1987</v>
      </c>
      <c r="AT29" s="2272" t="s">
        <v>4414</v>
      </c>
      <c r="AU29" s="2249" t="s">
        <v>1987</v>
      </c>
      <c r="AW29" s="2272">
        <v>30</v>
      </c>
      <c r="AX29" s="2249" t="s">
        <v>1987</v>
      </c>
      <c r="BC29" s="2248" t="s">
        <v>1905</v>
      </c>
      <c r="BD29" s="2249" t="s">
        <v>1987</v>
      </c>
      <c r="BF29" s="3149" t="s">
        <v>8440</v>
      </c>
      <c r="BG29" s="2748" t="s">
        <v>1987</v>
      </c>
      <c r="BI29" s="590" t="s">
        <v>7314</v>
      </c>
      <c r="BJ29" s="148" t="s">
        <v>8518</v>
      </c>
    </row>
    <row r="30" spans="1:62" ht="12" thickBot="1" x14ac:dyDescent="0.4">
      <c r="A30" s="2248" t="s">
        <v>45</v>
      </c>
      <c r="B30" s="2249" t="s">
        <v>1987</v>
      </c>
      <c r="C30" s="148"/>
      <c r="D30" s="2247" t="s">
        <v>3056</v>
      </c>
      <c r="E30" s="2262" t="s">
        <v>1237</v>
      </c>
      <c r="F30" s="148"/>
      <c r="G30" s="610" t="s">
        <v>3059</v>
      </c>
      <c r="H30" s="2249" t="s">
        <v>1987</v>
      </c>
      <c r="I30" s="148"/>
      <c r="J30" s="2248" t="s">
        <v>2984</v>
      </c>
      <c r="K30" s="2269" t="s">
        <v>1987</v>
      </c>
      <c r="L30" s="148"/>
      <c r="M30" s="2248" t="s">
        <v>2374</v>
      </c>
      <c r="N30" s="2249" t="s">
        <v>1987</v>
      </c>
      <c r="O30" s="148"/>
      <c r="P30" s="2248" t="s">
        <v>1907</v>
      </c>
      <c r="Q30" s="2249" t="s">
        <v>1987</v>
      </c>
      <c r="R30" s="148"/>
      <c r="S30" s="2248" t="s">
        <v>1905</v>
      </c>
      <c r="T30" s="2249" t="s">
        <v>1987</v>
      </c>
      <c r="U30" s="148"/>
      <c r="V30" s="2248" t="s">
        <v>1905</v>
      </c>
      <c r="W30" s="2249" t="s">
        <v>1987</v>
      </c>
      <c r="X30" s="148"/>
      <c r="Y30" s="2248" t="s">
        <v>1928</v>
      </c>
      <c r="Z30" s="2249" t="s">
        <v>1987</v>
      </c>
      <c r="AA30" s="148"/>
      <c r="AB30" s="2248" t="s">
        <v>1907</v>
      </c>
      <c r="AC30" s="2249" t="s">
        <v>1987</v>
      </c>
      <c r="AH30" s="2248" t="s">
        <v>1907</v>
      </c>
      <c r="AI30" s="2273" t="s">
        <v>1987</v>
      </c>
      <c r="AK30" s="2248" t="s">
        <v>1907</v>
      </c>
      <c r="AL30" s="2285" t="s">
        <v>1987</v>
      </c>
      <c r="AN30" s="2248" t="s">
        <v>1922</v>
      </c>
      <c r="AO30" s="2273" t="s">
        <v>1987</v>
      </c>
      <c r="AQ30" s="2248" t="s">
        <v>4224</v>
      </c>
      <c r="AR30" s="2273" t="s">
        <v>1987</v>
      </c>
      <c r="AT30" s="2272" t="s">
        <v>4410</v>
      </c>
      <c r="AU30" s="2249" t="s">
        <v>1987</v>
      </c>
      <c r="AW30" s="2272">
        <v>31</v>
      </c>
      <c r="AX30" s="2249" t="s">
        <v>1987</v>
      </c>
      <c r="BC30" s="2248" t="s">
        <v>1907</v>
      </c>
      <c r="BD30" s="2249" t="s">
        <v>1987</v>
      </c>
      <c r="BF30" s="3149" t="s">
        <v>8441</v>
      </c>
      <c r="BG30" s="3832" t="s">
        <v>1987</v>
      </c>
      <c r="BI30" s="2749" t="s">
        <v>7718</v>
      </c>
      <c r="BJ30" s="2249" t="s">
        <v>1987</v>
      </c>
    </row>
    <row r="31" spans="1:62" ht="12" thickBot="1" x14ac:dyDescent="0.4">
      <c r="A31" s="2248" t="s">
        <v>47</v>
      </c>
      <c r="B31" s="2269" t="s">
        <v>1987</v>
      </c>
      <c r="C31" s="148"/>
      <c r="D31" s="2247" t="s">
        <v>3059</v>
      </c>
      <c r="E31" s="2262" t="s">
        <v>1237</v>
      </c>
      <c r="F31" s="148"/>
      <c r="G31" s="607" t="s">
        <v>2981</v>
      </c>
      <c r="H31" s="2249" t="s">
        <v>1987</v>
      </c>
      <c r="I31" s="148"/>
      <c r="J31" s="2248" t="s">
        <v>2987</v>
      </c>
      <c r="K31" s="2249" t="s">
        <v>1987</v>
      </c>
      <c r="L31" s="148"/>
      <c r="M31" s="2248" t="s">
        <v>2377</v>
      </c>
      <c r="N31" s="2249" t="s">
        <v>1987</v>
      </c>
      <c r="O31" s="148"/>
      <c r="P31" s="2248" t="s">
        <v>1909</v>
      </c>
      <c r="Q31" s="2249" t="s">
        <v>1987</v>
      </c>
      <c r="R31" s="148"/>
      <c r="S31" s="2248" t="s">
        <v>1907</v>
      </c>
      <c r="T31" s="2249" t="s">
        <v>1987</v>
      </c>
      <c r="U31" s="148"/>
      <c r="V31" s="2248" t="s">
        <v>1907</v>
      </c>
      <c r="W31" s="2249" t="s">
        <v>1987</v>
      </c>
      <c r="X31" s="148"/>
      <c r="Y31" s="2248" t="s">
        <v>1930</v>
      </c>
      <c r="Z31" s="2249" t="s">
        <v>1987</v>
      </c>
      <c r="AA31" s="148"/>
      <c r="AB31" s="2248" t="s">
        <v>1909</v>
      </c>
      <c r="AC31" s="2249" t="s">
        <v>1987</v>
      </c>
      <c r="AH31" s="2248" t="s">
        <v>1909</v>
      </c>
      <c r="AI31" s="2273" t="s">
        <v>1987</v>
      </c>
      <c r="AK31" s="2248" t="s">
        <v>1909</v>
      </c>
      <c r="AL31" s="2285" t="s">
        <v>1987</v>
      </c>
      <c r="AN31" s="2248" t="s">
        <v>1924</v>
      </c>
      <c r="AO31" s="2273" t="s">
        <v>1987</v>
      </c>
      <c r="AQ31" s="2248" t="s">
        <v>3056</v>
      </c>
      <c r="AR31" s="2273" t="s">
        <v>1987</v>
      </c>
      <c r="AT31" s="2272" t="s">
        <v>4415</v>
      </c>
      <c r="AU31" s="2249" t="s">
        <v>1987</v>
      </c>
      <c r="AW31" s="2272">
        <v>32</v>
      </c>
      <c r="AX31" s="2249" t="s">
        <v>1987</v>
      </c>
      <c r="BC31" s="2248" t="s">
        <v>1909</v>
      </c>
      <c r="BD31" s="2269" t="s">
        <v>1987</v>
      </c>
      <c r="BF31" s="2248" t="s">
        <v>1901</v>
      </c>
      <c r="BG31" s="2269" t="s">
        <v>583</v>
      </c>
      <c r="BI31" s="2750"/>
      <c r="BJ31" s="2249"/>
    </row>
    <row r="32" spans="1:62" x14ac:dyDescent="0.35">
      <c r="C32" s="148"/>
      <c r="D32" s="2286" t="s">
        <v>2981</v>
      </c>
      <c r="E32" s="2262" t="s">
        <v>1237</v>
      </c>
      <c r="F32" s="148"/>
      <c r="G32" s="2248" t="s">
        <v>2984</v>
      </c>
      <c r="H32" s="2249" t="s">
        <v>1987</v>
      </c>
      <c r="I32" s="148"/>
      <c r="J32" s="2248" t="s">
        <v>883</v>
      </c>
      <c r="K32" s="2249" t="s">
        <v>1987</v>
      </c>
      <c r="L32" s="148"/>
      <c r="M32" s="2248" t="s">
        <v>2380</v>
      </c>
      <c r="N32" s="2249" t="s">
        <v>1987</v>
      </c>
      <c r="O32" s="148"/>
      <c r="P32" s="2248" t="s">
        <v>1911</v>
      </c>
      <c r="Q32" s="2249" t="s">
        <v>1987</v>
      </c>
      <c r="R32" s="148"/>
      <c r="S32" s="2248" t="s">
        <v>1909</v>
      </c>
      <c r="T32" s="2249" t="s">
        <v>1987</v>
      </c>
      <c r="U32" s="148"/>
      <c r="V32" s="2248" t="s">
        <v>1909</v>
      </c>
      <c r="W32" s="2249" t="s">
        <v>1987</v>
      </c>
      <c r="X32" s="148"/>
      <c r="Y32" s="2248" t="s">
        <v>1932</v>
      </c>
      <c r="Z32" s="2249" t="s">
        <v>1987</v>
      </c>
      <c r="AA32" s="148"/>
      <c r="AB32" s="2248" t="s">
        <v>1911</v>
      </c>
      <c r="AC32" s="2249" t="s">
        <v>1987</v>
      </c>
      <c r="AH32" s="2274" t="s">
        <v>1911</v>
      </c>
      <c r="AI32" s="2275"/>
      <c r="AK32" s="2248" t="s">
        <v>1911</v>
      </c>
      <c r="AL32" s="2285" t="s">
        <v>1987</v>
      </c>
      <c r="AN32" s="2248" t="s">
        <v>1926</v>
      </c>
      <c r="AO32" s="2273" t="s">
        <v>1987</v>
      </c>
      <c r="AQ32" s="2248" t="s">
        <v>3059</v>
      </c>
      <c r="AR32" s="2273" t="s">
        <v>1987</v>
      </c>
      <c r="AT32" s="2272" t="s">
        <v>4416</v>
      </c>
      <c r="AU32" s="2249" t="s">
        <v>1987</v>
      </c>
      <c r="AW32" s="2272" t="s">
        <v>4400</v>
      </c>
      <c r="AX32" s="2249" t="s">
        <v>1987</v>
      </c>
      <c r="BC32" s="2248" t="s">
        <v>1911</v>
      </c>
      <c r="BD32" s="2249" t="s">
        <v>1987</v>
      </c>
      <c r="BF32" s="2248" t="s">
        <v>1903</v>
      </c>
      <c r="BG32" s="2284" t="s">
        <v>1987</v>
      </c>
      <c r="BI32" s="1124"/>
    </row>
    <row r="33" spans="1:62" x14ac:dyDescent="0.35">
      <c r="A33" s="1124" t="s">
        <v>3031</v>
      </c>
      <c r="B33" s="1125" t="s">
        <v>8518</v>
      </c>
      <c r="C33" s="148"/>
      <c r="D33" s="2286" t="s">
        <v>2984</v>
      </c>
      <c r="E33" s="2249"/>
      <c r="F33" s="148"/>
      <c r="G33" s="2248" t="s">
        <v>2987</v>
      </c>
      <c r="H33" s="2249" t="s">
        <v>1987</v>
      </c>
      <c r="I33" s="148"/>
      <c r="J33" s="2248" t="s">
        <v>2403</v>
      </c>
      <c r="K33" s="2249" t="s">
        <v>1987</v>
      </c>
      <c r="L33" s="148"/>
      <c r="M33" s="2248" t="s">
        <v>2383</v>
      </c>
      <c r="N33" s="2249" t="s">
        <v>1987</v>
      </c>
      <c r="O33" s="148"/>
      <c r="P33" s="2248" t="s">
        <v>1913</v>
      </c>
      <c r="Q33" s="2249" t="s">
        <v>1987</v>
      </c>
      <c r="R33" s="148"/>
      <c r="S33" s="2248" t="s">
        <v>1911</v>
      </c>
      <c r="T33" s="2249" t="s">
        <v>1987</v>
      </c>
      <c r="U33" s="148"/>
      <c r="V33" s="2248" t="s">
        <v>1911</v>
      </c>
      <c r="W33" s="2249" t="s">
        <v>1987</v>
      </c>
      <c r="X33" s="148"/>
      <c r="Y33" s="2248" t="s">
        <v>1934</v>
      </c>
      <c r="Z33" s="2249" t="s">
        <v>1987</v>
      </c>
      <c r="AA33" s="148"/>
      <c r="AB33" s="2248" t="s">
        <v>1913</v>
      </c>
      <c r="AC33" s="2249" t="s">
        <v>1987</v>
      </c>
      <c r="AH33" s="2248" t="s">
        <v>1913</v>
      </c>
      <c r="AI33" s="2273" t="s">
        <v>1987</v>
      </c>
      <c r="AK33" s="2248" t="s">
        <v>1913</v>
      </c>
      <c r="AL33" s="2285" t="s">
        <v>1987</v>
      </c>
      <c r="AN33" s="2248" t="s">
        <v>1928</v>
      </c>
      <c r="AO33" s="2273" t="s">
        <v>1987</v>
      </c>
      <c r="AQ33" s="2248" t="s">
        <v>2981</v>
      </c>
      <c r="AR33" s="2273" t="s">
        <v>1987</v>
      </c>
      <c r="AT33" s="2272" t="s">
        <v>4417</v>
      </c>
      <c r="AU33" s="2249" t="s">
        <v>1987</v>
      </c>
      <c r="AW33" s="2272" t="s">
        <v>4402</v>
      </c>
      <c r="AX33" s="2249" t="s">
        <v>1987</v>
      </c>
      <c r="BC33" s="2248" t="s">
        <v>1913</v>
      </c>
      <c r="BD33" s="2249" t="s">
        <v>1987</v>
      </c>
      <c r="BF33" s="2248" t="s">
        <v>1905</v>
      </c>
      <c r="BG33" s="2269" t="s">
        <v>1237</v>
      </c>
      <c r="BI33" s="2957"/>
    </row>
    <row r="34" spans="1:62" ht="12" thickBot="1" x14ac:dyDescent="0.4">
      <c r="A34" s="2247" t="s">
        <v>990</v>
      </c>
      <c r="B34" s="2250" t="s">
        <v>1987</v>
      </c>
      <c r="C34" s="148"/>
      <c r="D34" s="2286" t="s">
        <v>2987</v>
      </c>
      <c r="E34" s="2249"/>
      <c r="F34" s="148"/>
      <c r="G34" s="610" t="s">
        <v>883</v>
      </c>
      <c r="H34" s="2249" t="s">
        <v>1987</v>
      </c>
      <c r="I34" s="148"/>
      <c r="J34" s="2248" t="s">
        <v>1874</v>
      </c>
      <c r="K34" s="2249" t="s">
        <v>1987</v>
      </c>
      <c r="L34" s="148"/>
      <c r="M34" s="2248" t="s">
        <v>1791</v>
      </c>
      <c r="N34" s="2249" t="s">
        <v>1987</v>
      </c>
      <c r="O34" s="148"/>
      <c r="P34" s="2248" t="s">
        <v>1915</v>
      </c>
      <c r="Q34" s="2249" t="s">
        <v>1987</v>
      </c>
      <c r="R34" s="148"/>
      <c r="S34" s="2248" t="s">
        <v>1913</v>
      </c>
      <c r="T34" s="2249" t="s">
        <v>1987</v>
      </c>
      <c r="U34" s="148"/>
      <c r="V34" s="2248" t="s">
        <v>1913</v>
      </c>
      <c r="W34" s="2249" t="s">
        <v>1987</v>
      </c>
      <c r="X34" s="148"/>
      <c r="Y34" s="2248" t="s">
        <v>2503</v>
      </c>
      <c r="Z34" s="2249" t="s">
        <v>1987</v>
      </c>
      <c r="AA34" s="148"/>
      <c r="AB34" s="2248" t="s">
        <v>1915</v>
      </c>
      <c r="AC34" s="2249" t="s">
        <v>1987</v>
      </c>
      <c r="AH34" s="2248" t="s">
        <v>1915</v>
      </c>
      <c r="AI34" s="2273" t="s">
        <v>1987</v>
      </c>
      <c r="AK34" s="2248" t="s">
        <v>1915</v>
      </c>
      <c r="AL34" s="2285" t="s">
        <v>1987</v>
      </c>
      <c r="AN34" s="610" t="s">
        <v>1930</v>
      </c>
      <c r="AO34" s="2273" t="s">
        <v>1987</v>
      </c>
      <c r="AQ34" s="2248" t="s">
        <v>2984</v>
      </c>
      <c r="AR34" s="2273" t="s">
        <v>1987</v>
      </c>
      <c r="AT34" s="2272" t="s">
        <v>4418</v>
      </c>
      <c r="AU34" s="2249" t="s">
        <v>1987</v>
      </c>
      <c r="AW34" s="2272" t="s">
        <v>4404</v>
      </c>
      <c r="AX34" s="2249" t="s">
        <v>1987</v>
      </c>
      <c r="BC34" s="2248" t="s">
        <v>1915</v>
      </c>
      <c r="BD34" s="2250" t="s">
        <v>1987</v>
      </c>
      <c r="BF34" s="2248" t="s">
        <v>1907</v>
      </c>
      <c r="BG34" s="2284" t="s">
        <v>8524</v>
      </c>
      <c r="BI34" s="2957"/>
    </row>
    <row r="35" spans="1:62" ht="12" thickBot="1" x14ac:dyDescent="0.4">
      <c r="A35" s="2956" t="s">
        <v>6393</v>
      </c>
      <c r="B35" s="2250" t="s">
        <v>1987</v>
      </c>
      <c r="C35" s="148"/>
      <c r="D35" s="2286" t="s">
        <v>883</v>
      </c>
      <c r="E35" s="2249"/>
      <c r="F35" s="148"/>
      <c r="G35" s="610" t="s">
        <v>2403</v>
      </c>
      <c r="H35" s="2249" t="s">
        <v>1987</v>
      </c>
      <c r="I35" s="148"/>
      <c r="J35" s="3405" t="s">
        <v>1877</v>
      </c>
      <c r="K35" s="3406"/>
      <c r="L35" s="148"/>
      <c r="M35" s="2248" t="s">
        <v>4221</v>
      </c>
      <c r="N35" s="2249" t="s">
        <v>1987</v>
      </c>
      <c r="O35" s="148"/>
      <c r="P35" s="2248" t="s">
        <v>1917</v>
      </c>
      <c r="Q35" s="2249" t="s">
        <v>1987</v>
      </c>
      <c r="R35" s="148"/>
      <c r="S35" s="2248" t="s">
        <v>1915</v>
      </c>
      <c r="T35" s="2249" t="s">
        <v>1987</v>
      </c>
      <c r="U35" s="148"/>
      <c r="V35" s="2248" t="s">
        <v>1915</v>
      </c>
      <c r="W35" s="2249" t="s">
        <v>1987</v>
      </c>
      <c r="X35" s="148"/>
      <c r="Y35" s="2248" t="s">
        <v>3331</v>
      </c>
      <c r="Z35" s="2249" t="s">
        <v>1987</v>
      </c>
      <c r="AA35" s="148"/>
      <c r="AB35" s="2248" t="s">
        <v>1917</v>
      </c>
      <c r="AC35" s="2249" t="s">
        <v>1987</v>
      </c>
      <c r="AH35" s="610" t="s">
        <v>1917</v>
      </c>
      <c r="AI35" s="2273" t="s">
        <v>1987</v>
      </c>
      <c r="AK35" s="2248" t="s">
        <v>1917</v>
      </c>
      <c r="AL35" s="2285" t="s">
        <v>1987</v>
      </c>
      <c r="AQ35" s="2248" t="s">
        <v>2987</v>
      </c>
      <c r="AR35" s="2273" t="s">
        <v>1987</v>
      </c>
      <c r="AT35" s="2272" t="s">
        <v>4419</v>
      </c>
      <c r="AU35" s="2249" t="s">
        <v>1987</v>
      </c>
      <c r="AW35" s="2272" t="s">
        <v>4442</v>
      </c>
      <c r="AX35" s="2249" t="s">
        <v>1987</v>
      </c>
      <c r="BC35" s="2248" t="s">
        <v>1917</v>
      </c>
      <c r="BD35" s="2249" t="s">
        <v>1987</v>
      </c>
      <c r="BF35" s="2248" t="s">
        <v>1909</v>
      </c>
      <c r="BG35" s="2269" t="s">
        <v>1237</v>
      </c>
      <c r="BI35" s="1124"/>
    </row>
    <row r="36" spans="1:62" x14ac:dyDescent="0.35">
      <c r="A36" s="2286" t="s">
        <v>2371</v>
      </c>
      <c r="B36" s="2273" t="s">
        <v>1987</v>
      </c>
      <c r="C36" s="148"/>
      <c r="D36" s="2286" t="s">
        <v>2403</v>
      </c>
      <c r="E36" s="2249"/>
      <c r="F36" s="148"/>
      <c r="I36" s="148"/>
      <c r="J36" s="2248" t="s">
        <v>1880</v>
      </c>
      <c r="K36" s="2249" t="s">
        <v>1987</v>
      </c>
      <c r="L36" s="148"/>
      <c r="M36" s="2248" t="s">
        <v>4224</v>
      </c>
      <c r="N36" s="2249" t="s">
        <v>1987</v>
      </c>
      <c r="O36" s="148"/>
      <c r="P36" s="2248" t="s">
        <v>1919</v>
      </c>
      <c r="Q36" s="2249" t="s">
        <v>1987</v>
      </c>
      <c r="R36" s="148"/>
      <c r="S36" s="2248" t="s">
        <v>1917</v>
      </c>
      <c r="T36" s="2249" t="s">
        <v>1987</v>
      </c>
      <c r="U36" s="148"/>
      <c r="V36" s="2248" t="s">
        <v>1917</v>
      </c>
      <c r="W36" s="2249" t="s">
        <v>1987</v>
      </c>
      <c r="X36" s="148"/>
      <c r="Y36" s="2248" t="s">
        <v>2370</v>
      </c>
      <c r="Z36" s="2249" t="s">
        <v>1987</v>
      </c>
      <c r="AA36" s="148"/>
      <c r="AB36" s="2248" t="s">
        <v>1919</v>
      </c>
      <c r="AC36" s="2249" t="s">
        <v>1987</v>
      </c>
      <c r="AK36" s="2248" t="s">
        <v>1919</v>
      </c>
      <c r="AL36" s="2285" t="s">
        <v>1987</v>
      </c>
      <c r="AQ36" s="2248" t="s">
        <v>883</v>
      </c>
      <c r="AR36" s="2273" t="s">
        <v>1987</v>
      </c>
      <c r="AT36" s="2272" t="s">
        <v>4420</v>
      </c>
      <c r="AU36" s="2249" t="s">
        <v>1987</v>
      </c>
      <c r="AW36" s="2272" t="s">
        <v>4406</v>
      </c>
      <c r="AX36" s="2249" t="s">
        <v>1987</v>
      </c>
      <c r="BC36" s="2248" t="s">
        <v>1919</v>
      </c>
      <c r="BD36" s="2249" t="s">
        <v>1987</v>
      </c>
      <c r="BF36" s="2248" t="s">
        <v>1911</v>
      </c>
      <c r="BG36" s="2269" t="s">
        <v>1237</v>
      </c>
      <c r="BI36" s="1124"/>
    </row>
    <row r="37" spans="1:62" ht="12" thickBot="1" x14ac:dyDescent="0.4">
      <c r="A37" s="2286" t="s">
        <v>2374</v>
      </c>
      <c r="B37" s="2269" t="s">
        <v>1987</v>
      </c>
      <c r="C37" s="148"/>
      <c r="D37" s="2286" t="s">
        <v>1874</v>
      </c>
      <c r="E37" s="2249"/>
      <c r="F37" s="148"/>
      <c r="G37" s="1124" t="s">
        <v>4112</v>
      </c>
      <c r="H37" s="1125" t="s">
        <v>8518</v>
      </c>
      <c r="I37" s="148"/>
      <c r="J37" s="610" t="s">
        <v>43</v>
      </c>
      <c r="K37" s="2249" t="s">
        <v>1987</v>
      </c>
      <c r="L37" s="148"/>
      <c r="M37" s="2248" t="s">
        <v>3056</v>
      </c>
      <c r="N37" s="2249" t="s">
        <v>1987</v>
      </c>
      <c r="O37" s="148"/>
      <c r="P37" s="2248" t="s">
        <v>1921</v>
      </c>
      <c r="Q37" s="2249" t="s">
        <v>1987</v>
      </c>
      <c r="R37" s="148"/>
      <c r="S37" s="2248" t="s">
        <v>1919</v>
      </c>
      <c r="T37" s="2249" t="s">
        <v>1987</v>
      </c>
      <c r="U37" s="148"/>
      <c r="V37" s="2248" t="s">
        <v>1919</v>
      </c>
      <c r="W37" s="2249" t="s">
        <v>1987</v>
      </c>
      <c r="X37" s="148"/>
      <c r="Y37" s="2248" t="s">
        <v>2373</v>
      </c>
      <c r="Z37" s="2249" t="s">
        <v>1987</v>
      </c>
      <c r="AA37" s="148"/>
      <c r="AB37" s="2248" t="s">
        <v>1921</v>
      </c>
      <c r="AC37" s="2249" t="s">
        <v>1987</v>
      </c>
      <c r="AK37" s="2248" t="s">
        <v>1921</v>
      </c>
      <c r="AL37" s="2285" t="s">
        <v>1987</v>
      </c>
      <c r="AQ37" s="2248" t="s">
        <v>2403</v>
      </c>
      <c r="AR37" s="2273" t="s">
        <v>1987</v>
      </c>
      <c r="AT37" s="2272" t="s">
        <v>4421</v>
      </c>
      <c r="AU37" s="2249" t="s">
        <v>1987</v>
      </c>
      <c r="AW37" s="2272" t="s">
        <v>4408</v>
      </c>
      <c r="AX37" s="2249" t="s">
        <v>1987</v>
      </c>
      <c r="BC37" s="2248" t="s">
        <v>1921</v>
      </c>
      <c r="BD37" s="2249" t="s">
        <v>1987</v>
      </c>
      <c r="BF37" s="2248" t="s">
        <v>1913</v>
      </c>
      <c r="BG37" s="2269" t="s">
        <v>1237</v>
      </c>
      <c r="BI37" s="1124"/>
    </row>
    <row r="38" spans="1:62" x14ac:dyDescent="0.35">
      <c r="C38" s="148"/>
      <c r="D38" s="2286" t="s">
        <v>1877</v>
      </c>
      <c r="E38" s="2249"/>
      <c r="F38" s="148"/>
      <c r="G38" s="607" t="s">
        <v>990</v>
      </c>
      <c r="H38" s="2249" t="s">
        <v>1987</v>
      </c>
      <c r="I38" s="148"/>
      <c r="J38" s="607" t="s">
        <v>45</v>
      </c>
      <c r="K38" s="2249" t="s">
        <v>1987</v>
      </c>
      <c r="L38" s="148"/>
      <c r="M38" s="2248" t="s">
        <v>3059</v>
      </c>
      <c r="N38" s="2249" t="s">
        <v>1987</v>
      </c>
      <c r="O38" s="148"/>
      <c r="P38" s="2248" t="s">
        <v>1923</v>
      </c>
      <c r="Q38" s="2249" t="s">
        <v>1987</v>
      </c>
      <c r="R38" s="148"/>
      <c r="S38" s="2248" t="s">
        <v>1921</v>
      </c>
      <c r="T38" s="2249" t="s">
        <v>1987</v>
      </c>
      <c r="U38" s="148"/>
      <c r="V38" s="2248" t="s">
        <v>1921</v>
      </c>
      <c r="W38" s="2249" t="s">
        <v>1987</v>
      </c>
      <c r="X38" s="148"/>
      <c r="Y38" s="2248" t="s">
        <v>2376</v>
      </c>
      <c r="Z38" s="2249" t="s">
        <v>1987</v>
      </c>
      <c r="AA38" s="148"/>
      <c r="AB38" s="2248" t="s">
        <v>1923</v>
      </c>
      <c r="AC38" s="2249" t="s">
        <v>1987</v>
      </c>
      <c r="AK38" s="2248" t="s">
        <v>1923</v>
      </c>
      <c r="AL38" s="2285" t="s">
        <v>1987</v>
      </c>
      <c r="AQ38" s="2248" t="s">
        <v>1874</v>
      </c>
      <c r="AR38" s="2273" t="s">
        <v>1987</v>
      </c>
      <c r="AT38" s="2272" t="s">
        <v>4422</v>
      </c>
      <c r="AU38" s="2249" t="s">
        <v>1987</v>
      </c>
      <c r="AW38" s="2272" t="s">
        <v>4410</v>
      </c>
      <c r="AX38" s="2249" t="s">
        <v>1987</v>
      </c>
      <c r="BC38" s="2248" t="s">
        <v>1923</v>
      </c>
      <c r="BD38" s="2249" t="s">
        <v>1987</v>
      </c>
      <c r="BF38" s="2248" t="s">
        <v>1915</v>
      </c>
      <c r="BG38" s="2269" t="s">
        <v>1237</v>
      </c>
      <c r="BI38" s="1124"/>
    </row>
    <row r="39" spans="1:62" ht="12" thickBot="1" x14ac:dyDescent="0.4">
      <c r="A39" s="1124" t="s">
        <v>3234</v>
      </c>
      <c r="B39" s="1125" t="s">
        <v>8518</v>
      </c>
      <c r="C39" s="148"/>
      <c r="D39" s="2286" t="s">
        <v>1880</v>
      </c>
      <c r="E39" s="2249"/>
      <c r="F39" s="148"/>
      <c r="G39" s="2248" t="s">
        <v>2371</v>
      </c>
      <c r="H39" s="2249" t="s">
        <v>1987</v>
      </c>
      <c r="I39" s="148"/>
      <c r="J39" s="610" t="s">
        <v>47</v>
      </c>
      <c r="K39" s="2250">
        <v>1000000506</v>
      </c>
      <c r="L39" s="148"/>
      <c r="M39" s="2248" t="s">
        <v>2981</v>
      </c>
      <c r="N39" s="2249" t="s">
        <v>1987</v>
      </c>
      <c r="O39" s="148"/>
      <c r="P39" s="2248" t="s">
        <v>1925</v>
      </c>
      <c r="Q39" s="2249" t="s">
        <v>1987</v>
      </c>
      <c r="R39" s="148"/>
      <c r="S39" s="2248" t="s">
        <v>1923</v>
      </c>
      <c r="T39" s="2249" t="s">
        <v>1987</v>
      </c>
      <c r="U39" s="148"/>
      <c r="V39" s="2248" t="s">
        <v>1923</v>
      </c>
      <c r="W39" s="2249" t="s">
        <v>1987</v>
      </c>
      <c r="X39" s="148"/>
      <c r="Y39" s="2248" t="s">
        <v>2379</v>
      </c>
      <c r="Z39" s="2249" t="s">
        <v>1987</v>
      </c>
      <c r="AA39" s="148"/>
      <c r="AB39" s="2248" t="s">
        <v>1925</v>
      </c>
      <c r="AC39" s="2249" t="s">
        <v>1987</v>
      </c>
      <c r="AK39" s="2248" t="s">
        <v>1925</v>
      </c>
      <c r="AL39" s="2285" t="s">
        <v>1987</v>
      </c>
      <c r="AQ39" s="2248" t="s">
        <v>1877</v>
      </c>
      <c r="AR39" s="2273" t="s">
        <v>1987</v>
      </c>
      <c r="AT39" s="2272" t="s">
        <v>4423</v>
      </c>
      <c r="AU39" s="2249" t="s">
        <v>1987</v>
      </c>
      <c r="AW39" s="2272" t="s">
        <v>4443</v>
      </c>
      <c r="AX39" s="2249" t="s">
        <v>1987</v>
      </c>
      <c r="BC39" s="2248" t="s">
        <v>1925</v>
      </c>
      <c r="BD39" s="2269" t="s">
        <v>1987</v>
      </c>
      <c r="BF39" s="2248" t="s">
        <v>1917</v>
      </c>
      <c r="BG39" s="2269" t="s">
        <v>1237</v>
      </c>
      <c r="BI39" s="1124"/>
    </row>
    <row r="40" spans="1:62" x14ac:dyDescent="0.35">
      <c r="A40" s="2286" t="s">
        <v>990</v>
      </c>
      <c r="B40" s="2273" t="s">
        <v>1987</v>
      </c>
      <c r="C40" s="148"/>
      <c r="D40" s="2286" t="s">
        <v>43</v>
      </c>
      <c r="E40" s="2249"/>
      <c r="F40" s="148"/>
      <c r="G40" s="2248" t="s">
        <v>2374</v>
      </c>
      <c r="H40" s="2249" t="s">
        <v>1987</v>
      </c>
      <c r="I40" s="148"/>
      <c r="J40" s="148"/>
      <c r="K40" s="148"/>
      <c r="L40" s="148"/>
      <c r="M40" s="2248" t="s">
        <v>2984</v>
      </c>
      <c r="N40" s="2249" t="s">
        <v>1987</v>
      </c>
      <c r="O40" s="148"/>
      <c r="P40" s="2248" t="s">
        <v>1927</v>
      </c>
      <c r="Q40" s="2249" t="s">
        <v>1987</v>
      </c>
      <c r="R40" s="148"/>
      <c r="S40" s="2248" t="s">
        <v>1925</v>
      </c>
      <c r="T40" s="2249" t="s">
        <v>1987</v>
      </c>
      <c r="U40" s="148"/>
      <c r="V40" s="2248" t="s">
        <v>1925</v>
      </c>
      <c r="W40" s="2249" t="s">
        <v>1987</v>
      </c>
      <c r="X40" s="148"/>
      <c r="Y40" s="2248" t="s">
        <v>2382</v>
      </c>
      <c r="Z40" s="2249" t="s">
        <v>1987</v>
      </c>
      <c r="AA40" s="148"/>
      <c r="AB40" s="2248" t="s">
        <v>1927</v>
      </c>
      <c r="AC40" s="2249" t="s">
        <v>1987</v>
      </c>
      <c r="AK40" s="2248" t="s">
        <v>1927</v>
      </c>
      <c r="AL40" s="2285" t="s">
        <v>1987</v>
      </c>
      <c r="AQ40" s="2248" t="s">
        <v>1880</v>
      </c>
      <c r="AR40" s="2269" t="s">
        <v>1987</v>
      </c>
      <c r="AT40" s="2272" t="s">
        <v>4424</v>
      </c>
      <c r="AU40" s="2249" t="s">
        <v>1987</v>
      </c>
      <c r="AW40" s="2272" t="s">
        <v>4416</v>
      </c>
      <c r="AX40" s="2249" t="s">
        <v>1987</v>
      </c>
      <c r="BC40" s="2248" t="s">
        <v>1927</v>
      </c>
      <c r="BD40" s="2249" t="s">
        <v>1987</v>
      </c>
      <c r="BF40" s="2248" t="s">
        <v>1919</v>
      </c>
      <c r="BG40" s="2269" t="s">
        <v>1237</v>
      </c>
      <c r="BI40" s="1124"/>
    </row>
    <row r="41" spans="1:62" x14ac:dyDescent="0.35">
      <c r="A41" s="2286" t="s">
        <v>2371</v>
      </c>
      <c r="B41" s="2250" t="s">
        <v>1987</v>
      </c>
      <c r="C41" s="148"/>
      <c r="D41" s="2286" t="s">
        <v>45</v>
      </c>
      <c r="E41" s="2249"/>
      <c r="F41" s="148"/>
      <c r="G41" s="2248" t="s">
        <v>2377</v>
      </c>
      <c r="H41" s="2249" t="s">
        <v>1987</v>
      </c>
      <c r="I41" s="148"/>
      <c r="J41" s="148"/>
      <c r="K41" s="148"/>
      <c r="L41" s="148"/>
      <c r="M41" s="2248" t="s">
        <v>2987</v>
      </c>
      <c r="N41" s="2249" t="s">
        <v>1987</v>
      </c>
      <c r="O41" s="148"/>
      <c r="P41" s="2248" t="s">
        <v>1929</v>
      </c>
      <c r="Q41" s="2249" t="s">
        <v>1987</v>
      </c>
      <c r="R41" s="148"/>
      <c r="S41" s="2248" t="s">
        <v>1927</v>
      </c>
      <c r="T41" s="2249" t="s">
        <v>1987</v>
      </c>
      <c r="U41" s="148"/>
      <c r="V41" s="2248" t="s">
        <v>1927</v>
      </c>
      <c r="W41" s="2249" t="s">
        <v>1987</v>
      </c>
      <c r="X41" s="148"/>
      <c r="Y41" s="2248" t="s">
        <v>4220</v>
      </c>
      <c r="Z41" s="2249" t="s">
        <v>1987</v>
      </c>
      <c r="AA41" s="148"/>
      <c r="AB41" s="2248" t="s">
        <v>1929</v>
      </c>
      <c r="AC41" s="2249" t="s">
        <v>1987</v>
      </c>
      <c r="AK41" s="2248" t="s">
        <v>1929</v>
      </c>
      <c r="AL41" s="2285" t="s">
        <v>1987</v>
      </c>
      <c r="AQ41" s="2248" t="s">
        <v>43</v>
      </c>
      <c r="AR41" s="2269" t="s">
        <v>1987</v>
      </c>
      <c r="AT41" s="2272" t="s">
        <v>4425</v>
      </c>
      <c r="AU41" s="2249" t="s">
        <v>1987</v>
      </c>
      <c r="AW41" s="2272" t="s">
        <v>4418</v>
      </c>
      <c r="AX41" s="2249" t="s">
        <v>1987</v>
      </c>
      <c r="BC41" s="2248" t="s">
        <v>1929</v>
      </c>
      <c r="BD41" s="2249" t="s">
        <v>1987</v>
      </c>
      <c r="BF41" s="2248" t="s">
        <v>1921</v>
      </c>
      <c r="BG41" s="2273" t="s">
        <v>1987</v>
      </c>
      <c r="BI41" s="1124"/>
    </row>
    <row r="42" spans="1:62" ht="12" thickBot="1" x14ac:dyDescent="0.4">
      <c r="A42" s="2286" t="s">
        <v>2374</v>
      </c>
      <c r="B42" s="2284" t="s">
        <v>1987</v>
      </c>
      <c r="C42" s="148"/>
      <c r="D42" s="2286" t="s">
        <v>47</v>
      </c>
      <c r="E42" s="2249"/>
      <c r="F42" s="148"/>
      <c r="G42" s="2248" t="s">
        <v>2380</v>
      </c>
      <c r="H42" s="2249" t="s">
        <v>1987</v>
      </c>
      <c r="I42" s="148"/>
      <c r="J42" s="148"/>
      <c r="K42" s="148"/>
      <c r="L42" s="148"/>
      <c r="M42" s="2248" t="s">
        <v>883</v>
      </c>
      <c r="N42" s="2249" t="s">
        <v>1987</v>
      </c>
      <c r="O42" s="148"/>
      <c r="P42" s="610" t="s">
        <v>1931</v>
      </c>
      <c r="Q42" s="2249" t="s">
        <v>1987</v>
      </c>
      <c r="R42" s="148"/>
      <c r="S42" s="610" t="s">
        <v>1929</v>
      </c>
      <c r="T42" s="2249" t="s">
        <v>1987</v>
      </c>
      <c r="U42" s="148"/>
      <c r="V42" s="2248" t="s">
        <v>1929</v>
      </c>
      <c r="W42" s="2249" t="s">
        <v>1987</v>
      </c>
      <c r="X42" s="148"/>
      <c r="Y42" s="2248" t="s">
        <v>4223</v>
      </c>
      <c r="Z42" s="2249" t="s">
        <v>1987</v>
      </c>
      <c r="AA42" s="148"/>
      <c r="AB42" s="2248" t="s">
        <v>1931</v>
      </c>
      <c r="AC42" s="2249" t="s">
        <v>1987</v>
      </c>
      <c r="AK42" s="2248" t="s">
        <v>1931</v>
      </c>
      <c r="AL42" s="2285" t="s">
        <v>1987</v>
      </c>
      <c r="AQ42" s="2248" t="s">
        <v>45</v>
      </c>
      <c r="AR42" s="2273">
        <v>53780</v>
      </c>
      <c r="AT42" s="2272" t="s">
        <v>4426</v>
      </c>
      <c r="AU42" s="2249" t="s">
        <v>1987</v>
      </c>
      <c r="AW42" s="2272" t="s">
        <v>4420</v>
      </c>
      <c r="AX42" s="2249" t="s">
        <v>1987</v>
      </c>
      <c r="BC42" s="2248" t="s">
        <v>1931</v>
      </c>
      <c r="BD42" s="2249" t="s">
        <v>1987</v>
      </c>
      <c r="BF42" s="2248" t="s">
        <v>1923</v>
      </c>
      <c r="BG42" s="2273" t="s">
        <v>1987</v>
      </c>
      <c r="BI42" s="1124"/>
    </row>
    <row r="43" spans="1:62" ht="12" thickBot="1" x14ac:dyDescent="0.4">
      <c r="C43" s="148"/>
      <c r="D43" s="2286" t="s">
        <v>49</v>
      </c>
      <c r="E43" s="2262" t="s">
        <v>583</v>
      </c>
      <c r="F43" s="148"/>
      <c r="G43" s="2248" t="s">
        <v>2383</v>
      </c>
      <c r="H43" s="2249" t="s">
        <v>1987</v>
      </c>
      <c r="I43" s="148"/>
      <c r="J43" s="148"/>
      <c r="K43" s="148"/>
      <c r="L43" s="148"/>
      <c r="M43" s="2248" t="s">
        <v>2403</v>
      </c>
      <c r="N43" s="2249" t="s">
        <v>1987</v>
      </c>
      <c r="O43" s="148"/>
      <c r="P43" s="2747" t="s">
        <v>8528</v>
      </c>
      <c r="Q43" s="2249" t="s">
        <v>1987</v>
      </c>
      <c r="R43" s="148"/>
      <c r="S43" s="148"/>
      <c r="T43" s="148"/>
      <c r="U43" s="148"/>
      <c r="V43" s="2248" t="s">
        <v>1931</v>
      </c>
      <c r="W43" s="2249" t="s">
        <v>1987</v>
      </c>
      <c r="X43" s="148"/>
      <c r="Y43" s="2248" t="s">
        <v>3055</v>
      </c>
      <c r="Z43" s="2249" t="s">
        <v>1987</v>
      </c>
      <c r="AA43" s="148"/>
      <c r="AB43" s="2248" t="s">
        <v>1933</v>
      </c>
      <c r="AC43" s="2249" t="s">
        <v>1987</v>
      </c>
      <c r="AK43" s="2248" t="s">
        <v>1933</v>
      </c>
      <c r="AL43" s="2285" t="s">
        <v>1987</v>
      </c>
      <c r="AQ43" s="3149" t="s">
        <v>8415</v>
      </c>
      <c r="AR43" s="3150" t="s">
        <v>1987</v>
      </c>
      <c r="AT43" s="2272" t="s">
        <v>4427</v>
      </c>
      <c r="AU43" s="2249" t="s">
        <v>1987</v>
      </c>
      <c r="AW43" s="2272" t="s">
        <v>4444</v>
      </c>
      <c r="AX43" s="2249" t="s">
        <v>1987</v>
      </c>
      <c r="BC43" s="2248" t="s">
        <v>1933</v>
      </c>
      <c r="BD43" s="2249" t="s">
        <v>1987</v>
      </c>
      <c r="BF43" s="2248" t="s">
        <v>1925</v>
      </c>
      <c r="BG43" s="2273" t="s">
        <v>1987</v>
      </c>
      <c r="BI43" s="1124"/>
    </row>
    <row r="44" spans="1:62" ht="12" thickBot="1" x14ac:dyDescent="0.4">
      <c r="A44" s="1124" t="s">
        <v>4563</v>
      </c>
      <c r="B44" s="1125"/>
      <c r="C44" s="148"/>
      <c r="D44" s="2286" t="s">
        <v>51</v>
      </c>
      <c r="E44" s="2249"/>
      <c r="F44" s="148"/>
      <c r="G44" s="2248" t="s">
        <v>4221</v>
      </c>
      <c r="H44" s="2249" t="s">
        <v>1987</v>
      </c>
      <c r="I44" s="148"/>
      <c r="J44" s="148"/>
      <c r="K44" s="148"/>
      <c r="L44" s="148"/>
      <c r="M44" s="2248" t="s">
        <v>1874</v>
      </c>
      <c r="N44" s="2249" t="s">
        <v>1987</v>
      </c>
      <c r="O44" s="148"/>
      <c r="P44" s="148"/>
      <c r="Q44" s="148"/>
      <c r="R44" s="148"/>
      <c r="S44" s="148"/>
      <c r="T44" s="148"/>
      <c r="U44" s="148"/>
      <c r="V44" s="2248" t="s">
        <v>1933</v>
      </c>
      <c r="W44" s="2249" t="s">
        <v>1987</v>
      </c>
      <c r="X44" s="148"/>
      <c r="Y44" s="2248" t="s">
        <v>3058</v>
      </c>
      <c r="Z44" s="2249" t="s">
        <v>1987</v>
      </c>
      <c r="AA44" s="148"/>
      <c r="AB44" s="2248" t="s">
        <v>1935</v>
      </c>
      <c r="AC44" s="2249" t="s">
        <v>1987</v>
      </c>
      <c r="AK44" s="2248" t="s">
        <v>1935</v>
      </c>
      <c r="AL44" s="2285" t="s">
        <v>1987</v>
      </c>
      <c r="AQ44" s="3149" t="s">
        <v>8414</v>
      </c>
      <c r="AR44" s="3150" t="s">
        <v>1987</v>
      </c>
      <c r="AT44" s="2272" t="s">
        <v>4428</v>
      </c>
      <c r="AU44" s="2249" t="s">
        <v>1987</v>
      </c>
      <c r="AW44" s="2272" t="s">
        <v>4422</v>
      </c>
      <c r="AX44" s="2249" t="s">
        <v>1987</v>
      </c>
      <c r="BC44" s="2248" t="s">
        <v>1935</v>
      </c>
      <c r="BD44" s="2249" t="s">
        <v>1987</v>
      </c>
      <c r="BF44" s="2248" t="s">
        <v>1927</v>
      </c>
      <c r="BG44" s="2269" t="s">
        <v>1237</v>
      </c>
      <c r="BI44" s="1124"/>
    </row>
    <row r="45" spans="1:62" x14ac:dyDescent="0.35">
      <c r="A45" s="607" t="s">
        <v>4583</v>
      </c>
      <c r="B45" s="2269" t="s">
        <v>1987</v>
      </c>
      <c r="C45" s="148"/>
      <c r="D45" s="2286" t="s">
        <v>1901</v>
      </c>
      <c r="E45" s="2249"/>
      <c r="F45" s="148"/>
      <c r="G45" s="2248" t="s">
        <v>4224</v>
      </c>
      <c r="H45" s="2249" t="s">
        <v>1987</v>
      </c>
      <c r="I45" s="148"/>
      <c r="J45" s="148"/>
      <c r="K45" s="148"/>
      <c r="L45" s="148"/>
      <c r="M45" s="2248" t="s">
        <v>1877</v>
      </c>
      <c r="N45" s="2249" t="s">
        <v>1987</v>
      </c>
      <c r="O45" s="148"/>
      <c r="P45" s="148"/>
      <c r="Q45" s="148"/>
      <c r="R45" s="148"/>
      <c r="S45" s="148"/>
      <c r="T45" s="148"/>
      <c r="U45" s="148"/>
      <c r="V45" s="2248" t="s">
        <v>1935</v>
      </c>
      <c r="W45" s="2249" t="s">
        <v>1987</v>
      </c>
      <c r="X45" s="148"/>
      <c r="Y45" s="2248" t="s">
        <v>4179</v>
      </c>
      <c r="Z45" s="2249" t="s">
        <v>1987</v>
      </c>
      <c r="AA45" s="148"/>
      <c r="AB45" s="2248" t="s">
        <v>3330</v>
      </c>
      <c r="AC45" s="2249" t="s">
        <v>1987</v>
      </c>
      <c r="AK45" s="3149" t="s">
        <v>8369</v>
      </c>
      <c r="AL45" s="3150" t="s">
        <v>1987</v>
      </c>
      <c r="AQ45" s="2248" t="s">
        <v>47</v>
      </c>
      <c r="AR45" s="2273" t="s">
        <v>1987</v>
      </c>
      <c r="AT45" s="2272" t="s">
        <v>4429</v>
      </c>
      <c r="AU45" s="2249" t="s">
        <v>1987</v>
      </c>
      <c r="AW45" s="2272" t="s">
        <v>4424</v>
      </c>
      <c r="AX45" s="2249" t="s">
        <v>1987</v>
      </c>
      <c r="BC45" s="2248" t="s">
        <v>3330</v>
      </c>
      <c r="BD45" s="2249" t="s">
        <v>1987</v>
      </c>
      <c r="BF45" s="2248" t="s">
        <v>1929</v>
      </c>
      <c r="BG45" s="2273" t="s">
        <v>1987</v>
      </c>
      <c r="BI45" s="1124"/>
    </row>
    <row r="46" spans="1:62" ht="12" thickBot="1" x14ac:dyDescent="0.4">
      <c r="A46" s="2248" t="s">
        <v>990</v>
      </c>
      <c r="B46" s="2269" t="s">
        <v>1987</v>
      </c>
      <c r="C46" s="148"/>
      <c r="D46" s="2286" t="s">
        <v>1903</v>
      </c>
      <c r="E46" s="2249"/>
      <c r="F46" s="148"/>
      <c r="G46" s="2248" t="s">
        <v>3056</v>
      </c>
      <c r="H46" s="2249" t="s">
        <v>1987</v>
      </c>
      <c r="I46" s="148"/>
      <c r="J46" s="1124"/>
      <c r="K46" s="148"/>
      <c r="L46" s="148"/>
      <c r="M46" s="2248" t="s">
        <v>1880</v>
      </c>
      <c r="N46" s="2249" t="s">
        <v>1987</v>
      </c>
      <c r="O46" s="148"/>
      <c r="P46" s="148"/>
      <c r="Q46" s="148"/>
      <c r="R46" s="148"/>
      <c r="S46" s="148"/>
      <c r="T46" s="148"/>
      <c r="U46" s="148"/>
      <c r="V46" s="2248" t="s">
        <v>3330</v>
      </c>
      <c r="W46" s="2249" t="s">
        <v>1987</v>
      </c>
      <c r="X46" s="148"/>
      <c r="Y46" s="2248" t="s">
        <v>2983</v>
      </c>
      <c r="Z46" s="2249" t="s">
        <v>1987</v>
      </c>
      <c r="AA46" s="148"/>
      <c r="AB46" s="2248" t="s">
        <v>2369</v>
      </c>
      <c r="AC46" s="2249" t="s">
        <v>1987</v>
      </c>
      <c r="AK46" s="2747" t="s">
        <v>7690</v>
      </c>
      <c r="AL46" s="2748" t="s">
        <v>1987</v>
      </c>
      <c r="AQ46" s="2248" t="s">
        <v>49</v>
      </c>
      <c r="AR46" s="2273" t="s">
        <v>1987</v>
      </c>
      <c r="AT46" s="2272" t="s">
        <v>4430</v>
      </c>
      <c r="AU46" s="2249" t="s">
        <v>1987</v>
      </c>
      <c r="AW46" s="2272" t="s">
        <v>4426</v>
      </c>
      <c r="AX46" s="2249" t="s">
        <v>1987</v>
      </c>
      <c r="BC46" s="2248" t="s">
        <v>2369</v>
      </c>
      <c r="BD46" s="2249" t="s">
        <v>1987</v>
      </c>
      <c r="BF46" s="2248" t="s">
        <v>1931</v>
      </c>
      <c r="BG46" s="2269" t="s">
        <v>1987</v>
      </c>
      <c r="BH46" s="115"/>
      <c r="BI46" s="606"/>
      <c r="BJ46" s="115"/>
    </row>
    <row r="47" spans="1:62" ht="12" thickBot="1" x14ac:dyDescent="0.4">
      <c r="A47" s="2248" t="s">
        <v>2371</v>
      </c>
      <c r="B47" s="2269" t="s">
        <v>1987</v>
      </c>
      <c r="C47" s="148"/>
      <c r="D47" s="2286" t="s">
        <v>1905</v>
      </c>
      <c r="E47" s="2249"/>
      <c r="F47" s="148"/>
      <c r="G47" s="2248" t="s">
        <v>3059</v>
      </c>
      <c r="H47" s="2249" t="s">
        <v>1987</v>
      </c>
      <c r="I47" s="148"/>
      <c r="J47" s="1124"/>
      <c r="K47" s="148"/>
      <c r="L47" s="148"/>
      <c r="M47" s="2248" t="s">
        <v>43</v>
      </c>
      <c r="N47" s="2249" t="s">
        <v>1987</v>
      </c>
      <c r="O47" s="148"/>
      <c r="P47" s="148"/>
      <c r="Q47" s="148"/>
      <c r="R47" s="148"/>
      <c r="S47" s="148"/>
      <c r="T47" s="148"/>
      <c r="U47" s="148"/>
      <c r="V47" s="2248" t="s">
        <v>2369</v>
      </c>
      <c r="W47" s="2249" t="s">
        <v>1987</v>
      </c>
      <c r="X47" s="148"/>
      <c r="Y47" s="2248" t="s">
        <v>2986</v>
      </c>
      <c r="Z47" s="2249" t="s">
        <v>1987</v>
      </c>
      <c r="AA47" s="148"/>
      <c r="AB47" s="2248" t="s">
        <v>2372</v>
      </c>
      <c r="AC47" s="2249" t="s">
        <v>1987</v>
      </c>
      <c r="AK47" s="2248" t="s">
        <v>3330</v>
      </c>
      <c r="AL47" s="2285" t="s">
        <v>1987</v>
      </c>
      <c r="AQ47" s="2248" t="s">
        <v>51</v>
      </c>
      <c r="AR47" s="2273" t="s">
        <v>1987</v>
      </c>
      <c r="AT47" s="2272" t="s">
        <v>4431</v>
      </c>
      <c r="AU47" s="2249" t="s">
        <v>1987</v>
      </c>
      <c r="AW47" s="2272" t="s">
        <v>4445</v>
      </c>
      <c r="AX47" s="2249" t="s">
        <v>1987</v>
      </c>
      <c r="BC47" s="2248" t="s">
        <v>2372</v>
      </c>
      <c r="BD47" s="2249" t="s">
        <v>1987</v>
      </c>
      <c r="BF47" s="610" t="s">
        <v>1933</v>
      </c>
      <c r="BG47" s="2269" t="s">
        <v>1987</v>
      </c>
      <c r="BH47" s="115"/>
      <c r="BI47" s="606"/>
      <c r="BJ47" s="115"/>
    </row>
    <row r="48" spans="1:62" ht="12" thickBot="1" x14ac:dyDescent="0.4">
      <c r="A48" s="2248" t="s">
        <v>2374</v>
      </c>
      <c r="B48" s="2269" t="s">
        <v>1987</v>
      </c>
      <c r="G48" s="610" t="s">
        <v>2981</v>
      </c>
      <c r="H48" s="2249" t="s">
        <v>1987</v>
      </c>
      <c r="M48" s="610" t="s">
        <v>45</v>
      </c>
      <c r="N48" s="2249" t="s">
        <v>1987</v>
      </c>
      <c r="V48" s="2248" t="s">
        <v>2372</v>
      </c>
      <c r="W48" s="2249" t="s">
        <v>1987</v>
      </c>
      <c r="X48" s="148"/>
      <c r="Y48" s="2248" t="s">
        <v>2989</v>
      </c>
      <c r="Z48" s="2249" t="s">
        <v>1987</v>
      </c>
      <c r="AB48" s="2248" t="s">
        <v>2375</v>
      </c>
      <c r="AC48" s="2249" t="s">
        <v>1987</v>
      </c>
      <c r="AK48" s="2248" t="s">
        <v>2369</v>
      </c>
      <c r="AL48" s="2285" t="s">
        <v>1987</v>
      </c>
      <c r="AQ48" s="2248" t="s">
        <v>1901</v>
      </c>
      <c r="AR48" s="2273" t="s">
        <v>1987</v>
      </c>
      <c r="AT48" s="2272" t="s">
        <v>4432</v>
      </c>
      <c r="AU48" s="2249" t="s">
        <v>1987</v>
      </c>
      <c r="AW48" s="2272">
        <v>33</v>
      </c>
      <c r="AX48" s="2249" t="s">
        <v>1987</v>
      </c>
      <c r="BC48" s="2248" t="s">
        <v>2375</v>
      </c>
      <c r="BD48" s="2249" t="s">
        <v>1987</v>
      </c>
    </row>
    <row r="49" spans="1:56" ht="12" thickBot="1" x14ac:dyDescent="0.4">
      <c r="A49" s="2248" t="s">
        <v>2377</v>
      </c>
      <c r="B49" s="2284" t="s">
        <v>1987</v>
      </c>
      <c r="M49" s="2747" t="s">
        <v>8528</v>
      </c>
      <c r="N49" s="2249" t="s">
        <v>1987</v>
      </c>
      <c r="V49" s="2248" t="s">
        <v>2375</v>
      </c>
      <c r="W49" s="2249" t="s">
        <v>1987</v>
      </c>
      <c r="X49" s="148"/>
      <c r="Y49" s="2248" t="s">
        <v>2402</v>
      </c>
      <c r="Z49" s="2249" t="s">
        <v>1987</v>
      </c>
      <c r="AB49" s="2248" t="s">
        <v>2378</v>
      </c>
      <c r="AC49" s="2249" t="s">
        <v>1987</v>
      </c>
      <c r="AK49" s="2248" t="s">
        <v>2372</v>
      </c>
      <c r="AL49" s="2285" t="s">
        <v>1987</v>
      </c>
      <c r="AQ49" s="2248" t="s">
        <v>1903</v>
      </c>
      <c r="AR49" s="2273" t="s">
        <v>1987</v>
      </c>
      <c r="AT49" s="2272" t="s">
        <v>4433</v>
      </c>
      <c r="AU49" s="2249" t="s">
        <v>1987</v>
      </c>
      <c r="AW49" s="2272">
        <v>34</v>
      </c>
      <c r="AX49" s="2249" t="s">
        <v>1987</v>
      </c>
      <c r="BC49" s="2248" t="s">
        <v>2378</v>
      </c>
      <c r="BD49" s="2249" t="s">
        <v>1987</v>
      </c>
    </row>
    <row r="50" spans="1:56" x14ac:dyDescent="0.35">
      <c r="A50" s="2248" t="s">
        <v>2380</v>
      </c>
      <c r="B50" s="2284" t="s">
        <v>1987</v>
      </c>
      <c r="V50" s="2248" t="s">
        <v>2378</v>
      </c>
      <c r="W50" s="2249" t="s">
        <v>1987</v>
      </c>
      <c r="X50" s="148"/>
      <c r="Y50" s="2248" t="s">
        <v>1750</v>
      </c>
      <c r="Z50" s="2249" t="s">
        <v>1987</v>
      </c>
      <c r="AB50" s="2248" t="s">
        <v>2381</v>
      </c>
      <c r="AC50" s="2249" t="s">
        <v>1987</v>
      </c>
      <c r="AK50" s="2248" t="s">
        <v>2375</v>
      </c>
      <c r="AL50" s="2285" t="s">
        <v>1987</v>
      </c>
      <c r="AQ50" s="2248" t="s">
        <v>1905</v>
      </c>
      <c r="AR50" s="2273" t="s">
        <v>1987</v>
      </c>
      <c r="AT50" s="2272">
        <v>5</v>
      </c>
      <c r="AU50" s="2249" t="s">
        <v>1987</v>
      </c>
      <c r="AW50" s="2272">
        <v>35</v>
      </c>
      <c r="AX50" s="2249" t="s">
        <v>1987</v>
      </c>
      <c r="BC50" s="2248" t="s">
        <v>2381</v>
      </c>
      <c r="BD50" s="2249" t="s">
        <v>1987</v>
      </c>
    </row>
    <row r="51" spans="1:56" x14ac:dyDescent="0.35">
      <c r="A51" s="2954" t="s">
        <v>7312</v>
      </c>
      <c r="B51" s="2269" t="s">
        <v>1987</v>
      </c>
      <c r="V51" s="2248" t="s">
        <v>2381</v>
      </c>
      <c r="W51" s="2249" t="s">
        <v>1987</v>
      </c>
      <c r="X51" s="148"/>
      <c r="Y51" s="2248" t="s">
        <v>1876</v>
      </c>
      <c r="Z51" s="2249" t="s">
        <v>1987</v>
      </c>
      <c r="AB51" s="2248" t="s">
        <v>2384</v>
      </c>
      <c r="AC51" s="2249" t="s">
        <v>1987</v>
      </c>
      <c r="AK51" s="2248" t="s">
        <v>2378</v>
      </c>
      <c r="AL51" s="2285" t="s">
        <v>1987</v>
      </c>
      <c r="AQ51" s="2248" t="s">
        <v>1907</v>
      </c>
      <c r="AR51" s="2273" t="s">
        <v>1987</v>
      </c>
      <c r="AT51" s="2272">
        <v>6</v>
      </c>
      <c r="AU51" s="2249" t="s">
        <v>1987</v>
      </c>
      <c r="AW51" s="2272">
        <v>36</v>
      </c>
      <c r="AX51" s="2249" t="s">
        <v>1987</v>
      </c>
      <c r="BC51" s="2248" t="s">
        <v>2384</v>
      </c>
      <c r="BD51" s="2249" t="s">
        <v>1987</v>
      </c>
    </row>
    <row r="52" spans="1:56" ht="12" thickBot="1" x14ac:dyDescent="0.4">
      <c r="A52" s="2955" t="s">
        <v>7313</v>
      </c>
      <c r="B52" s="2269" t="s">
        <v>1987</v>
      </c>
      <c r="V52" s="2248" t="s">
        <v>2384</v>
      </c>
      <c r="W52" s="2249" t="s">
        <v>1987</v>
      </c>
      <c r="X52" s="148"/>
      <c r="Y52" s="2248" t="s">
        <v>1879</v>
      </c>
      <c r="Z52" s="2249" t="s">
        <v>1987</v>
      </c>
      <c r="AB52" s="2248" t="s">
        <v>4222</v>
      </c>
      <c r="AC52" s="2249" t="s">
        <v>1987</v>
      </c>
      <c r="AK52" s="2248" t="s">
        <v>2381</v>
      </c>
      <c r="AL52" s="2285" t="s">
        <v>1987</v>
      </c>
      <c r="AQ52" s="2248" t="s">
        <v>1909</v>
      </c>
      <c r="AR52" s="2273" t="s">
        <v>1987</v>
      </c>
      <c r="AT52" s="2274">
        <v>7</v>
      </c>
      <c r="AU52" s="2268"/>
      <c r="AW52" s="2272">
        <v>37</v>
      </c>
      <c r="AX52" s="2249" t="s">
        <v>1987</v>
      </c>
      <c r="BC52" s="2248" t="s">
        <v>4222</v>
      </c>
      <c r="BD52" s="2249" t="s">
        <v>1987</v>
      </c>
    </row>
    <row r="53" spans="1:56" ht="12" thickBot="1" x14ac:dyDescent="0.4">
      <c r="V53" s="2248" t="s">
        <v>4222</v>
      </c>
      <c r="W53" s="2249" t="s">
        <v>1987</v>
      </c>
      <c r="X53" s="148"/>
      <c r="Y53" s="2248" t="s">
        <v>1749</v>
      </c>
      <c r="Z53" s="2249" t="s">
        <v>1987</v>
      </c>
      <c r="AB53" s="610" t="s">
        <v>3054</v>
      </c>
      <c r="AC53" s="2249" t="s">
        <v>1987</v>
      </c>
      <c r="AK53" s="2248" t="s">
        <v>2384</v>
      </c>
      <c r="AL53" s="2285" t="s">
        <v>1987</v>
      </c>
      <c r="AQ53" s="2248" t="s">
        <v>1911</v>
      </c>
      <c r="AR53" s="2273">
        <v>47197</v>
      </c>
      <c r="AT53" s="2272" t="s">
        <v>4400</v>
      </c>
      <c r="AU53" s="2249" t="s">
        <v>1987</v>
      </c>
      <c r="AW53" s="2272">
        <v>38</v>
      </c>
      <c r="AX53" s="2249" t="s">
        <v>1987</v>
      </c>
      <c r="BC53" s="2248" t="s">
        <v>3054</v>
      </c>
      <c r="BD53" s="2249" t="s">
        <v>1987</v>
      </c>
    </row>
    <row r="54" spans="1:56" ht="12" thickBot="1" x14ac:dyDescent="0.4">
      <c r="V54" s="2248" t="s">
        <v>3054</v>
      </c>
      <c r="W54" s="2249" t="s">
        <v>1987</v>
      </c>
      <c r="X54" s="148"/>
      <c r="Y54" s="610" t="s">
        <v>792</v>
      </c>
      <c r="Z54" s="2249" t="s">
        <v>1987</v>
      </c>
      <c r="AK54" s="2248" t="s">
        <v>4222</v>
      </c>
      <c r="AL54" s="2285" t="s">
        <v>1987</v>
      </c>
      <c r="AQ54" s="2248" t="s">
        <v>1913</v>
      </c>
      <c r="AR54" s="2273" t="s">
        <v>1987</v>
      </c>
      <c r="AT54" s="2272" t="s">
        <v>4401</v>
      </c>
      <c r="AU54" s="2249" t="s">
        <v>1987</v>
      </c>
      <c r="AW54" s="2272">
        <v>39</v>
      </c>
      <c r="AX54" s="2249" t="s">
        <v>1987</v>
      </c>
      <c r="BC54" s="2248" t="s">
        <v>3057</v>
      </c>
      <c r="BD54" s="2249" t="s">
        <v>1987</v>
      </c>
    </row>
    <row r="55" spans="1:56" x14ac:dyDescent="0.35">
      <c r="V55" s="2248" t="s">
        <v>3057</v>
      </c>
      <c r="W55" s="2249" t="s">
        <v>1987</v>
      </c>
      <c r="X55" s="148"/>
      <c r="AK55" s="2248" t="s">
        <v>3054</v>
      </c>
      <c r="AL55" s="2285" t="s">
        <v>1987</v>
      </c>
      <c r="AQ55" s="2248" t="s">
        <v>1915</v>
      </c>
      <c r="AR55" s="2273" t="s">
        <v>1987</v>
      </c>
      <c r="AT55" s="2272" t="s">
        <v>4402</v>
      </c>
      <c r="AU55" s="2249" t="s">
        <v>1987</v>
      </c>
      <c r="AW55" s="2272">
        <v>40</v>
      </c>
      <c r="AX55" s="2249" t="s">
        <v>1987</v>
      </c>
      <c r="BC55" s="2248" t="s">
        <v>3060</v>
      </c>
      <c r="BD55" s="2249" t="s">
        <v>1987</v>
      </c>
    </row>
    <row r="56" spans="1:56" ht="12" thickBot="1" x14ac:dyDescent="0.4">
      <c r="V56" s="610" t="s">
        <v>3060</v>
      </c>
      <c r="W56" s="2249" t="s">
        <v>1987</v>
      </c>
      <c r="X56" s="148"/>
      <c r="AK56" s="610" t="s">
        <v>3057</v>
      </c>
      <c r="AL56" s="2285" t="s">
        <v>1987</v>
      </c>
      <c r="AQ56" s="2248" t="s">
        <v>1917</v>
      </c>
      <c r="AR56" s="2273" t="s">
        <v>1987</v>
      </c>
      <c r="AT56" s="2272" t="s">
        <v>4434</v>
      </c>
      <c r="AU56" s="2249" t="s">
        <v>1987</v>
      </c>
      <c r="AW56" s="2272">
        <v>41</v>
      </c>
      <c r="AX56" s="2249" t="s">
        <v>1987</v>
      </c>
      <c r="BC56" s="2248" t="s">
        <v>2982</v>
      </c>
      <c r="BD56" s="2249" t="s">
        <v>1987</v>
      </c>
    </row>
    <row r="57" spans="1:56" ht="12" thickBot="1" x14ac:dyDescent="0.4">
      <c r="W57" s="148"/>
      <c r="X57" s="148"/>
      <c r="Y57" s="148"/>
      <c r="Z57" s="148"/>
      <c r="AA57" s="148"/>
      <c r="AQ57" s="3433" t="s">
        <v>1919</v>
      </c>
      <c r="AR57" s="3434"/>
      <c r="AT57" s="2272" t="s">
        <v>4404</v>
      </c>
      <c r="AU57" s="2249" t="s">
        <v>1987</v>
      </c>
      <c r="AW57" s="2272">
        <v>42</v>
      </c>
      <c r="AX57" s="2249" t="s">
        <v>1987</v>
      </c>
      <c r="BC57" s="610" t="s">
        <v>2985</v>
      </c>
      <c r="BD57" s="2249" t="s">
        <v>1987</v>
      </c>
    </row>
    <row r="58" spans="1:56" x14ac:dyDescent="0.35">
      <c r="X58" s="148"/>
      <c r="AQ58" s="2248" t="s">
        <v>1921</v>
      </c>
      <c r="AR58" s="2273" t="s">
        <v>1987</v>
      </c>
      <c r="AT58" s="2272" t="s">
        <v>4435</v>
      </c>
      <c r="AU58" s="2249" t="s">
        <v>1987</v>
      </c>
      <c r="AW58" s="2272">
        <v>43</v>
      </c>
      <c r="AX58" s="2249" t="s">
        <v>1987</v>
      </c>
    </row>
    <row r="59" spans="1:56" x14ac:dyDescent="0.35">
      <c r="X59" s="148"/>
      <c r="AQ59" s="2248" t="s">
        <v>1923</v>
      </c>
      <c r="AR59" s="2273" t="s">
        <v>1987</v>
      </c>
      <c r="AT59" s="2272">
        <v>8</v>
      </c>
      <c r="AU59" s="2249" t="s">
        <v>1987</v>
      </c>
      <c r="AW59" s="2272">
        <v>44</v>
      </c>
      <c r="AX59" s="2250" t="s">
        <v>1987</v>
      </c>
    </row>
    <row r="60" spans="1:56" x14ac:dyDescent="0.35">
      <c r="AQ60" s="2248" t="s">
        <v>1925</v>
      </c>
      <c r="AR60" s="2273">
        <v>5379</v>
      </c>
      <c r="AT60" s="2272">
        <v>9</v>
      </c>
      <c r="AU60" s="2249" t="s">
        <v>1987</v>
      </c>
      <c r="AW60" s="2272">
        <v>45</v>
      </c>
      <c r="AX60" s="2249" t="s">
        <v>1987</v>
      </c>
    </row>
    <row r="61" spans="1:56" ht="12" thickBot="1" x14ac:dyDescent="0.4">
      <c r="AQ61" s="2248" t="s">
        <v>1927</v>
      </c>
      <c r="AR61" s="2273" t="s">
        <v>1987</v>
      </c>
      <c r="AT61" s="2272" t="s">
        <v>4400</v>
      </c>
      <c r="AU61" s="2249" t="s">
        <v>1987</v>
      </c>
      <c r="AW61" s="2276">
        <v>46</v>
      </c>
      <c r="AX61" s="2249" t="s">
        <v>1987</v>
      </c>
    </row>
    <row r="62" spans="1:56" x14ac:dyDescent="0.35">
      <c r="AQ62" s="2248" t="s">
        <v>1929</v>
      </c>
      <c r="AR62" s="2273">
        <v>1204</v>
      </c>
      <c r="AT62" s="2272" t="s">
        <v>4401</v>
      </c>
      <c r="AU62" s="2249" t="s">
        <v>1987</v>
      </c>
    </row>
    <row r="63" spans="1:56" x14ac:dyDescent="0.35">
      <c r="AQ63" s="2248" t="s">
        <v>1931</v>
      </c>
      <c r="AR63" s="2273">
        <v>1204</v>
      </c>
      <c r="AT63" s="2272" t="s">
        <v>4402</v>
      </c>
      <c r="AU63" s="2249" t="s">
        <v>1987</v>
      </c>
    </row>
    <row r="64" spans="1:56" x14ac:dyDescent="0.35">
      <c r="AQ64" s="2248" t="s">
        <v>1933</v>
      </c>
      <c r="AR64" s="2273" t="s">
        <v>1987</v>
      </c>
      <c r="AT64" s="2272" t="s">
        <v>4436</v>
      </c>
      <c r="AU64" s="2249" t="s">
        <v>1987</v>
      </c>
    </row>
    <row r="65" spans="43:47" x14ac:dyDescent="0.35">
      <c r="AQ65" s="2248" t="s">
        <v>1935</v>
      </c>
      <c r="AR65" s="2273" t="s">
        <v>1987</v>
      </c>
      <c r="AT65" s="2272" t="s">
        <v>4404</v>
      </c>
      <c r="AU65" s="2249" t="s">
        <v>1987</v>
      </c>
    </row>
    <row r="66" spans="43:47" x14ac:dyDescent="0.35">
      <c r="AQ66" s="2248" t="s">
        <v>3330</v>
      </c>
      <c r="AR66" s="2273" t="s">
        <v>1987</v>
      </c>
      <c r="AT66" s="2272" t="s">
        <v>4437</v>
      </c>
      <c r="AU66" s="2249" t="s">
        <v>1987</v>
      </c>
    </row>
    <row r="67" spans="43:47" ht="12" thickBot="1" x14ac:dyDescent="0.4">
      <c r="AQ67" s="610" t="s">
        <v>2369</v>
      </c>
      <c r="AR67" s="2273" t="s">
        <v>1987</v>
      </c>
      <c r="AT67" s="2272">
        <v>10</v>
      </c>
      <c r="AU67" s="2249" t="s">
        <v>1987</v>
      </c>
    </row>
    <row r="68" spans="43:47" ht="12" thickBot="1" x14ac:dyDescent="0.4">
      <c r="AQ68" s="2747" t="s">
        <v>2372</v>
      </c>
      <c r="AR68" s="2748" t="s">
        <v>1987</v>
      </c>
      <c r="AT68" s="2272">
        <v>11</v>
      </c>
      <c r="AU68" s="2249" t="s">
        <v>1987</v>
      </c>
    </row>
    <row r="69" spans="43:47" ht="12" thickBot="1" x14ac:dyDescent="0.4">
      <c r="AQ69" s="3776" t="s">
        <v>2375</v>
      </c>
      <c r="AR69" s="2748"/>
      <c r="AT69" s="2272" t="s">
        <v>2919</v>
      </c>
      <c r="AU69" s="2249" t="s">
        <v>1987</v>
      </c>
    </row>
    <row r="70" spans="43:47" x14ac:dyDescent="0.35">
      <c r="AT70" s="2272" t="s">
        <v>2920</v>
      </c>
      <c r="AU70" s="2249" t="s">
        <v>1987</v>
      </c>
    </row>
    <row r="71" spans="43:47" x14ac:dyDescent="0.35">
      <c r="AT71" s="2272" t="s">
        <v>2921</v>
      </c>
      <c r="AU71" s="2249" t="s">
        <v>1987</v>
      </c>
    </row>
    <row r="72" spans="43:47" x14ac:dyDescent="0.35">
      <c r="AT72" s="2272" t="s">
        <v>2922</v>
      </c>
      <c r="AU72" s="2249" t="s">
        <v>1987</v>
      </c>
    </row>
    <row r="73" spans="43:47" x14ac:dyDescent="0.35">
      <c r="AT73" s="2272" t="s">
        <v>2923</v>
      </c>
      <c r="AU73" s="2249" t="s">
        <v>1987</v>
      </c>
    </row>
    <row r="74" spans="43:47" x14ac:dyDescent="0.35">
      <c r="AT74" s="2272" t="s">
        <v>2924</v>
      </c>
      <c r="AU74" s="2249" t="s">
        <v>1987</v>
      </c>
    </row>
    <row r="75" spans="43:47" x14ac:dyDescent="0.35">
      <c r="AT75" s="2272">
        <v>12</v>
      </c>
      <c r="AU75" s="2249" t="s">
        <v>1987</v>
      </c>
    </row>
    <row r="76" spans="43:47" ht="12" thickBot="1" x14ac:dyDescent="0.4">
      <c r="AT76" s="2276">
        <v>13</v>
      </c>
      <c r="AU76" s="2249" t="s">
        <v>1987</v>
      </c>
    </row>
    <row r="77" spans="43:47" ht="12" thickBot="1" x14ac:dyDescent="0.4">
      <c r="AT77" s="3144">
        <v>13.1</v>
      </c>
      <c r="AU77" s="3038" t="s">
        <v>1987</v>
      </c>
    </row>
  </sheetData>
  <phoneticPr fontId="68" type="noConversion"/>
  <pageMargins left="0.19685039370078741" right="0.19685039370078741" top="0.19685039370078741" bottom="0.19685039370078741" header="0" footer="0"/>
  <pageSetup paperSize="9" scale="67" fitToWidth="2" orientation="landscape" horizontalDpi="1200" verticalDpi="1200" r:id="rId1"/>
  <headerFooter alignWithMargins="0"/>
  <colBreaks count="1" manualBreakCount="1">
    <brk id="32"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pageSetUpPr fitToPage="1"/>
  </sheetPr>
  <dimension ref="A1:L49"/>
  <sheetViews>
    <sheetView showGridLines="0" topLeftCell="A22" workbookViewId="0">
      <selection activeCell="L24" sqref="L24:L25"/>
    </sheetView>
  </sheetViews>
  <sheetFormatPr defaultColWidth="8.86328125" defaultRowHeight="13.15" x14ac:dyDescent="0.4"/>
  <cols>
    <col min="1" max="1" width="1.1328125" style="12" customWidth="1"/>
    <col min="2" max="2" width="6.3984375" style="12" customWidth="1"/>
    <col min="3" max="3" width="5.86328125" style="12" customWidth="1"/>
    <col min="4" max="4" width="23.59765625" style="11" customWidth="1"/>
    <col min="5" max="5" width="12.1328125" style="11" customWidth="1"/>
    <col min="6" max="6" width="10.73046875" style="11" customWidth="1"/>
    <col min="7" max="7" width="13.1328125" style="11" customWidth="1"/>
    <col min="8" max="8" width="11" style="12" customWidth="1"/>
    <col min="9" max="9" width="12.86328125" style="17" customWidth="1"/>
    <col min="10" max="10" width="2" style="12" customWidth="1"/>
    <col min="11" max="16384" width="8.86328125" style="12"/>
  </cols>
  <sheetData>
    <row r="1" spans="1:12" ht="32.25" customHeight="1" thickBot="1" x14ac:dyDescent="0.45">
      <c r="A1" s="1088"/>
      <c r="B1" s="2505"/>
      <c r="C1" s="2506"/>
      <c r="D1" s="1063"/>
      <c r="E1" s="1063"/>
      <c r="F1" s="1063"/>
      <c r="G1" s="2505"/>
      <c r="H1" s="1087"/>
      <c r="I1" s="1087"/>
      <c r="J1" s="869"/>
    </row>
    <row r="2" spans="1:12" ht="14.25" customHeight="1" thickTop="1" x14ac:dyDescent="0.4">
      <c r="A2" s="1089"/>
      <c r="B2" s="2507"/>
      <c r="C2" s="2507"/>
      <c r="D2" s="1054"/>
      <c r="E2" s="96"/>
      <c r="F2" s="96"/>
      <c r="G2" s="96"/>
      <c r="H2" s="96"/>
      <c r="I2" s="107"/>
      <c r="J2" s="869"/>
    </row>
    <row r="3" spans="1:12" x14ac:dyDescent="0.4">
      <c r="A3" s="434"/>
      <c r="B3" s="2507"/>
      <c r="C3" s="1055"/>
      <c r="D3" s="146"/>
      <c r="E3" s="96"/>
      <c r="F3" s="96"/>
      <c r="G3" s="146"/>
      <c r="H3" s="153"/>
      <c r="I3" s="153"/>
      <c r="J3" s="869"/>
    </row>
    <row r="4" spans="1:12" x14ac:dyDescent="0.4">
      <c r="A4" s="434"/>
      <c r="B4" s="2507"/>
      <c r="C4" s="1055"/>
      <c r="D4" s="146"/>
      <c r="E4" s="96"/>
      <c r="F4" s="2768"/>
      <c r="G4" s="2769"/>
      <c r="H4" s="2770"/>
      <c r="I4" s="107"/>
      <c r="J4" s="869"/>
      <c r="K4" s="3616"/>
      <c r="L4" s="3616"/>
    </row>
    <row r="5" spans="1:12" ht="18" customHeight="1" x14ac:dyDescent="0.4">
      <c r="A5" s="1089"/>
      <c r="B5" s="1089"/>
      <c r="C5" s="1089"/>
      <c r="D5" s="1089"/>
      <c r="E5" s="1089"/>
      <c r="F5" s="1089"/>
      <c r="G5" s="1089"/>
      <c r="H5" s="1089"/>
      <c r="I5" s="1089"/>
      <c r="J5" s="869"/>
      <c r="K5" s="3616"/>
      <c r="L5" s="3616"/>
    </row>
    <row r="6" spans="1:12" x14ac:dyDescent="0.4">
      <c r="A6" s="434"/>
      <c r="B6" s="2507"/>
      <c r="C6" s="1055"/>
      <c r="D6" s="1056"/>
      <c r="E6" s="626"/>
      <c r="F6" s="96"/>
      <c r="G6" s="96"/>
      <c r="H6" s="96"/>
      <c r="I6" s="96"/>
      <c r="J6" s="869"/>
      <c r="K6" s="3616"/>
      <c r="L6" s="3616"/>
    </row>
    <row r="7" spans="1:12" x14ac:dyDescent="0.4">
      <c r="A7" s="1089"/>
      <c r="B7" s="2507"/>
      <c r="C7" s="2507"/>
      <c r="D7" s="96"/>
      <c r="E7" s="96"/>
      <c r="F7" s="96"/>
      <c r="G7" s="100"/>
      <c r="H7" s="1057"/>
      <c r="I7" s="107"/>
      <c r="J7" s="869"/>
      <c r="K7" s="3616"/>
      <c r="L7" s="3616"/>
    </row>
    <row r="8" spans="1:12" x14ac:dyDescent="0.4">
      <c r="A8" s="1089"/>
      <c r="B8" s="869"/>
      <c r="C8" s="869"/>
      <c r="D8" s="1089"/>
      <c r="E8" s="1089"/>
      <c r="F8" s="1089"/>
      <c r="G8" s="1089"/>
      <c r="H8" s="1089"/>
      <c r="I8" s="1089"/>
      <c r="J8" s="1089"/>
      <c r="K8" s="3616"/>
      <c r="L8" s="3616"/>
    </row>
    <row r="9" spans="1:12" ht="13.9" x14ac:dyDescent="0.4">
      <c r="A9" s="434"/>
      <c r="B9" s="108"/>
      <c r="C9" s="22"/>
      <c r="D9" s="146"/>
      <c r="E9" s="44"/>
      <c r="F9" s="146"/>
      <c r="G9" s="146"/>
      <c r="H9" s="146"/>
      <c r="I9" s="146"/>
      <c r="J9" s="7"/>
      <c r="K9" s="3616"/>
      <c r="L9" s="3616"/>
    </row>
    <row r="10" spans="1:12" x14ac:dyDescent="0.4">
      <c r="A10" s="434"/>
      <c r="B10" s="869"/>
      <c r="C10" s="869"/>
      <c r="D10" s="96"/>
      <c r="E10" s="96"/>
      <c r="F10" s="96"/>
      <c r="G10" s="96"/>
      <c r="H10" s="96"/>
      <c r="I10" s="96"/>
      <c r="J10" s="7"/>
      <c r="K10" s="3616"/>
      <c r="L10" s="3616"/>
    </row>
    <row r="11" spans="1:12" x14ac:dyDescent="0.4">
      <c r="A11" s="434"/>
      <c r="B11" s="106"/>
      <c r="C11" s="95"/>
      <c r="D11" s="435"/>
      <c r="E11" s="101"/>
      <c r="F11" s="96"/>
      <c r="G11" s="96"/>
      <c r="H11" s="96"/>
      <c r="I11" s="96"/>
      <c r="J11" s="7"/>
      <c r="K11" s="3616"/>
      <c r="L11" s="3616"/>
    </row>
    <row r="12" spans="1:12" x14ac:dyDescent="0.4">
      <c r="A12" s="434"/>
      <c r="B12" s="18"/>
      <c r="C12" s="18"/>
      <c r="D12" s="96"/>
      <c r="E12" s="92"/>
      <c r="F12" s="96"/>
      <c r="G12" s="96"/>
      <c r="H12" s="96"/>
      <c r="I12" s="146"/>
      <c r="J12" s="7"/>
      <c r="K12" s="3616"/>
      <c r="L12" s="3616"/>
    </row>
    <row r="13" spans="1:12" x14ac:dyDescent="0.4">
      <c r="A13" s="434"/>
      <c r="B13" s="96"/>
      <c r="C13" s="96"/>
      <c r="D13" s="146"/>
      <c r="E13" s="96"/>
      <c r="F13" s="856"/>
      <c r="G13" s="718"/>
      <c r="H13" s="96"/>
      <c r="I13" s="146"/>
      <c r="J13" s="7"/>
    </row>
    <row r="14" spans="1:12" x14ac:dyDescent="0.4">
      <c r="A14" s="434"/>
      <c r="B14" s="96"/>
      <c r="C14" s="96"/>
      <c r="D14" s="146"/>
      <c r="E14" s="96"/>
      <c r="F14" s="856"/>
      <c r="G14" s="718"/>
      <c r="H14" s="96"/>
      <c r="I14" s="146"/>
      <c r="J14" s="7"/>
    </row>
    <row r="15" spans="1:12" x14ac:dyDescent="0.4">
      <c r="A15" s="434"/>
      <c r="B15" s="96"/>
      <c r="C15" s="96"/>
      <c r="D15" s="146"/>
      <c r="E15" s="96"/>
      <c r="F15" s="856"/>
      <c r="G15" s="718"/>
      <c r="H15" s="96"/>
      <c r="I15" s="146"/>
      <c r="J15" s="7"/>
    </row>
    <row r="16" spans="1:12" x14ac:dyDescent="0.4">
      <c r="A16" s="434"/>
      <c r="B16" s="96"/>
      <c r="C16" s="96"/>
      <c r="D16" s="146"/>
      <c r="E16" s="96"/>
      <c r="F16" s="856"/>
      <c r="G16" s="718"/>
      <c r="H16" s="96"/>
      <c r="I16" s="146"/>
      <c r="J16" s="7"/>
    </row>
    <row r="17" spans="1:10" x14ac:dyDescent="0.4">
      <c r="A17" s="434"/>
      <c r="B17" s="92"/>
      <c r="C17" s="92"/>
      <c r="D17" s="146"/>
      <c r="E17" s="102"/>
      <c r="F17" s="429"/>
      <c r="G17" s="856"/>
      <c r="H17" s="96"/>
      <c r="I17" s="146"/>
      <c r="J17" s="7"/>
    </row>
    <row r="18" spans="1:10" x14ac:dyDescent="0.4">
      <c r="A18" s="434"/>
      <c r="B18" s="869"/>
      <c r="C18" s="869"/>
      <c r="D18" s="96"/>
      <c r="E18" s="102"/>
      <c r="F18" s="102"/>
      <c r="G18" s="96"/>
      <c r="H18" s="96"/>
      <c r="I18" s="146"/>
      <c r="J18" s="7"/>
    </row>
    <row r="19" spans="1:10" x14ac:dyDescent="0.4">
      <c r="A19" s="434"/>
      <c r="B19" s="106"/>
      <c r="C19" s="1090"/>
      <c r="D19" s="435"/>
      <c r="E19" s="1091"/>
      <c r="F19" s="102"/>
      <c r="G19" s="96"/>
      <c r="H19" s="96"/>
      <c r="I19" s="146"/>
      <c r="J19" s="7"/>
    </row>
    <row r="20" spans="1:10" x14ac:dyDescent="0.4">
      <c r="A20" s="434"/>
      <c r="B20" s="111"/>
      <c r="C20" s="111"/>
      <c r="D20" s="96"/>
      <c r="E20" s="102"/>
      <c r="F20" s="102"/>
      <c r="G20" s="96"/>
      <c r="H20" s="96"/>
      <c r="I20" s="146"/>
      <c r="J20" s="7"/>
    </row>
    <row r="21" spans="1:10" x14ac:dyDescent="0.4">
      <c r="A21" s="434"/>
      <c r="B21" s="96"/>
      <c r="C21" s="96"/>
      <c r="D21" s="146"/>
      <c r="E21" s="102"/>
      <c r="F21" s="856"/>
      <c r="G21" s="718"/>
      <c r="H21" s="96"/>
      <c r="I21" s="146"/>
      <c r="J21" s="7"/>
    </row>
    <row r="22" spans="1:10" x14ac:dyDescent="0.4">
      <c r="A22" s="434"/>
      <c r="B22" s="87"/>
      <c r="C22" s="87"/>
      <c r="D22" s="146"/>
      <c r="E22" s="102"/>
      <c r="F22" s="856"/>
      <c r="G22" s="718"/>
      <c r="H22" s="96"/>
      <c r="I22" s="146"/>
      <c r="J22" s="7"/>
    </row>
    <row r="23" spans="1:10" x14ac:dyDescent="0.4">
      <c r="A23" s="434"/>
      <c r="B23" s="88"/>
      <c r="C23" s="88"/>
      <c r="D23" s="146"/>
      <c r="E23" s="96"/>
      <c r="F23" s="429"/>
      <c r="G23" s="856"/>
      <c r="H23" s="96"/>
      <c r="I23" s="146"/>
      <c r="J23" s="7"/>
    </row>
    <row r="24" spans="1:10" x14ac:dyDescent="0.4">
      <c r="A24" s="434"/>
      <c r="B24" s="577"/>
      <c r="C24" s="577"/>
      <c r="D24" s="88"/>
      <c r="E24" s="96"/>
      <c r="F24" s="856"/>
      <c r="G24" s="718"/>
      <c r="H24" s="96"/>
      <c r="I24" s="146"/>
      <c r="J24" s="7"/>
    </row>
    <row r="25" spans="1:10" x14ac:dyDescent="0.4">
      <c r="A25" s="434"/>
      <c r="B25" s="106"/>
      <c r="C25" s="95"/>
      <c r="D25" s="435"/>
      <c r="E25" s="435"/>
      <c r="F25" s="1093"/>
      <c r="G25" s="1094"/>
      <c r="H25" s="96"/>
      <c r="I25" s="146"/>
      <c r="J25" s="7"/>
    </row>
    <row r="26" spans="1:10" x14ac:dyDescent="0.4">
      <c r="A26" s="434"/>
      <c r="B26" s="18"/>
      <c r="C26" s="18"/>
      <c r="D26" s="96"/>
      <c r="E26" s="96"/>
      <c r="F26" s="102"/>
      <c r="G26" s="96"/>
      <c r="H26" s="96"/>
      <c r="I26" s="146"/>
      <c r="J26" s="7"/>
    </row>
    <row r="27" spans="1:10" x14ac:dyDescent="0.4">
      <c r="A27" s="434"/>
      <c r="B27" s="92"/>
      <c r="C27" s="92"/>
      <c r="D27" s="96"/>
      <c r="E27" s="96"/>
      <c r="F27" s="96"/>
      <c r="G27" s="96"/>
      <c r="H27" s="96"/>
      <c r="I27" s="146"/>
      <c r="J27" s="7"/>
    </row>
    <row r="28" spans="1:10" x14ac:dyDescent="0.4">
      <c r="A28" s="871"/>
      <c r="B28" s="96"/>
      <c r="C28" s="864"/>
      <c r="D28" s="146"/>
      <c r="E28" s="96"/>
      <c r="F28" s="96"/>
      <c r="G28" s="107"/>
      <c r="H28" s="96"/>
      <c r="I28" s="429"/>
      <c r="J28" s="7"/>
    </row>
    <row r="29" spans="1:10" x14ac:dyDescent="0.4">
      <c r="A29" s="871"/>
      <c r="B29" s="96"/>
      <c r="C29" s="864"/>
      <c r="D29" s="146"/>
      <c r="E29" s="96"/>
      <c r="F29" s="102"/>
      <c r="G29" s="96"/>
      <c r="H29" s="96"/>
      <c r="I29" s="146"/>
      <c r="J29" s="7"/>
    </row>
    <row r="30" spans="1:10" x14ac:dyDescent="0.4">
      <c r="A30" s="434"/>
      <c r="B30" s="577"/>
      <c r="C30" s="577"/>
      <c r="D30" s="96"/>
      <c r="E30" s="96"/>
      <c r="F30" s="102"/>
      <c r="G30" s="96"/>
      <c r="H30" s="857"/>
      <c r="I30" s="146"/>
      <c r="J30" s="7"/>
    </row>
    <row r="31" spans="1:10" x14ac:dyDescent="0.4">
      <c r="A31" s="434"/>
      <c r="B31" s="577"/>
      <c r="C31" s="577"/>
      <c r="D31" s="107"/>
      <c r="E31" s="146"/>
      <c r="F31" s="44"/>
      <c r="G31" s="146"/>
      <c r="H31" s="103"/>
      <c r="I31" s="430"/>
      <c r="J31" s="7"/>
    </row>
    <row r="32" spans="1:10" x14ac:dyDescent="0.4">
      <c r="A32" s="434"/>
      <c r="B32" s="577"/>
      <c r="C32" s="577"/>
      <c r="D32" s="107"/>
      <c r="E32" s="146"/>
      <c r="F32" s="44"/>
      <c r="G32" s="858"/>
      <c r="H32" s="103"/>
      <c r="I32" s="430"/>
      <c r="J32" s="7"/>
    </row>
    <row r="33" spans="1:10" x14ac:dyDescent="0.4">
      <c r="A33" s="434"/>
      <c r="B33" s="92"/>
      <c r="C33" s="92"/>
      <c r="D33" s="92"/>
      <c r="E33" s="96"/>
      <c r="F33" s="96"/>
      <c r="G33" s="972"/>
      <c r="H33" s="146"/>
      <c r="I33" s="432"/>
      <c r="J33" s="7"/>
    </row>
    <row r="34" spans="1:10" x14ac:dyDescent="0.4">
      <c r="A34" s="434"/>
      <c r="B34" s="22"/>
      <c r="C34" s="22"/>
      <c r="D34" s="146"/>
      <c r="E34" s="146"/>
      <c r="F34" s="146"/>
      <c r="G34" s="146"/>
      <c r="H34" s="146"/>
      <c r="I34" s="432"/>
      <c r="J34" s="7"/>
    </row>
    <row r="35" spans="1:10" x14ac:dyDescent="0.4">
      <c r="A35" s="434"/>
      <c r="B35" s="1089"/>
      <c r="C35" s="42"/>
      <c r="D35" s="146"/>
      <c r="E35" s="96"/>
      <c r="F35" s="96"/>
      <c r="G35" s="96"/>
      <c r="H35" s="104"/>
      <c r="I35" s="406"/>
      <c r="J35" s="7"/>
    </row>
    <row r="36" spans="1:10" x14ac:dyDescent="0.4">
      <c r="A36" s="434"/>
      <c r="B36" s="106"/>
      <c r="C36" s="95"/>
      <c r="D36" s="435"/>
      <c r="E36" s="435"/>
      <c r="F36" s="435"/>
      <c r="G36" s="435"/>
      <c r="H36" s="435"/>
      <c r="I36" s="436"/>
      <c r="J36" s="7"/>
    </row>
    <row r="37" spans="1:10" x14ac:dyDescent="0.4">
      <c r="A37" s="434"/>
      <c r="B37" s="22"/>
      <c r="C37" s="22"/>
      <c r="D37" s="146"/>
      <c r="E37" s="146"/>
      <c r="F37" s="146"/>
      <c r="G37" s="146"/>
      <c r="H37" s="146"/>
      <c r="I37" s="432"/>
      <c r="J37" s="7"/>
    </row>
    <row r="38" spans="1:10" x14ac:dyDescent="0.4">
      <c r="A38" s="434"/>
      <c r="B38" s="4"/>
      <c r="C38" s="3055"/>
      <c r="D38" s="3045"/>
      <c r="E38" s="3722"/>
      <c r="F38" s="3055"/>
      <c r="G38" s="3045"/>
      <c r="H38" s="104"/>
      <c r="I38" s="406"/>
      <c r="J38" s="7"/>
    </row>
    <row r="39" spans="1:10" x14ac:dyDescent="0.4">
      <c r="A39" s="434"/>
      <c r="B39" s="106"/>
      <c r="C39" s="95"/>
      <c r="D39" s="435"/>
      <c r="E39" s="1096"/>
      <c r="F39" s="435"/>
      <c r="G39" s="860"/>
      <c r="H39" s="860"/>
      <c r="I39" s="436"/>
      <c r="J39" s="7"/>
    </row>
    <row r="40" spans="1:10" x14ac:dyDescent="0.4">
      <c r="A40" s="434"/>
      <c r="B40" s="577"/>
      <c r="C40" s="577"/>
      <c r="D40" s="107"/>
      <c r="E40" s="102"/>
      <c r="F40" s="96"/>
      <c r="G40" s="96"/>
      <c r="H40" s="104"/>
      <c r="I40" s="432"/>
      <c r="J40" s="7"/>
    </row>
    <row r="41" spans="1:10" x14ac:dyDescent="0.4">
      <c r="A41" s="434"/>
      <c r="B41" s="1953"/>
      <c r="C41" s="92"/>
      <c r="D41" s="107"/>
      <c r="E41" s="96"/>
      <c r="F41" s="96"/>
      <c r="G41" s="96"/>
      <c r="H41" s="104"/>
      <c r="I41" s="432"/>
      <c r="J41" s="7"/>
    </row>
    <row r="42" spans="1:10" x14ac:dyDescent="0.4">
      <c r="A42" s="434"/>
      <c r="B42" s="1053"/>
      <c r="C42" s="96"/>
      <c r="D42" s="107"/>
      <c r="E42" s="96"/>
      <c r="F42" s="96"/>
      <c r="G42" s="96"/>
      <c r="H42" s="430"/>
      <c r="I42" s="432"/>
      <c r="J42" s="7"/>
    </row>
    <row r="43" spans="1:10" x14ac:dyDescent="0.4">
      <c r="A43" s="434"/>
      <c r="B43" s="22"/>
      <c r="C43" s="107"/>
      <c r="D43" s="146"/>
      <c r="E43" s="96"/>
      <c r="F43" s="146"/>
      <c r="G43" s="96"/>
      <c r="H43" s="430"/>
      <c r="I43" s="432"/>
      <c r="J43" s="7"/>
    </row>
    <row r="44" spans="1:10" x14ac:dyDescent="0.4">
      <c r="A44" s="434"/>
      <c r="B44" s="146"/>
      <c r="C44" s="712"/>
      <c r="D44" s="146"/>
      <c r="E44" s="96"/>
      <c r="F44" s="96"/>
      <c r="G44" s="96"/>
      <c r="H44" s="146"/>
      <c r="I44" s="430"/>
      <c r="J44" s="146"/>
    </row>
    <row r="45" spans="1:10" x14ac:dyDescent="0.4">
      <c r="A45" s="434"/>
      <c r="B45" s="577"/>
      <c r="C45" s="577"/>
      <c r="D45" s="96"/>
      <c r="E45" s="96"/>
      <c r="F45" s="96"/>
      <c r="G45" s="96"/>
      <c r="H45" s="104"/>
      <c r="I45" s="432"/>
      <c r="J45" s="7"/>
    </row>
    <row r="46" spans="1:10" x14ac:dyDescent="0.4">
      <c r="A46" s="3225"/>
      <c r="B46" s="3247"/>
      <c r="C46" s="3248"/>
      <c r="D46" s="3249"/>
      <c r="E46" s="3249"/>
      <c r="F46" s="3249"/>
      <c r="G46" s="3250"/>
      <c r="H46" s="3249"/>
      <c r="I46" s="3251"/>
      <c r="J46" s="3043"/>
    </row>
    <row r="47" spans="1:10" x14ac:dyDescent="0.4">
      <c r="A47" s="3222"/>
      <c r="B47" s="3247"/>
      <c r="C47" s="3252"/>
      <c r="D47" s="3249"/>
      <c r="E47" s="3249"/>
      <c r="F47" s="3249"/>
      <c r="G47" s="3250"/>
      <c r="H47" s="3249"/>
      <c r="I47" s="3251"/>
      <c r="J47" s="3043"/>
    </row>
    <row r="48" spans="1:10" x14ac:dyDescent="0.4">
      <c r="A48" s="3225"/>
      <c r="B48" s="3247"/>
      <c r="C48" s="3248"/>
      <c r="D48" s="3249"/>
      <c r="E48" s="3249"/>
      <c r="F48" s="3249"/>
      <c r="G48" s="3253"/>
      <c r="H48" s="3249"/>
      <c r="I48" s="3251"/>
      <c r="J48" s="3043"/>
    </row>
    <row r="49" spans="1:10" x14ac:dyDescent="0.4">
      <c r="A49" s="434"/>
      <c r="B49" s="106"/>
      <c r="C49" s="95"/>
      <c r="D49" s="435"/>
      <c r="E49" s="1444"/>
      <c r="F49" s="435"/>
      <c r="G49" s="861"/>
      <c r="H49" s="861"/>
      <c r="I49" s="1098"/>
      <c r="J49" s="1139"/>
    </row>
  </sheetData>
  <phoneticPr fontId="68" type="noConversion"/>
  <pageMargins left="0.78740157480314965" right="0.19685039370078741" top="0.19685039370078741" bottom="0.19685039370078741" header="0" footer="0"/>
  <pageSetup paperSize="9" scale="97" fitToHeight="5"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27"/>
  <sheetViews>
    <sheetView showGridLines="0" workbookViewId="0">
      <selection activeCell="H21" sqref="H21"/>
    </sheetView>
  </sheetViews>
  <sheetFormatPr defaultColWidth="9.1328125" defaultRowHeight="11.65" x14ac:dyDescent="0.35"/>
  <cols>
    <col min="1" max="1" width="21.86328125" style="40" customWidth="1"/>
    <col min="2" max="2" width="15" style="40" customWidth="1"/>
    <col min="3" max="3" width="14.265625" style="40" customWidth="1"/>
    <col min="4" max="4" width="13.3984375" style="40" customWidth="1"/>
    <col min="5" max="5" width="14" style="40" customWidth="1"/>
    <col min="6" max="6" width="18" style="40" customWidth="1"/>
    <col min="7" max="7" width="15" style="40" customWidth="1"/>
    <col min="8" max="8" width="12.3984375" style="40" customWidth="1"/>
    <col min="9" max="9" width="11.73046875" style="40" customWidth="1"/>
    <col min="10" max="16384" width="9.1328125" style="40"/>
  </cols>
  <sheetData>
    <row r="1" spans="1:8" ht="12.75" customHeight="1" thickBot="1" x14ac:dyDescent="0.4">
      <c r="A1" s="480" t="s">
        <v>57</v>
      </c>
      <c r="B1" s="481"/>
      <c r="C1" s="481"/>
      <c r="D1" s="481"/>
      <c r="E1" s="481"/>
      <c r="F1" s="481"/>
      <c r="G1" s="481"/>
      <c r="H1" s="481"/>
    </row>
    <row r="2" spans="1:8" ht="12.75" customHeight="1" x14ac:dyDescent="0.35">
      <c r="A2" s="481"/>
      <c r="B2" s="482" t="s">
        <v>3294</v>
      </c>
      <c r="C2" s="483" t="s">
        <v>3078</v>
      </c>
      <c r="D2" s="483" t="s">
        <v>2706</v>
      </c>
      <c r="E2" s="483" t="s">
        <v>1414</v>
      </c>
      <c r="F2" s="483" t="s">
        <v>1415</v>
      </c>
      <c r="G2" s="481"/>
      <c r="H2" s="481"/>
    </row>
    <row r="3" spans="1:8" ht="12.75" customHeight="1" x14ac:dyDescent="0.35">
      <c r="A3" s="481"/>
      <c r="B3" s="700"/>
      <c r="C3" s="700"/>
      <c r="D3" s="700"/>
      <c r="E3" s="700"/>
      <c r="F3" s="700"/>
      <c r="G3" s="481"/>
      <c r="H3" s="481"/>
    </row>
    <row r="4" spans="1:8" ht="12.75" customHeight="1" x14ac:dyDescent="0.35">
      <c r="A4" s="481"/>
      <c r="B4" s="484"/>
      <c r="C4" s="484"/>
      <c r="D4" s="484"/>
      <c r="E4" s="484"/>
      <c r="F4" s="484"/>
      <c r="G4" s="484"/>
      <c r="H4" s="481"/>
    </row>
    <row r="5" spans="1:8" ht="12.75" customHeight="1" x14ac:dyDescent="0.35">
      <c r="A5" s="481"/>
      <c r="B5" s="162"/>
      <c r="C5" s="162"/>
      <c r="D5" s="162"/>
      <c r="E5" s="162"/>
      <c r="F5" s="485"/>
      <c r="G5" s="162"/>
      <c r="H5" s="162"/>
    </row>
    <row r="6" spans="1:8" ht="12.75" customHeight="1" x14ac:dyDescent="0.35">
      <c r="A6" s="481"/>
      <c r="B6" s="484"/>
      <c r="C6" s="484"/>
      <c r="D6" s="484"/>
      <c r="E6" s="486"/>
      <c r="F6" s="486"/>
      <c r="G6" s="486"/>
      <c r="H6" s="486"/>
    </row>
    <row r="7" spans="1:8" ht="12.75" customHeight="1" x14ac:dyDescent="0.35">
      <c r="A7" s="487" t="s">
        <v>1871</v>
      </c>
      <c r="B7" s="701"/>
      <c r="C7" s="701"/>
      <c r="D7" s="701"/>
      <c r="E7" s="702"/>
      <c r="F7" s="701"/>
      <c r="G7" s="703"/>
      <c r="H7" s="703"/>
    </row>
    <row r="8" spans="1:8" ht="12.75" customHeight="1" x14ac:dyDescent="0.35">
      <c r="A8" s="488"/>
      <c r="B8" s="484"/>
      <c r="C8" s="484"/>
      <c r="D8" s="484"/>
      <c r="E8" s="484"/>
      <c r="F8" s="484"/>
      <c r="G8" s="484"/>
      <c r="H8" s="484"/>
    </row>
    <row r="9" spans="1:8" ht="12.75" customHeight="1" x14ac:dyDescent="0.35">
      <c r="A9" s="488"/>
      <c r="B9" s="484"/>
      <c r="C9" s="484"/>
      <c r="D9" s="484"/>
      <c r="E9" s="486"/>
      <c r="F9" s="486"/>
      <c r="G9" s="486"/>
      <c r="H9" s="486"/>
    </row>
    <row r="10" spans="1:8" ht="12.75" customHeight="1" x14ac:dyDescent="0.35">
      <c r="A10" s="487" t="s">
        <v>709</v>
      </c>
      <c r="B10" s="704"/>
      <c r="C10" s="704"/>
      <c r="D10" s="704"/>
      <c r="E10" s="704"/>
      <c r="F10" s="704"/>
      <c r="G10" s="704"/>
      <c r="H10" s="704"/>
    </row>
    <row r="11" spans="1:8" ht="12.75" customHeight="1" x14ac:dyDescent="0.35">
      <c r="A11" s="488"/>
      <c r="B11" s="484"/>
      <c r="C11" s="484"/>
      <c r="D11" s="484"/>
      <c r="E11" s="484"/>
      <c r="F11" s="484"/>
      <c r="G11" s="484"/>
      <c r="H11" s="484"/>
    </row>
    <row r="12" spans="1:8" ht="12.75" customHeight="1" x14ac:dyDescent="0.35">
      <c r="A12" s="488"/>
      <c r="B12" s="484"/>
      <c r="C12" s="484"/>
      <c r="D12" s="484"/>
      <c r="E12" s="486"/>
      <c r="F12" s="486"/>
      <c r="G12" s="486"/>
      <c r="H12" s="486"/>
    </row>
    <row r="13" spans="1:8" ht="12.75" customHeight="1" x14ac:dyDescent="0.35">
      <c r="A13" s="487" t="s">
        <v>3293</v>
      </c>
      <c r="B13" s="704"/>
      <c r="C13" s="704"/>
      <c r="D13" s="704"/>
      <c r="E13" s="704"/>
      <c r="F13" s="704"/>
      <c r="G13" s="704"/>
      <c r="H13" s="704"/>
    </row>
    <row r="14" spans="1:8" ht="12.75" customHeight="1" x14ac:dyDescent="0.35">
      <c r="A14" s="487"/>
      <c r="B14" s="489"/>
      <c r="C14" s="489"/>
      <c r="D14" s="489"/>
      <c r="E14" s="489"/>
      <c r="F14" s="489"/>
      <c r="G14" s="489"/>
      <c r="H14" s="489"/>
    </row>
    <row r="15" spans="1:8" ht="12.75" customHeight="1" x14ac:dyDescent="0.35">
      <c r="A15" s="488"/>
      <c r="B15" s="484"/>
      <c r="C15" s="484"/>
      <c r="D15" s="484"/>
      <c r="E15" s="486"/>
      <c r="F15" s="486"/>
      <c r="G15" s="486"/>
      <c r="H15" s="486"/>
    </row>
    <row r="16" spans="1:8" ht="12.75" customHeight="1" x14ac:dyDescent="0.35">
      <c r="A16" s="487" t="s">
        <v>3292</v>
      </c>
      <c r="B16" s="704"/>
      <c r="C16" s="704"/>
      <c r="D16" s="704"/>
      <c r="E16" s="704"/>
      <c r="F16" s="704"/>
      <c r="G16" s="704"/>
      <c r="H16" s="704"/>
    </row>
    <row r="17" spans="1:8" ht="12.75" customHeight="1" x14ac:dyDescent="0.35">
      <c r="A17" s="487"/>
      <c r="B17" s="490"/>
      <c r="C17" s="490"/>
      <c r="D17" s="490"/>
      <c r="E17" s="490"/>
      <c r="F17" s="490"/>
      <c r="G17" s="490"/>
      <c r="H17" s="490"/>
    </row>
    <row r="18" spans="1:8" ht="12.75" customHeight="1" x14ac:dyDescent="0.35">
      <c r="A18" s="487" t="s">
        <v>2807</v>
      </c>
      <c r="B18" s="490"/>
      <c r="C18" s="490"/>
      <c r="D18" s="490"/>
      <c r="E18" s="486"/>
      <c r="F18" s="486"/>
      <c r="G18" s="486"/>
      <c r="H18" s="486"/>
    </row>
    <row r="19" spans="1:8" ht="12.75" customHeight="1" x14ac:dyDescent="0.35">
      <c r="A19" s="487" t="s">
        <v>2318</v>
      </c>
      <c r="B19" s="704"/>
      <c r="C19" s="704"/>
      <c r="D19" s="704"/>
      <c r="E19" s="704"/>
      <c r="F19" s="704"/>
      <c r="G19" s="704"/>
      <c r="H19" s="704"/>
    </row>
    <row r="20" spans="1:8" ht="12.75" customHeight="1" x14ac:dyDescent="0.35">
      <c r="A20" s="488"/>
      <c r="B20" s="484"/>
      <c r="C20" s="484"/>
      <c r="D20" s="484"/>
      <c r="E20" s="484"/>
      <c r="F20" s="484"/>
      <c r="G20" s="484"/>
      <c r="H20" s="484"/>
    </row>
    <row r="21" spans="1:8" ht="12.75" customHeight="1" x14ac:dyDescent="0.35">
      <c r="A21" s="491" t="s">
        <v>4189</v>
      </c>
      <c r="B21" s="704"/>
      <c r="C21" s="704"/>
      <c r="D21" s="704"/>
      <c r="E21" s="704"/>
      <c r="F21" s="704"/>
      <c r="G21" s="704"/>
      <c r="H21" s="704"/>
    </row>
    <row r="22" spans="1:8" ht="12.75" customHeight="1" x14ac:dyDescent="0.35">
      <c r="A22" s="481"/>
      <c r="B22" s="484"/>
      <c r="C22" s="484"/>
      <c r="D22" s="484"/>
      <c r="E22" s="484"/>
      <c r="F22" s="484"/>
      <c r="G22" s="484"/>
      <c r="H22" s="481"/>
    </row>
    <row r="23" spans="1:8" ht="12.75" customHeight="1" x14ac:dyDescent="0.35">
      <c r="A23" s="481"/>
      <c r="B23" s="484"/>
      <c r="C23" s="484"/>
      <c r="D23" s="486"/>
      <c r="E23" s="484"/>
      <c r="F23" s="699"/>
      <c r="G23" s="484"/>
      <c r="H23" s="481"/>
    </row>
    <row r="24" spans="1:8" ht="12.75" customHeight="1" x14ac:dyDescent="0.35">
      <c r="A24" s="491"/>
      <c r="B24" s="491"/>
      <c r="C24" s="698"/>
      <c r="D24" s="705"/>
      <c r="E24" s="484"/>
      <c r="F24" s="699"/>
      <c r="G24" s="486"/>
      <c r="H24" s="481"/>
    </row>
    <row r="25" spans="1:8" ht="12.75" customHeight="1" x14ac:dyDescent="0.35">
      <c r="A25" s="481"/>
      <c r="B25" s="484"/>
      <c r="C25" s="491"/>
      <c r="D25" s="695"/>
      <c r="E25" s="696"/>
      <c r="F25" s="697"/>
      <c r="G25" s="697"/>
      <c r="H25" s="481"/>
    </row>
    <row r="26" spans="1:8" ht="12.75" customHeight="1" x14ac:dyDescent="0.35">
      <c r="A26" s="481"/>
      <c r="B26" s="481"/>
      <c r="C26" s="481"/>
      <c r="D26" s="86"/>
      <c r="E26" s="484"/>
      <c r="F26" s="492"/>
      <c r="G26" s="481"/>
      <c r="H26" s="481"/>
    </row>
    <row r="27" spans="1:8" ht="12.75" customHeight="1" x14ac:dyDescent="0.35">
      <c r="A27" s="481"/>
      <c r="B27" s="481"/>
      <c r="C27" s="481"/>
      <c r="D27" s="481"/>
      <c r="E27" s="481"/>
      <c r="F27" s="481"/>
      <c r="G27" s="481"/>
      <c r="H27" s="481"/>
    </row>
  </sheetData>
  <phoneticPr fontId="68" type="noConversion"/>
  <pageMargins left="0.75" right="0.75" top="1" bottom="1" header="0.5" footer="0.5"/>
  <pageSetup paperSize="9" orientation="landscape" horizontalDpi="4294967292"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U30"/>
  <sheetViews>
    <sheetView showGridLines="0" workbookViewId="0">
      <selection activeCell="D15" sqref="D15"/>
    </sheetView>
  </sheetViews>
  <sheetFormatPr defaultRowHeight="12.75" x14ac:dyDescent="0.35"/>
  <cols>
    <col min="1" max="1" width="31" customWidth="1"/>
    <col min="2" max="2" width="11.3984375" customWidth="1"/>
    <col min="3" max="3" width="11.73046875" customWidth="1"/>
    <col min="4" max="4" width="13.265625" customWidth="1"/>
    <col min="5" max="5" width="11.86328125" customWidth="1"/>
    <col min="6" max="6" width="13.265625" customWidth="1"/>
    <col min="7" max="7" width="12" customWidth="1"/>
    <col min="8" max="8" width="11.73046875" customWidth="1"/>
  </cols>
  <sheetData>
    <row r="1" spans="1:21" ht="13.5" thickBot="1" x14ac:dyDescent="0.45">
      <c r="A1" s="28" t="s">
        <v>2700</v>
      </c>
      <c r="B1" s="70"/>
      <c r="C1" s="70"/>
      <c r="D1" s="70"/>
      <c r="E1" s="70"/>
      <c r="F1" s="70"/>
      <c r="G1" s="70"/>
      <c r="H1" s="70"/>
      <c r="I1" s="70"/>
      <c r="J1" s="2"/>
      <c r="K1" s="2"/>
      <c r="L1" s="2"/>
      <c r="M1" s="2"/>
      <c r="N1" s="2"/>
      <c r="O1" s="2"/>
      <c r="P1" s="2"/>
      <c r="Q1" s="2"/>
      <c r="R1" s="2"/>
      <c r="S1" s="2"/>
      <c r="T1" s="2"/>
      <c r="U1" s="2"/>
    </row>
    <row r="2" spans="1:21" x14ac:dyDescent="0.35">
      <c r="A2" s="70"/>
      <c r="B2" s="29" t="s">
        <v>4091</v>
      </c>
      <c r="C2" s="13" t="s">
        <v>4190</v>
      </c>
      <c r="D2" s="29" t="s">
        <v>1603</v>
      </c>
      <c r="E2" s="13" t="s">
        <v>708</v>
      </c>
      <c r="F2" s="29" t="s">
        <v>3371</v>
      </c>
      <c r="G2" s="25" t="s">
        <v>4091</v>
      </c>
      <c r="H2" s="70"/>
      <c r="I2" s="67"/>
      <c r="J2" s="2"/>
      <c r="L2" s="2"/>
      <c r="M2" s="2"/>
      <c r="N2" s="2"/>
      <c r="O2" s="2"/>
    </row>
    <row r="3" spans="1:21" x14ac:dyDescent="0.35">
      <c r="A3" s="70"/>
      <c r="B3" s="30" t="s">
        <v>1430</v>
      </c>
      <c r="C3" s="14" t="s">
        <v>1588</v>
      </c>
      <c r="D3" s="30" t="s">
        <v>1430</v>
      </c>
      <c r="E3" s="14" t="s">
        <v>1632</v>
      </c>
      <c r="F3" s="30" t="s">
        <v>3372</v>
      </c>
      <c r="G3" s="26" t="s">
        <v>559</v>
      </c>
      <c r="H3" s="70"/>
      <c r="I3" s="67"/>
      <c r="J3" s="2"/>
      <c r="L3" s="2"/>
      <c r="M3" s="2"/>
      <c r="N3" s="2"/>
      <c r="O3" s="2"/>
    </row>
    <row r="4" spans="1:21" x14ac:dyDescent="0.35">
      <c r="A4" s="70"/>
      <c r="B4" s="23"/>
      <c r="C4" s="15"/>
      <c r="D4" s="31" t="s">
        <v>3449</v>
      </c>
      <c r="E4" s="15"/>
      <c r="F4" s="31" t="s">
        <v>2318</v>
      </c>
      <c r="G4" s="27" t="s">
        <v>2318</v>
      </c>
      <c r="H4" s="70"/>
      <c r="I4" s="67"/>
      <c r="J4" s="2"/>
      <c r="L4" s="2"/>
      <c r="M4" s="2"/>
      <c r="N4" s="2"/>
      <c r="O4" s="2"/>
    </row>
    <row r="5" spans="1:21" x14ac:dyDescent="0.35">
      <c r="A5" s="63" t="s">
        <v>1602</v>
      </c>
      <c r="B5" s="154"/>
      <c r="C5" s="157"/>
      <c r="D5" s="82"/>
      <c r="E5" s="82"/>
      <c r="F5" s="82"/>
      <c r="G5" s="82"/>
      <c r="H5" s="70"/>
      <c r="I5" s="67"/>
      <c r="J5" s="2"/>
      <c r="L5" s="2"/>
      <c r="M5" s="2"/>
      <c r="N5" s="2"/>
    </row>
    <row r="6" spans="1:21" x14ac:dyDescent="0.35">
      <c r="A6" s="64" t="s">
        <v>1954</v>
      </c>
      <c r="B6" s="155"/>
      <c r="C6" s="82"/>
      <c r="D6" s="82"/>
      <c r="E6" s="82"/>
      <c r="F6" s="82"/>
      <c r="G6" s="82"/>
      <c r="H6" s="70"/>
      <c r="I6" s="67"/>
      <c r="J6" s="2"/>
      <c r="L6" s="2"/>
      <c r="M6" s="2"/>
      <c r="N6" s="2"/>
    </row>
    <row r="7" spans="1:21" x14ac:dyDescent="0.35">
      <c r="A7" s="63" t="s">
        <v>2940</v>
      </c>
      <c r="B7" s="155"/>
      <c r="C7" s="82"/>
      <c r="D7" s="82"/>
      <c r="E7" s="82"/>
      <c r="F7" s="82"/>
      <c r="G7" s="82"/>
      <c r="H7" s="70"/>
      <c r="I7" s="67"/>
      <c r="J7" s="2"/>
      <c r="L7" s="2"/>
      <c r="M7" s="2"/>
      <c r="N7" s="2"/>
    </row>
    <row r="8" spans="1:21" x14ac:dyDescent="0.35">
      <c r="A8" s="64" t="s">
        <v>1845</v>
      </c>
      <c r="B8" s="155"/>
      <c r="C8" s="82"/>
      <c r="D8" s="155"/>
      <c r="E8" s="157"/>
      <c r="F8" s="82"/>
      <c r="G8" s="82"/>
      <c r="H8" s="70"/>
      <c r="I8" s="67"/>
      <c r="J8" s="2"/>
      <c r="L8" s="2"/>
      <c r="M8" s="2"/>
      <c r="N8" s="2"/>
    </row>
    <row r="9" spans="1:21" x14ac:dyDescent="0.35">
      <c r="A9" s="63" t="s">
        <v>620</v>
      </c>
      <c r="B9" s="155"/>
      <c r="C9" s="82"/>
      <c r="D9" s="159"/>
      <c r="E9" s="159"/>
      <c r="F9" s="82"/>
      <c r="G9" s="82"/>
      <c r="H9" s="70"/>
      <c r="I9" s="67"/>
      <c r="J9" s="2"/>
      <c r="L9" s="2"/>
      <c r="M9" s="2"/>
      <c r="N9" s="2"/>
    </row>
    <row r="10" spans="1:21" x14ac:dyDescent="0.35">
      <c r="A10" s="64" t="s">
        <v>1427</v>
      </c>
      <c r="B10" s="155"/>
      <c r="C10" s="82"/>
      <c r="D10" s="155"/>
      <c r="E10" s="157"/>
      <c r="F10" s="155"/>
      <c r="G10" s="82"/>
      <c r="H10" s="70"/>
      <c r="I10" s="67"/>
      <c r="J10" s="2"/>
      <c r="L10" s="2"/>
      <c r="M10" s="2"/>
      <c r="N10" s="2"/>
    </row>
    <row r="11" spans="1:21" x14ac:dyDescent="0.35">
      <c r="A11" s="63" t="s">
        <v>1870</v>
      </c>
      <c r="B11" s="155"/>
      <c r="C11" s="82"/>
      <c r="D11" s="155"/>
      <c r="E11" s="157"/>
      <c r="F11" s="159"/>
      <c r="G11" s="155"/>
      <c r="H11" s="70"/>
      <c r="I11" s="67"/>
      <c r="J11" s="2"/>
      <c r="L11" s="2"/>
      <c r="M11" s="2"/>
      <c r="N11" s="2"/>
    </row>
    <row r="12" spans="1:21" ht="20.65" x14ac:dyDescent="0.35">
      <c r="A12" s="64" t="s">
        <v>3863</v>
      </c>
      <c r="B12" s="83"/>
      <c r="C12" s="82"/>
      <c r="D12" s="155"/>
      <c r="E12" s="159"/>
      <c r="F12" s="159"/>
      <c r="G12" s="159"/>
      <c r="H12" s="70"/>
      <c r="I12" s="67"/>
      <c r="J12" s="2"/>
      <c r="L12" s="2"/>
      <c r="M12" s="2"/>
      <c r="N12" s="2"/>
    </row>
    <row r="13" spans="1:21" ht="20.65" x14ac:dyDescent="0.35">
      <c r="A13" s="63" t="s">
        <v>1117</v>
      </c>
      <c r="B13" s="83"/>
      <c r="C13" s="82"/>
      <c r="D13" s="159"/>
      <c r="E13" s="155"/>
      <c r="F13" s="159"/>
      <c r="G13" s="159"/>
      <c r="H13" s="70"/>
      <c r="I13" s="67"/>
      <c r="J13" s="2"/>
      <c r="L13" s="2"/>
      <c r="M13" s="2"/>
      <c r="N13" s="2"/>
    </row>
    <row r="14" spans="1:21" x14ac:dyDescent="0.35">
      <c r="A14" s="64" t="s">
        <v>2690</v>
      </c>
      <c r="B14" s="155"/>
      <c r="C14" s="82"/>
      <c r="D14" s="159"/>
      <c r="E14" s="159"/>
      <c r="F14" s="159"/>
      <c r="G14" s="159"/>
      <c r="H14" s="70"/>
      <c r="I14" s="67"/>
      <c r="J14" s="2"/>
      <c r="L14" s="2"/>
      <c r="M14" s="2"/>
      <c r="N14" s="2"/>
    </row>
    <row r="15" spans="1:21" x14ac:dyDescent="0.35">
      <c r="A15" s="63" t="s">
        <v>3647</v>
      </c>
      <c r="B15" s="156"/>
      <c r="C15" s="82"/>
      <c r="D15" s="155"/>
      <c r="E15" s="159"/>
      <c r="F15" s="160"/>
      <c r="G15" s="159"/>
      <c r="H15" s="70"/>
      <c r="I15" s="67"/>
      <c r="J15" s="2"/>
      <c r="L15" s="2"/>
      <c r="M15" s="2"/>
      <c r="N15" s="2"/>
    </row>
    <row r="16" spans="1:21" x14ac:dyDescent="0.35">
      <c r="A16" s="64" t="s">
        <v>1428</v>
      </c>
      <c r="B16" s="155"/>
      <c r="C16" s="82"/>
      <c r="D16" s="159"/>
      <c r="E16" s="159"/>
      <c r="F16" s="159"/>
      <c r="G16" s="159"/>
      <c r="H16" s="70"/>
      <c r="I16" s="67"/>
      <c r="J16" s="2"/>
      <c r="L16" s="2"/>
      <c r="M16" s="2"/>
      <c r="N16" s="2"/>
    </row>
    <row r="17" spans="1:14" x14ac:dyDescent="0.35">
      <c r="A17" s="24" t="s">
        <v>4189</v>
      </c>
      <c r="B17" s="154"/>
      <c r="C17" s="158"/>
      <c r="D17" s="158"/>
      <c r="E17" s="158"/>
      <c r="F17" s="158"/>
      <c r="G17" s="154"/>
      <c r="H17" s="70"/>
      <c r="I17" s="67"/>
      <c r="J17" s="2"/>
      <c r="L17" s="2"/>
      <c r="M17" s="2"/>
      <c r="N17" s="2"/>
    </row>
    <row r="18" spans="1:14" x14ac:dyDescent="0.35">
      <c r="A18" s="67"/>
      <c r="B18" s="81"/>
      <c r="C18" s="81"/>
      <c r="D18" s="81"/>
      <c r="E18" s="81"/>
      <c r="F18" s="81"/>
      <c r="G18" s="161"/>
      <c r="H18" s="70"/>
      <c r="I18" s="67"/>
    </row>
    <row r="19" spans="1:14" x14ac:dyDescent="0.35">
      <c r="A19" s="67"/>
      <c r="B19" s="81"/>
      <c r="C19" s="81"/>
      <c r="D19" s="81"/>
      <c r="E19" s="81"/>
      <c r="F19" s="84" t="s">
        <v>4189</v>
      </c>
      <c r="G19" s="160">
        <v>120000</v>
      </c>
      <c r="H19" s="67"/>
      <c r="I19" s="67"/>
    </row>
    <row r="20" spans="1:14" x14ac:dyDescent="0.35">
      <c r="A20" s="67"/>
      <c r="B20" s="67"/>
      <c r="C20" s="67"/>
      <c r="D20" s="67"/>
      <c r="E20" s="67"/>
      <c r="F20" s="67"/>
      <c r="G20" s="67"/>
      <c r="H20" s="67"/>
      <c r="I20" s="67"/>
    </row>
    <row r="21" spans="1:14" x14ac:dyDescent="0.35">
      <c r="A21" s="67"/>
      <c r="B21" s="67"/>
      <c r="C21" s="67"/>
      <c r="D21" s="67"/>
      <c r="E21" s="67"/>
      <c r="F21" s="67"/>
      <c r="G21" s="67"/>
      <c r="H21" s="67"/>
      <c r="I21" s="67"/>
    </row>
    <row r="22" spans="1:14" x14ac:dyDescent="0.35">
      <c r="A22" s="67"/>
      <c r="B22" s="67"/>
      <c r="C22" s="67"/>
      <c r="D22" s="72" t="s">
        <v>1605</v>
      </c>
      <c r="E22" s="81"/>
      <c r="F22" s="67"/>
      <c r="G22" s="67"/>
      <c r="H22" s="67"/>
      <c r="I22" s="67"/>
    </row>
    <row r="23" spans="1:14" x14ac:dyDescent="0.35">
      <c r="A23" s="67"/>
      <c r="B23" s="67"/>
      <c r="C23" s="67"/>
      <c r="D23" s="67"/>
      <c r="E23" s="67"/>
      <c r="F23" s="67"/>
      <c r="G23" s="67"/>
      <c r="H23" s="67"/>
      <c r="I23" s="67"/>
    </row>
    <row r="24" spans="1:14" x14ac:dyDescent="0.35">
      <c r="A24" s="7"/>
      <c r="B24" s="7"/>
      <c r="C24" s="7"/>
      <c r="D24" s="7"/>
      <c r="E24" s="7"/>
      <c r="F24" s="7"/>
      <c r="G24" s="7"/>
      <c r="H24" s="7"/>
      <c r="I24" s="7"/>
    </row>
    <row r="25" spans="1:14" x14ac:dyDescent="0.35">
      <c r="A25" s="7"/>
      <c r="B25" s="7"/>
      <c r="C25" s="7"/>
      <c r="D25" s="7"/>
      <c r="E25" s="7"/>
      <c r="F25" s="7"/>
      <c r="G25" s="7"/>
      <c r="H25" s="7"/>
      <c r="I25" s="7"/>
    </row>
    <row r="26" spans="1:14" x14ac:dyDescent="0.35">
      <c r="A26" s="7"/>
      <c r="B26" s="7"/>
      <c r="C26" s="7"/>
      <c r="D26" s="7"/>
      <c r="E26" s="7"/>
      <c r="F26" s="7"/>
      <c r="G26" s="7"/>
      <c r="H26" s="7"/>
      <c r="I26" s="7"/>
    </row>
    <row r="27" spans="1:14" x14ac:dyDescent="0.35">
      <c r="A27" s="7"/>
      <c r="B27" s="7"/>
      <c r="C27" s="7"/>
      <c r="D27" s="7"/>
      <c r="E27" s="7"/>
      <c r="F27" s="7"/>
      <c r="G27" s="7"/>
      <c r="H27" s="7"/>
      <c r="I27" s="7"/>
    </row>
    <row r="28" spans="1:14" x14ac:dyDescent="0.35">
      <c r="A28" s="7"/>
      <c r="B28" s="7"/>
      <c r="C28" s="7"/>
      <c r="D28" s="7"/>
      <c r="E28" s="7"/>
      <c r="F28" s="7"/>
      <c r="G28" s="7"/>
      <c r="H28" s="7"/>
      <c r="I28" s="7"/>
    </row>
    <row r="29" spans="1:14" x14ac:dyDescent="0.35">
      <c r="A29" s="7"/>
      <c r="B29" s="7"/>
      <c r="C29" s="7"/>
      <c r="D29" s="7"/>
      <c r="E29" s="7"/>
      <c r="F29" s="7"/>
      <c r="G29" s="7"/>
      <c r="H29" s="7"/>
      <c r="I29" s="7"/>
    </row>
    <row r="30" spans="1:14" x14ac:dyDescent="0.35">
      <c r="A30" s="7"/>
      <c r="B30" s="7"/>
      <c r="C30" s="7"/>
      <c r="D30" s="7"/>
      <c r="E30" s="7"/>
      <c r="F30" s="7"/>
      <c r="G30" s="7"/>
      <c r="H30" s="7"/>
      <c r="I30" s="7"/>
    </row>
  </sheetData>
  <phoneticPr fontId="68" type="noConversion"/>
  <pageMargins left="0.19685039370078741" right="0.19685039370078741" top="0.98425196850393704" bottom="0.98425196850393704" header="0.51181102362204722" footer="0.51181102362204722"/>
  <pageSetup paperSize="9"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FF99"/>
  </sheetPr>
  <dimension ref="A1:D41"/>
  <sheetViews>
    <sheetView showGridLines="0" workbookViewId="0">
      <selection activeCell="B1" sqref="B1"/>
    </sheetView>
  </sheetViews>
  <sheetFormatPr defaultRowHeight="12.75" x14ac:dyDescent="0.35"/>
  <cols>
    <col min="1" max="1" width="11.73046875" customWidth="1"/>
    <col min="2" max="2" width="14.1328125" customWidth="1"/>
    <col min="3" max="3" width="36.73046875" bestFit="1" customWidth="1"/>
    <col min="4" max="4" width="15.86328125" customWidth="1"/>
  </cols>
  <sheetData>
    <row r="1" spans="1:4" ht="13.15" x14ac:dyDescent="0.4">
      <c r="C1" s="5" t="s">
        <v>2136</v>
      </c>
      <c r="D1" s="1293" t="s">
        <v>6880</v>
      </c>
    </row>
    <row r="4" spans="1:4" x14ac:dyDescent="0.35">
      <c r="A4" t="s">
        <v>6267</v>
      </c>
      <c r="B4" t="s">
        <v>875</v>
      </c>
      <c r="C4" s="1850" t="s">
        <v>6355</v>
      </c>
      <c r="D4" s="9"/>
    </row>
    <row r="5" spans="1:4" x14ac:dyDescent="0.35">
      <c r="A5" t="s">
        <v>6268</v>
      </c>
      <c r="B5" t="s">
        <v>3099</v>
      </c>
      <c r="C5" s="1850" t="s">
        <v>4204</v>
      </c>
      <c r="D5" s="3"/>
    </row>
    <row r="6" spans="1:4" x14ac:dyDescent="0.35">
      <c r="A6" t="s">
        <v>6269</v>
      </c>
      <c r="B6" t="s">
        <v>3072</v>
      </c>
      <c r="C6" s="1850" t="s">
        <v>6356</v>
      </c>
      <c r="D6" s="9"/>
    </row>
    <row r="7" spans="1:4" x14ac:dyDescent="0.35">
      <c r="A7" t="s">
        <v>6270</v>
      </c>
      <c r="B7" t="s">
        <v>927</v>
      </c>
      <c r="C7" s="1851" t="s">
        <v>3284</v>
      </c>
      <c r="D7" s="1101"/>
    </row>
    <row r="8" spans="1:4" x14ac:dyDescent="0.35">
      <c r="A8" t="s">
        <v>6271</v>
      </c>
      <c r="B8" t="s">
        <v>4717</v>
      </c>
      <c r="C8" s="1850" t="s">
        <v>1628</v>
      </c>
      <c r="D8" s="9"/>
    </row>
    <row r="9" spans="1:4" x14ac:dyDescent="0.35">
      <c r="A9" t="s">
        <v>6272</v>
      </c>
      <c r="B9" t="s">
        <v>6311</v>
      </c>
      <c r="C9" s="1850" t="s">
        <v>3079</v>
      </c>
      <c r="D9" s="9"/>
    </row>
    <row r="10" spans="1:4" x14ac:dyDescent="0.35">
      <c r="A10" t="s">
        <v>6273</v>
      </c>
      <c r="B10" t="s">
        <v>928</v>
      </c>
      <c r="C10" s="1850" t="s">
        <v>31</v>
      </c>
      <c r="D10" s="9"/>
    </row>
    <row r="11" spans="1:4" x14ac:dyDescent="0.35">
      <c r="A11" t="s">
        <v>6274</v>
      </c>
      <c r="B11" t="s">
        <v>6653</v>
      </c>
      <c r="C11" s="1850" t="s">
        <v>899</v>
      </c>
      <c r="D11" s="9"/>
    </row>
    <row r="12" spans="1:4" x14ac:dyDescent="0.35">
      <c r="A12" t="s">
        <v>6275</v>
      </c>
      <c r="B12" t="s">
        <v>3373</v>
      </c>
      <c r="C12" s="1850" t="s">
        <v>32</v>
      </c>
      <c r="D12" s="9"/>
    </row>
    <row r="13" spans="1:4" x14ac:dyDescent="0.35">
      <c r="A13" t="s">
        <v>6276</v>
      </c>
      <c r="B13" t="s">
        <v>3374</v>
      </c>
      <c r="C13" s="1850" t="s">
        <v>4156</v>
      </c>
      <c r="D13" s="9"/>
    </row>
    <row r="14" spans="1:4" x14ac:dyDescent="0.35">
      <c r="A14" t="s">
        <v>6277</v>
      </c>
      <c r="B14" t="s">
        <v>2637</v>
      </c>
      <c r="C14" s="1850" t="s">
        <v>4204</v>
      </c>
      <c r="D14" s="3"/>
    </row>
    <row r="15" spans="1:4" x14ac:dyDescent="0.35">
      <c r="A15" t="s">
        <v>6278</v>
      </c>
      <c r="B15" t="s">
        <v>6312</v>
      </c>
      <c r="C15" s="583" t="s">
        <v>6966</v>
      </c>
      <c r="D15" s="1101"/>
    </row>
    <row r="16" spans="1:4" x14ac:dyDescent="0.35">
      <c r="A16" t="s">
        <v>6279</v>
      </c>
      <c r="B16" t="s">
        <v>3369</v>
      </c>
      <c r="C16" s="1850" t="s">
        <v>670</v>
      </c>
      <c r="D16" s="9"/>
    </row>
    <row r="17" spans="1:4" x14ac:dyDescent="0.35">
      <c r="A17" t="s">
        <v>6280</v>
      </c>
      <c r="B17" t="s">
        <v>1692</v>
      </c>
      <c r="C17" s="1850" t="s">
        <v>3398</v>
      </c>
      <c r="D17" s="3"/>
    </row>
    <row r="18" spans="1:4" x14ac:dyDescent="0.35">
      <c r="A18" t="s">
        <v>6281</v>
      </c>
      <c r="B18" t="s">
        <v>2134</v>
      </c>
      <c r="C18" s="1850" t="s">
        <v>3398</v>
      </c>
      <c r="D18" s="3"/>
    </row>
    <row r="19" spans="1:4" x14ac:dyDescent="0.35">
      <c r="A19" t="s">
        <v>6282</v>
      </c>
      <c r="B19" t="s">
        <v>2135</v>
      </c>
      <c r="C19" s="1850" t="s">
        <v>3398</v>
      </c>
      <c r="D19" s="3"/>
    </row>
    <row r="20" spans="1:4" x14ac:dyDescent="0.35">
      <c r="A20" t="s">
        <v>6283</v>
      </c>
      <c r="B20" t="s">
        <v>6313</v>
      </c>
      <c r="C20" s="1852" t="s">
        <v>2918</v>
      </c>
      <c r="D20" s="1101"/>
    </row>
    <row r="21" spans="1:4" x14ac:dyDescent="0.35">
      <c r="C21" s="8"/>
    </row>
    <row r="22" spans="1:4" ht="13.15" x14ac:dyDescent="0.4">
      <c r="B22" s="5" t="s">
        <v>6314</v>
      </c>
    </row>
    <row r="23" spans="1:4" ht="13.15" x14ac:dyDescent="0.4">
      <c r="B23" s="1853" t="s">
        <v>6315</v>
      </c>
    </row>
    <row r="24" spans="1:4" x14ac:dyDescent="0.35">
      <c r="B24" s="8"/>
      <c r="D24" s="45"/>
    </row>
    <row r="25" spans="1:4" x14ac:dyDescent="0.35">
      <c r="B25" s="8" t="s">
        <v>6316</v>
      </c>
    </row>
    <row r="26" spans="1:4" x14ac:dyDescent="0.35">
      <c r="B26" s="8"/>
      <c r="D26" s="45"/>
    </row>
    <row r="27" spans="1:4" x14ac:dyDescent="0.35">
      <c r="B27" s="8" t="s">
        <v>3386</v>
      </c>
    </row>
    <row r="28" spans="1:4" x14ac:dyDescent="0.35">
      <c r="B28" s="8"/>
      <c r="D28" s="45"/>
    </row>
    <row r="29" spans="1:4" x14ac:dyDescent="0.35">
      <c r="B29" s="8"/>
    </row>
    <row r="30" spans="1:4" x14ac:dyDescent="0.35">
      <c r="B30" s="8" t="s">
        <v>948</v>
      </c>
      <c r="D30" s="45"/>
    </row>
    <row r="31" spans="1:4" x14ac:dyDescent="0.35">
      <c r="A31" t="s">
        <v>6332</v>
      </c>
      <c r="B31" s="8" t="s">
        <v>4251</v>
      </c>
      <c r="C31" t="s">
        <v>2871</v>
      </c>
    </row>
    <row r="32" spans="1:4" x14ac:dyDescent="0.35">
      <c r="B32" s="8"/>
      <c r="D32" s="45"/>
    </row>
    <row r="33" spans="1:4" x14ac:dyDescent="0.35">
      <c r="A33" t="s">
        <v>6333</v>
      </c>
      <c r="B33" s="8" t="s">
        <v>4015</v>
      </c>
      <c r="C33" t="s">
        <v>2657</v>
      </c>
    </row>
    <row r="34" spans="1:4" x14ac:dyDescent="0.35">
      <c r="B34" s="8"/>
      <c r="D34" s="45"/>
    </row>
    <row r="35" spans="1:4" x14ac:dyDescent="0.35">
      <c r="A35" t="s">
        <v>6334</v>
      </c>
      <c r="B35" t="s">
        <v>16</v>
      </c>
      <c r="C35" t="s">
        <v>2659</v>
      </c>
    </row>
    <row r="36" spans="1:4" ht="13.15" x14ac:dyDescent="0.4">
      <c r="C36" s="10"/>
    </row>
    <row r="37" spans="1:4" x14ac:dyDescent="0.35">
      <c r="A37" t="s">
        <v>6335</v>
      </c>
      <c r="B37" t="s">
        <v>18</v>
      </c>
      <c r="C37" t="s">
        <v>2660</v>
      </c>
    </row>
    <row r="39" spans="1:4" x14ac:dyDescent="0.35">
      <c r="A39" t="s">
        <v>6336</v>
      </c>
      <c r="B39" t="s">
        <v>3556</v>
      </c>
      <c r="C39" t="s">
        <v>3906</v>
      </c>
      <c r="D39">
        <v>842592</v>
      </c>
    </row>
    <row r="41" spans="1:4" x14ac:dyDescent="0.35">
      <c r="A41" t="s">
        <v>6337</v>
      </c>
      <c r="B41" t="s">
        <v>4046</v>
      </c>
      <c r="C41" t="s">
        <v>2389</v>
      </c>
      <c r="D41">
        <v>0</v>
      </c>
    </row>
  </sheetData>
  <phoneticPr fontId="68"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I36"/>
  <sheetViews>
    <sheetView showGridLines="0" showRowColHeaders="0" topLeftCell="B7" workbookViewId="0">
      <selection activeCell="M10" sqref="M10"/>
    </sheetView>
  </sheetViews>
  <sheetFormatPr defaultRowHeight="12.75" x14ac:dyDescent="0.35"/>
  <cols>
    <col min="1" max="1" width="0" hidden="1" customWidth="1"/>
    <col min="2" max="2" width="5.1328125" customWidth="1"/>
    <col min="4" max="4" width="11.1328125" customWidth="1"/>
    <col min="5" max="5" width="12.265625" customWidth="1"/>
    <col min="6" max="6" width="11" customWidth="1"/>
    <col min="7" max="7" width="11.3984375" customWidth="1"/>
    <col min="9" max="9" width="10.1328125" bestFit="1" customWidth="1"/>
  </cols>
  <sheetData>
    <row r="1" spans="1:8" ht="13.15" x14ac:dyDescent="0.4">
      <c r="C1" s="5" t="s">
        <v>2268</v>
      </c>
    </row>
    <row r="3" spans="1:8" x14ac:dyDescent="0.35">
      <c r="C3" s="1021" t="str">
        <f>"Swiss Interest: "&amp;DOLLAR('Swiss (SW)'!G37,0)</f>
        <v>Swiss Interest: £0</v>
      </c>
      <c r="H3" s="1022"/>
    </row>
    <row r="4" spans="1:8" x14ac:dyDescent="0.35">
      <c r="D4" t="s">
        <v>2269</v>
      </c>
      <c r="E4" s="1023">
        <f>'Swiss (SW)'!J67</f>
        <v>0</v>
      </c>
      <c r="F4" s="1024" t="s">
        <v>3996</v>
      </c>
      <c r="G4" s="1025">
        <f>'Swiss (SW)'!M67</f>
        <v>0</v>
      </c>
    </row>
    <row r="5" spans="1:8" x14ac:dyDescent="0.35">
      <c r="E5" s="1022">
        <f>'Swiss (SW)'!J61</f>
        <v>0</v>
      </c>
      <c r="F5" s="1024" t="s">
        <v>4201</v>
      </c>
      <c r="G5" s="1025">
        <f>'Swiss (SW)'!M61</f>
        <v>0</v>
      </c>
    </row>
    <row r="6" spans="1:8" x14ac:dyDescent="0.35">
      <c r="E6" s="1022">
        <f>'Swiss (SW)'!J55</f>
        <v>0</v>
      </c>
      <c r="F6" s="1024" t="s">
        <v>929</v>
      </c>
      <c r="G6" s="1025">
        <f>'Swiss (SW)'!M55</f>
        <v>0</v>
      </c>
    </row>
    <row r="7" spans="1:8" x14ac:dyDescent="0.35">
      <c r="E7" s="1026">
        <f>'Swiss (SW)'!J40</f>
        <v>0</v>
      </c>
      <c r="F7" s="1024" t="s">
        <v>2784</v>
      </c>
      <c r="G7" s="1027">
        <f>'Swiss (SW)'!M40</f>
        <v>0</v>
      </c>
    </row>
    <row r="8" spans="1:8" x14ac:dyDescent="0.35">
      <c r="D8" t="s">
        <v>2319</v>
      </c>
      <c r="E8" s="1023">
        <f>E4+E5+E6+E7</f>
        <v>0</v>
      </c>
      <c r="F8" s="1028"/>
      <c r="G8" s="1029">
        <f>G4+G5+G6+G7</f>
        <v>0</v>
      </c>
    </row>
    <row r="9" spans="1:8" x14ac:dyDescent="0.35">
      <c r="F9" s="1028"/>
    </row>
    <row r="10" spans="1:8" x14ac:dyDescent="0.35">
      <c r="A10" s="1030">
        <f>'Swiss (SW)'!G3</f>
        <v>0</v>
      </c>
      <c r="C10" s="1021" t="str">
        <f>"Swiss dividends that qualify for 10% UK tax credits: (net) "&amp;DOLLAR('Swiss Tax'!J16,0)&amp;", (gross) "&amp;DOLLAR('Swiss (SW)'!G3,0)</f>
        <v>Swiss dividends that qualify for 10% UK tax credits: (net) £0, (gross) £0</v>
      </c>
      <c r="D10" s="21"/>
      <c r="E10" s="21"/>
      <c r="F10" s="1031"/>
      <c r="G10" s="21"/>
    </row>
    <row r="11" spans="1:8" x14ac:dyDescent="0.35">
      <c r="C11" s="21"/>
      <c r="D11" s="21" t="s">
        <v>2269</v>
      </c>
      <c r="E11" s="21"/>
      <c r="F11" s="21"/>
      <c r="G11" s="21"/>
      <c r="H11" s="1023"/>
    </row>
    <row r="12" spans="1:8" x14ac:dyDescent="0.35">
      <c r="C12" s="21"/>
      <c r="D12" s="21"/>
      <c r="E12" s="1032">
        <f>MAX(0,A10-E13-E14-'Taxable (c5)'!AH113)</f>
        <v>0</v>
      </c>
      <c r="F12" s="2559" t="s">
        <v>6851</v>
      </c>
      <c r="G12" s="1034">
        <f>TRUNC(E12*DivBR_rate,2)</f>
        <v>0</v>
      </c>
      <c r="H12" s="1022"/>
    </row>
    <row r="13" spans="1:8" x14ac:dyDescent="0.35">
      <c r="C13" s="21"/>
      <c r="D13" s="21"/>
      <c r="E13" s="1035">
        <f>'Swiss (SW)'!J12</f>
        <v>0</v>
      </c>
      <c r="F13" s="1033" t="s">
        <v>4202</v>
      </c>
      <c r="G13" s="1034">
        <f>TRUNC(E13*DivHR_rate,2)</f>
        <v>0</v>
      </c>
      <c r="H13" s="1022"/>
    </row>
    <row r="14" spans="1:8" x14ac:dyDescent="0.35">
      <c r="C14" s="21"/>
      <c r="D14" s="21"/>
      <c r="E14" s="1036">
        <f>'Swiss (SW)'!J6</f>
        <v>0</v>
      </c>
      <c r="F14" s="2559" t="s">
        <v>6852</v>
      </c>
      <c r="G14" s="1037">
        <f>TRUNC(E14*DivHR_rate,2)</f>
        <v>0</v>
      </c>
    </row>
    <row r="15" spans="1:8" x14ac:dyDescent="0.35">
      <c r="C15" s="21"/>
      <c r="D15" s="21"/>
      <c r="E15" s="1032">
        <f>E11+E12+E13+E14</f>
        <v>0</v>
      </c>
      <c r="F15" s="21"/>
      <c r="G15" s="1029">
        <f>G11+G12+G13+G14</f>
        <v>0</v>
      </c>
    </row>
    <row r="16" spans="1:8" x14ac:dyDescent="0.35">
      <c r="C16" s="21"/>
      <c r="D16" s="21"/>
      <c r="E16" s="21" t="s">
        <v>2270</v>
      </c>
      <c r="F16" s="21"/>
      <c r="G16" s="1037">
        <f>TRUNC(E15*SR_rate,2)</f>
        <v>0</v>
      </c>
    </row>
    <row r="17" spans="3:9" x14ac:dyDescent="0.35">
      <c r="C17" s="21"/>
      <c r="D17" s="21" t="s">
        <v>2319</v>
      </c>
      <c r="E17" s="21"/>
      <c r="F17" s="21"/>
      <c r="G17" s="1038">
        <f>MAX(0,G15-G16)</f>
        <v>0</v>
      </c>
    </row>
    <row r="19" spans="3:9" x14ac:dyDescent="0.35">
      <c r="C19" s="1021" t="str">
        <f>"Swiss dividends that do not qualify for 10% UK tax credits: "&amp;DOLLAR('Swiss (SW)'!G17,0)</f>
        <v>Swiss dividends that do not qualify for 10% UK tax credits: £0</v>
      </c>
      <c r="D19" s="21"/>
      <c r="E19" s="21"/>
      <c r="F19" s="21"/>
      <c r="G19" s="21"/>
    </row>
    <row r="20" spans="3:9" x14ac:dyDescent="0.35">
      <c r="C20" s="21"/>
      <c r="D20" s="21" t="s">
        <v>2269</v>
      </c>
      <c r="E20" s="1032">
        <f>'Swiss (SW)'!J32</f>
        <v>0</v>
      </c>
      <c r="F20" s="2559" t="s">
        <v>6851</v>
      </c>
      <c r="G20" s="1034">
        <f>'Swiss (SW)'!M32</f>
        <v>0</v>
      </c>
    </row>
    <row r="21" spans="3:9" x14ac:dyDescent="0.35">
      <c r="C21" s="21"/>
      <c r="D21" s="21"/>
      <c r="E21" s="1035">
        <f>'Swiss (SW)'!J26</f>
        <v>0</v>
      </c>
      <c r="F21" s="1033" t="s">
        <v>4202</v>
      </c>
      <c r="G21" s="1034">
        <f>'Swiss (SW)'!M26</f>
        <v>0</v>
      </c>
      <c r="H21" s="1023"/>
      <c r="I21" s="1022"/>
    </row>
    <row r="22" spans="3:9" x14ac:dyDescent="0.35">
      <c r="C22" s="21"/>
      <c r="D22" s="21"/>
      <c r="E22" s="1036">
        <f>'Swiss (SW)'!J20</f>
        <v>0</v>
      </c>
      <c r="F22" s="2559" t="s">
        <v>6852</v>
      </c>
      <c r="G22" s="1037">
        <f>'Swiss (SW)'!M20</f>
        <v>0</v>
      </c>
    </row>
    <row r="23" spans="3:9" x14ac:dyDescent="0.35">
      <c r="C23" s="21"/>
      <c r="D23" s="21" t="s">
        <v>2319</v>
      </c>
      <c r="E23" s="1032">
        <f>E19+E20+E21+E22</f>
        <v>0</v>
      </c>
      <c r="F23" s="21"/>
      <c r="G23" s="1029">
        <f>G19+G20+G21+G22</f>
        <v>0</v>
      </c>
    </row>
    <row r="25" spans="3:9" x14ac:dyDescent="0.35">
      <c r="C25" t="str">
        <f>"Total Swiss dividends: "&amp;DOLLAR('Swiss (SW)'!G3+'Swiss (SW)'!G17,0)</f>
        <v>Total Swiss dividends: £0</v>
      </c>
    </row>
    <row r="26" spans="3:9" x14ac:dyDescent="0.35">
      <c r="D26" t="s">
        <v>2269</v>
      </c>
      <c r="E26" s="1022">
        <f>E12+E20</f>
        <v>0</v>
      </c>
      <c r="F26" s="2559" t="s">
        <v>6851</v>
      </c>
      <c r="G26" s="1025">
        <f>G12+G20</f>
        <v>0</v>
      </c>
    </row>
    <row r="27" spans="3:9" x14ac:dyDescent="0.35">
      <c r="E27" s="1022">
        <f t="shared" ref="E27:G29" si="0">E13+E21</f>
        <v>0</v>
      </c>
      <c r="F27" s="1024" t="s">
        <v>4202</v>
      </c>
      <c r="G27" s="1025">
        <f t="shared" si="0"/>
        <v>0</v>
      </c>
      <c r="I27" s="1034"/>
    </row>
    <row r="28" spans="3:9" x14ac:dyDescent="0.35">
      <c r="E28" s="1026">
        <f t="shared" si="0"/>
        <v>0</v>
      </c>
      <c r="F28" s="2559" t="s">
        <v>6853</v>
      </c>
      <c r="G28" s="1027">
        <f t="shared" si="0"/>
        <v>0</v>
      </c>
    </row>
    <row r="29" spans="3:9" x14ac:dyDescent="0.35">
      <c r="E29" s="1022">
        <f t="shared" si="0"/>
        <v>0</v>
      </c>
      <c r="G29" s="1025">
        <f t="shared" si="0"/>
        <v>0</v>
      </c>
    </row>
    <row r="30" spans="3:9" x14ac:dyDescent="0.35">
      <c r="E30" t="s">
        <v>2270</v>
      </c>
      <c r="G30" s="1027">
        <f>G16</f>
        <v>0</v>
      </c>
    </row>
    <row r="31" spans="3:9" ht="13.15" x14ac:dyDescent="0.4">
      <c r="D31" s="5" t="s">
        <v>2271</v>
      </c>
      <c r="E31" s="5"/>
      <c r="F31" s="5"/>
      <c r="G31" s="1039">
        <f>G29-G30</f>
        <v>0</v>
      </c>
    </row>
    <row r="32" spans="3:9" ht="13.15" x14ac:dyDescent="0.4">
      <c r="D32" s="5"/>
      <c r="E32" s="5"/>
      <c r="F32" s="5"/>
      <c r="G32" s="5"/>
    </row>
    <row r="33" spans="4:7" ht="13.15" x14ac:dyDescent="0.4">
      <c r="D33" s="5" t="s">
        <v>2272</v>
      </c>
      <c r="E33" s="5"/>
      <c r="F33" s="5"/>
      <c r="G33" s="1039">
        <f>G8</f>
        <v>0</v>
      </c>
    </row>
    <row r="34" spans="4:7" ht="13.15" x14ac:dyDescent="0.4">
      <c r="D34" s="5"/>
      <c r="E34" s="5"/>
      <c r="F34" s="5"/>
      <c r="G34" s="5"/>
    </row>
    <row r="35" spans="4:7" ht="13.15" x14ac:dyDescent="0.4">
      <c r="D35" s="5" t="s">
        <v>2273</v>
      </c>
      <c r="E35" s="5"/>
      <c r="F35" s="5"/>
      <c r="G35" s="1040">
        <f>G8+G17+G23</f>
        <v>0</v>
      </c>
    </row>
    <row r="36" spans="4:7" ht="13.15" x14ac:dyDescent="0.4">
      <c r="D36" s="5" t="s">
        <v>2274</v>
      </c>
      <c r="E36" s="5"/>
      <c r="F36" s="5"/>
      <c r="G36" s="5"/>
    </row>
  </sheetData>
  <phoneticPr fontId="68" type="noConversion"/>
  <pageMargins left="0.19685" right="0.19685" top="0.19685" bottom="0.19685" header="0" footer="0"/>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I28"/>
  <sheetViews>
    <sheetView showGridLines="0" showRowColHeaders="0" workbookViewId="0">
      <selection activeCell="B1" sqref="B1"/>
    </sheetView>
  </sheetViews>
  <sheetFormatPr defaultColWidth="9.1328125" defaultRowHeight="11.65" x14ac:dyDescent="0.35"/>
  <cols>
    <col min="1" max="1" width="9.1328125" style="206"/>
    <col min="2" max="2" width="4.59765625" style="206" customWidth="1"/>
    <col min="3" max="3" width="12.86328125" style="206" customWidth="1"/>
    <col min="4" max="4" width="24" style="206" customWidth="1"/>
    <col min="5" max="5" width="12.73046875" style="206" customWidth="1"/>
    <col min="6" max="6" width="4.265625" style="206" customWidth="1"/>
    <col min="7" max="7" width="14.59765625" style="206" customWidth="1"/>
    <col min="8" max="8" width="30.73046875" style="206" customWidth="1"/>
    <col min="9" max="9" width="23.3984375" style="206" customWidth="1"/>
    <col min="10" max="16384" width="9.1328125" style="206"/>
  </cols>
  <sheetData>
    <row r="1" spans="1:9" ht="12.75" customHeight="1" x14ac:dyDescent="0.35">
      <c r="A1" s="164"/>
      <c r="B1" s="164"/>
      <c r="C1" s="164"/>
      <c r="D1" s="164"/>
      <c r="E1" s="164"/>
      <c r="F1" s="164"/>
      <c r="G1" s="164"/>
      <c r="H1" s="515"/>
      <c r="I1" s="164"/>
    </row>
    <row r="2" spans="1:9" ht="6.75" customHeight="1" x14ac:dyDescent="0.35">
      <c r="A2" s="164"/>
      <c r="B2" s="164"/>
      <c r="C2" s="164"/>
      <c r="D2" s="164"/>
      <c r="E2" s="164"/>
      <c r="F2" s="164"/>
      <c r="G2" s="164"/>
      <c r="H2" s="164"/>
      <c r="I2" s="164"/>
    </row>
    <row r="3" spans="1:9" ht="12.75" customHeight="1" x14ac:dyDescent="0.35">
      <c r="A3" s="164"/>
      <c r="B3" s="520"/>
      <c r="C3" s="180"/>
      <c r="D3" s="180"/>
      <c r="E3" s="180"/>
      <c r="F3" s="180"/>
      <c r="G3" s="180"/>
      <c r="H3" s="181"/>
      <c r="I3" s="164"/>
    </row>
    <row r="4" spans="1:9" ht="12.75" customHeight="1" x14ac:dyDescent="0.35">
      <c r="A4" s="164"/>
      <c r="B4" s="455"/>
      <c r="C4" s="229"/>
      <c r="D4" s="166"/>
      <c r="E4" s="166"/>
      <c r="F4" s="455"/>
      <c r="G4" s="229"/>
      <c r="H4" s="183"/>
      <c r="I4" s="164"/>
    </row>
    <row r="5" spans="1:9" ht="12.75" customHeight="1" x14ac:dyDescent="0.35">
      <c r="A5" s="164"/>
      <c r="B5" s="182"/>
      <c r="C5" s="519"/>
      <c r="D5" s="166"/>
      <c r="E5" s="166"/>
      <c r="F5" s="166"/>
      <c r="G5" s="519"/>
      <c r="H5" s="183"/>
      <c r="I5" s="164"/>
    </row>
    <row r="6" spans="1:9" ht="9.75" customHeight="1" x14ac:dyDescent="0.35">
      <c r="A6" s="164"/>
      <c r="B6" s="182"/>
      <c r="C6" s="166"/>
      <c r="D6" s="166"/>
      <c r="E6" s="166"/>
      <c r="F6" s="166"/>
      <c r="G6" s="166"/>
      <c r="H6" s="183"/>
      <c r="I6" s="164"/>
    </row>
    <row r="7" spans="1:9" ht="12.75" customHeight="1" x14ac:dyDescent="0.35">
      <c r="A7" s="164"/>
      <c r="B7" s="455"/>
      <c r="C7" s="229"/>
      <c r="D7" s="516"/>
      <c r="E7" s="516"/>
      <c r="F7" s="1461"/>
      <c r="G7" s="229"/>
      <c r="H7" s="183"/>
      <c r="I7" s="164"/>
    </row>
    <row r="8" spans="1:9" ht="12.75" customHeight="1" x14ac:dyDescent="0.35">
      <c r="A8" s="164"/>
      <c r="B8" s="521"/>
      <c r="C8" s="519"/>
      <c r="D8" s="516"/>
      <c r="E8" s="516"/>
      <c r="F8" s="166"/>
      <c r="G8" s="519"/>
      <c r="H8" s="183"/>
      <c r="I8" s="164"/>
    </row>
    <row r="9" spans="1:9" ht="7.5" customHeight="1" x14ac:dyDescent="0.35">
      <c r="A9" s="164"/>
      <c r="B9" s="521"/>
      <c r="C9" s="518"/>
      <c r="D9" s="516"/>
      <c r="E9" s="516"/>
      <c r="F9" s="166"/>
      <c r="G9" s="166"/>
      <c r="H9" s="183"/>
      <c r="I9" s="164"/>
    </row>
    <row r="10" spans="1:9" ht="12.75" customHeight="1" x14ac:dyDescent="0.35">
      <c r="A10" s="164"/>
      <c r="B10" s="455"/>
      <c r="C10" s="229"/>
      <c r="D10" s="516"/>
      <c r="E10" s="516"/>
      <c r="F10" s="455"/>
      <c r="G10" s="229"/>
      <c r="H10" s="522"/>
      <c r="I10" s="164"/>
    </row>
    <row r="11" spans="1:9" ht="12.75" customHeight="1" x14ac:dyDescent="0.35">
      <c r="A11" s="164"/>
      <c r="B11" s="523"/>
      <c r="C11" s="519"/>
      <c r="D11" s="516"/>
      <c r="E11" s="516"/>
      <c r="F11" s="166"/>
      <c r="G11" s="519"/>
      <c r="H11" s="522"/>
      <c r="I11" s="164"/>
    </row>
    <row r="12" spans="1:9" ht="8.25" customHeight="1" x14ac:dyDescent="0.35">
      <c r="A12" s="164"/>
      <c r="B12" s="524"/>
      <c r="C12" s="229"/>
      <c r="D12" s="229"/>
      <c r="E12" s="516"/>
      <c r="F12" s="516"/>
      <c r="G12" s="516"/>
      <c r="H12" s="522"/>
      <c r="I12" s="164"/>
    </row>
    <row r="13" spans="1:9" ht="12.75" customHeight="1" x14ac:dyDescent="0.35">
      <c r="A13" s="164"/>
      <c r="B13" s="455"/>
      <c r="C13" s="516"/>
      <c r="D13" s="516"/>
      <c r="E13" s="516"/>
      <c r="F13" s="455"/>
      <c r="G13" s="229"/>
      <c r="H13" s="522"/>
      <c r="I13" s="164"/>
    </row>
    <row r="14" spans="1:9" ht="12.75" customHeight="1" x14ac:dyDescent="0.35">
      <c r="A14" s="164"/>
      <c r="B14" s="523"/>
      <c r="C14" s="428"/>
      <c r="D14" s="229"/>
      <c r="E14" s="516"/>
      <c r="F14" s="516"/>
      <c r="G14" s="428"/>
      <c r="H14" s="522"/>
      <c r="I14" s="164"/>
    </row>
    <row r="15" spans="1:9" ht="8.25" customHeight="1" x14ac:dyDescent="0.35">
      <c r="A15" s="164"/>
      <c r="B15" s="523"/>
      <c r="C15" s="229"/>
      <c r="D15" s="229"/>
      <c r="E15" s="516"/>
      <c r="F15" s="516"/>
      <c r="G15" s="516"/>
      <c r="H15" s="522"/>
      <c r="I15" s="164"/>
    </row>
    <row r="16" spans="1:9" ht="12.75" customHeight="1" x14ac:dyDescent="0.35">
      <c r="A16" s="164"/>
      <c r="B16" s="455"/>
      <c r="C16" s="517"/>
      <c r="D16" s="229"/>
      <c r="E16" s="516"/>
      <c r="F16" s="455"/>
      <c r="G16" s="229"/>
      <c r="H16" s="522"/>
      <c r="I16" s="164"/>
    </row>
    <row r="17" spans="1:9" ht="12.75" customHeight="1" x14ac:dyDescent="0.35">
      <c r="A17" s="164"/>
      <c r="B17" s="523"/>
      <c r="C17" s="428"/>
      <c r="D17" s="229"/>
      <c r="E17" s="516"/>
      <c r="F17" s="516"/>
      <c r="G17" s="428"/>
      <c r="H17" s="522"/>
      <c r="I17" s="164"/>
    </row>
    <row r="18" spans="1:9" ht="7.5" customHeight="1" x14ac:dyDescent="0.35">
      <c r="A18" s="164"/>
      <c r="B18" s="525"/>
      <c r="C18" s="526"/>
      <c r="D18" s="527"/>
      <c r="E18" s="527"/>
      <c r="F18" s="527"/>
      <c r="G18" s="527"/>
      <c r="H18" s="528"/>
      <c r="I18" s="164"/>
    </row>
    <row r="19" spans="1:9" ht="6.75" customHeight="1" x14ac:dyDescent="0.35">
      <c r="A19" s="164"/>
      <c r="B19" s="164"/>
      <c r="C19" s="164"/>
      <c r="D19" s="164"/>
      <c r="E19" s="164"/>
      <c r="F19" s="164"/>
      <c r="G19" s="164"/>
      <c r="H19" s="164"/>
      <c r="I19" s="164"/>
    </row>
    <row r="20" spans="1:9" ht="12.75" customHeight="1" x14ac:dyDescent="0.35">
      <c r="A20" s="164"/>
      <c r="B20" s="164"/>
      <c r="C20" s="164"/>
      <c r="D20" s="164"/>
      <c r="E20" s="164"/>
      <c r="F20" s="164"/>
      <c r="G20" s="164"/>
      <c r="H20" s="164"/>
      <c r="I20" s="164"/>
    </row>
    <row r="21" spans="1:9" ht="12.75" customHeight="1" x14ac:dyDescent="0.35">
      <c r="A21" s="164"/>
      <c r="B21" s="164"/>
      <c r="C21" s="164"/>
      <c r="D21" s="164"/>
      <c r="E21" s="164"/>
      <c r="F21" s="164"/>
      <c r="G21" s="164"/>
      <c r="H21" s="164"/>
      <c r="I21" s="164"/>
    </row>
    <row r="22" spans="1:9" ht="12.75" customHeight="1" x14ac:dyDescent="0.35">
      <c r="A22" s="164"/>
      <c r="B22" s="164"/>
      <c r="C22" s="164"/>
      <c r="D22" s="164"/>
      <c r="E22" s="164"/>
      <c r="F22" s="164"/>
      <c r="G22" s="164"/>
      <c r="H22" s="164"/>
      <c r="I22" s="164"/>
    </row>
    <row r="23" spans="1:9" x14ac:dyDescent="0.35">
      <c r="A23" s="164"/>
      <c r="B23" s="164"/>
      <c r="C23" s="164"/>
      <c r="D23" s="164"/>
      <c r="E23" s="164"/>
      <c r="F23" s="164"/>
      <c r="G23" s="164"/>
      <c r="H23" s="164"/>
      <c r="I23" s="164"/>
    </row>
    <row r="24" spans="1:9" x14ac:dyDescent="0.35">
      <c r="A24" s="164"/>
      <c r="B24" s="164"/>
      <c r="C24" s="164"/>
      <c r="D24" s="164"/>
      <c r="E24" s="164"/>
      <c r="F24" s="164"/>
      <c r="G24" s="164"/>
      <c r="H24" s="164"/>
      <c r="I24" s="164"/>
    </row>
    <row r="25" spans="1:9" x14ac:dyDescent="0.35">
      <c r="A25" s="164"/>
      <c r="B25" s="164"/>
      <c r="C25" s="164"/>
      <c r="D25" s="164"/>
      <c r="E25" s="164"/>
      <c r="F25" s="164"/>
      <c r="G25" s="164"/>
      <c r="H25" s="164"/>
      <c r="I25" s="164"/>
    </row>
    <row r="26" spans="1:9" x14ac:dyDescent="0.35">
      <c r="A26" s="164"/>
      <c r="B26" s="164"/>
      <c r="C26" s="164"/>
      <c r="D26" s="164"/>
      <c r="E26" s="164"/>
      <c r="F26" s="164"/>
      <c r="G26" s="164"/>
      <c r="H26" s="164"/>
      <c r="I26" s="164"/>
    </row>
    <row r="27" spans="1:9" x14ac:dyDescent="0.35">
      <c r="A27" s="164"/>
      <c r="B27" s="164"/>
      <c r="C27" s="164"/>
      <c r="D27" s="164"/>
      <c r="E27" s="164"/>
      <c r="F27" s="164"/>
      <c r="G27" s="164"/>
      <c r="H27" s="164"/>
      <c r="I27" s="164"/>
    </row>
    <row r="28" spans="1:9" x14ac:dyDescent="0.35">
      <c r="A28" s="164"/>
      <c r="B28" s="164"/>
      <c r="C28" s="164"/>
      <c r="D28" s="164"/>
      <c r="E28" s="164"/>
      <c r="F28" s="164"/>
      <c r="G28" s="164"/>
      <c r="H28" s="164"/>
      <c r="I28" s="164"/>
    </row>
  </sheetData>
  <phoneticPr fontId="68" type="noConversion"/>
  <pageMargins left="0.196850393700787" right="0.196850393700787" top="0.196850393700787" bottom="0.196850393700787" header="0" footer="0"/>
  <pageSetup paperSize="9" orientation="landscape"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FFFF99"/>
  </sheetPr>
  <dimension ref="A1:I124"/>
  <sheetViews>
    <sheetView showGridLines="0" workbookViewId="0"/>
  </sheetViews>
  <sheetFormatPr defaultColWidth="9.1328125" defaultRowHeight="11.65" x14ac:dyDescent="0.35"/>
  <cols>
    <col min="1" max="1" width="4.59765625" style="4" customWidth="1"/>
    <col min="2" max="2" width="21.265625" style="4" customWidth="1"/>
    <col min="3" max="3" width="15.59765625" style="4" customWidth="1"/>
    <col min="4" max="4" width="9.3984375" style="4" customWidth="1"/>
    <col min="5" max="5" width="1" style="146" customWidth="1"/>
    <col min="6" max="6" width="5.1328125" style="4" customWidth="1"/>
    <col min="7" max="7" width="21.3984375" style="4" bestFit="1" customWidth="1"/>
    <col min="8" max="8" width="17.1328125" style="4" customWidth="1"/>
    <col min="9" max="9" width="10.73046875" style="4" customWidth="1"/>
    <col min="10" max="10" width="2.73046875" style="146" customWidth="1"/>
    <col min="11" max="16384" width="9.1328125" style="146"/>
  </cols>
  <sheetData>
    <row r="1" spans="1:9" ht="12" customHeight="1" x14ac:dyDescent="0.35">
      <c r="A1" s="933" t="s">
        <v>2955</v>
      </c>
      <c r="B1" s="933" t="s">
        <v>2956</v>
      </c>
      <c r="C1" s="97" t="s">
        <v>853</v>
      </c>
      <c r="D1" s="97" t="s">
        <v>838</v>
      </c>
      <c r="F1" s="933" t="s">
        <v>2955</v>
      </c>
      <c r="G1" s="933" t="s">
        <v>2956</v>
      </c>
      <c r="H1" s="97" t="s">
        <v>853</v>
      </c>
      <c r="I1" s="97" t="s">
        <v>838</v>
      </c>
    </row>
    <row r="2" spans="1:9" x14ac:dyDescent="0.35">
      <c r="A2" s="934" t="s">
        <v>4133</v>
      </c>
      <c r="B2" s="935" t="s">
        <v>2957</v>
      </c>
      <c r="C2" s="98" t="s">
        <v>4985</v>
      </c>
      <c r="D2" s="99"/>
      <c r="F2" s="437" t="s">
        <v>985</v>
      </c>
      <c r="G2" s="438" t="s">
        <v>3593</v>
      </c>
      <c r="H2" s="2762" t="s">
        <v>4014</v>
      </c>
      <c r="I2" s="66"/>
    </row>
    <row r="3" spans="1:9" x14ac:dyDescent="0.35">
      <c r="A3" s="934" t="s">
        <v>629</v>
      </c>
      <c r="B3" s="935" t="s">
        <v>3591</v>
      </c>
      <c r="C3" s="99" t="s">
        <v>564</v>
      </c>
      <c r="D3" s="99"/>
      <c r="F3" s="3291" t="s">
        <v>986</v>
      </c>
      <c r="G3" s="3292" t="s">
        <v>1349</v>
      </c>
      <c r="H3" s="2766" t="s">
        <v>913</v>
      </c>
      <c r="I3" s="2762"/>
    </row>
    <row r="4" spans="1:9" x14ac:dyDescent="0.35">
      <c r="A4" s="934" t="s">
        <v>630</v>
      </c>
      <c r="B4" s="935" t="s">
        <v>3592</v>
      </c>
      <c r="C4" s="99" t="s">
        <v>3985</v>
      </c>
      <c r="D4" s="99"/>
      <c r="F4" s="934" t="s">
        <v>861</v>
      </c>
      <c r="G4" s="438" t="s">
        <v>1087</v>
      </c>
      <c r="H4" s="3293" t="s">
        <v>1788</v>
      </c>
      <c r="I4" s="66"/>
    </row>
    <row r="5" spans="1:9" x14ac:dyDescent="0.35">
      <c r="A5" s="934" t="s">
        <v>631</v>
      </c>
      <c r="B5" s="935" t="s">
        <v>3594</v>
      </c>
      <c r="C5" s="99" t="s">
        <v>4986</v>
      </c>
      <c r="D5" s="99"/>
      <c r="F5" s="934" t="s">
        <v>863</v>
      </c>
      <c r="G5" s="438" t="s">
        <v>4104</v>
      </c>
      <c r="H5" s="3293" t="s">
        <v>1789</v>
      </c>
      <c r="I5" s="99"/>
    </row>
    <row r="6" spans="1:9" x14ac:dyDescent="0.35">
      <c r="A6" s="934" t="s">
        <v>632</v>
      </c>
      <c r="B6" s="935" t="s">
        <v>2878</v>
      </c>
      <c r="C6" s="99" t="s">
        <v>3986</v>
      </c>
      <c r="D6" s="99"/>
      <c r="F6" s="65" t="s">
        <v>863</v>
      </c>
      <c r="G6" s="438" t="s">
        <v>2949</v>
      </c>
      <c r="H6" s="3293" t="s">
        <v>3198</v>
      </c>
      <c r="I6" s="66"/>
    </row>
    <row r="7" spans="1:9" x14ac:dyDescent="0.35">
      <c r="A7" s="934" t="s">
        <v>633</v>
      </c>
      <c r="B7" s="935" t="s">
        <v>1085</v>
      </c>
      <c r="C7" s="99" t="s">
        <v>4743</v>
      </c>
      <c r="D7" s="99"/>
      <c r="F7" s="934" t="s">
        <v>864</v>
      </c>
      <c r="G7" s="3232" t="s">
        <v>8364</v>
      </c>
      <c r="H7" s="3230" t="s">
        <v>3576</v>
      </c>
      <c r="I7" s="3721"/>
    </row>
    <row r="8" spans="1:9" x14ac:dyDescent="0.35">
      <c r="A8" s="934" t="s">
        <v>634</v>
      </c>
      <c r="B8" s="935" t="s">
        <v>1086</v>
      </c>
      <c r="C8" s="99" t="s">
        <v>4729</v>
      </c>
      <c r="D8" s="99"/>
      <c r="F8" s="3772" t="s">
        <v>864</v>
      </c>
      <c r="G8" s="3775" t="s">
        <v>3599</v>
      </c>
      <c r="H8" s="3773" t="s">
        <v>3576</v>
      </c>
      <c r="I8" s="3774"/>
    </row>
    <row r="9" spans="1:9" ht="12" customHeight="1" x14ac:dyDescent="0.35">
      <c r="A9" s="934" t="s">
        <v>635</v>
      </c>
      <c r="B9" s="935" t="s">
        <v>2528</v>
      </c>
      <c r="C9" s="99" t="s">
        <v>3669</v>
      </c>
      <c r="D9" s="99"/>
      <c r="F9" s="934" t="s">
        <v>2234</v>
      </c>
      <c r="G9" s="935" t="s">
        <v>577</v>
      </c>
      <c r="H9" s="65" t="s">
        <v>3586</v>
      </c>
      <c r="I9" s="98"/>
    </row>
    <row r="10" spans="1:9" ht="23.25" customHeight="1" x14ac:dyDescent="0.35">
      <c r="A10" s="934" t="s">
        <v>636</v>
      </c>
      <c r="B10" s="935" t="s">
        <v>4105</v>
      </c>
      <c r="C10" s="2669" t="s">
        <v>6284</v>
      </c>
      <c r="D10" s="99"/>
      <c r="F10" s="934" t="s">
        <v>846</v>
      </c>
      <c r="G10" s="935" t="s">
        <v>2611</v>
      </c>
      <c r="H10" s="65" t="s">
        <v>3140</v>
      </c>
      <c r="I10" s="65"/>
    </row>
    <row r="11" spans="1:9" ht="12" customHeight="1" x14ac:dyDescent="0.35">
      <c r="A11" s="934" t="s">
        <v>3199</v>
      </c>
      <c r="B11" s="935" t="s">
        <v>3200</v>
      </c>
      <c r="C11" s="2669" t="s">
        <v>136</v>
      </c>
      <c r="D11" s="99"/>
      <c r="F11" s="934" t="s">
        <v>6574</v>
      </c>
      <c r="G11" s="935" t="s">
        <v>6391</v>
      </c>
      <c r="H11" s="99" t="s">
        <v>7938</v>
      </c>
      <c r="I11" s="98"/>
    </row>
    <row r="12" spans="1:9" ht="33" customHeight="1" x14ac:dyDescent="0.35">
      <c r="A12" s="934" t="s">
        <v>637</v>
      </c>
      <c r="B12" s="935" t="s">
        <v>2950</v>
      </c>
      <c r="C12" s="2669" t="s">
        <v>5582</v>
      </c>
      <c r="D12" s="99"/>
      <c r="F12" s="934" t="s">
        <v>865</v>
      </c>
      <c r="G12" s="438" t="s">
        <v>1438</v>
      </c>
      <c r="H12" s="2762" t="s">
        <v>1560</v>
      </c>
      <c r="I12" s="66"/>
    </row>
    <row r="13" spans="1:9" x14ac:dyDescent="0.35">
      <c r="A13" s="934" t="s">
        <v>638</v>
      </c>
      <c r="B13" s="935" t="s">
        <v>1461</v>
      </c>
      <c r="C13" s="99" t="s">
        <v>647</v>
      </c>
      <c r="D13" s="99"/>
      <c r="F13" s="437" t="s">
        <v>866</v>
      </c>
      <c r="G13" s="438" t="s">
        <v>1440</v>
      </c>
      <c r="H13" s="2763" t="s">
        <v>5483</v>
      </c>
      <c r="I13" s="66"/>
    </row>
    <row r="14" spans="1:9" x14ac:dyDescent="0.35">
      <c r="A14" s="934" t="s">
        <v>639</v>
      </c>
      <c r="B14" s="935" t="s">
        <v>1439</v>
      </c>
      <c r="C14" s="98" t="s">
        <v>145</v>
      </c>
      <c r="D14" s="99"/>
      <c r="F14" s="934" t="s">
        <v>868</v>
      </c>
      <c r="G14" s="438" t="s">
        <v>1442</v>
      </c>
      <c r="H14" s="2762" t="s">
        <v>5761</v>
      </c>
      <c r="I14" s="99"/>
    </row>
    <row r="15" spans="1:9" x14ac:dyDescent="0.35">
      <c r="A15" s="934" t="s">
        <v>917</v>
      </c>
      <c r="B15" s="935" t="s">
        <v>1441</v>
      </c>
      <c r="C15" s="99" t="s">
        <v>4719</v>
      </c>
      <c r="D15" s="99"/>
      <c r="F15" s="65" t="s">
        <v>868</v>
      </c>
      <c r="G15" s="438" t="s">
        <v>1444</v>
      </c>
      <c r="H15" s="2762" t="s">
        <v>6348</v>
      </c>
      <c r="I15" s="66"/>
    </row>
    <row r="16" spans="1:9" x14ac:dyDescent="0.35">
      <c r="A16" s="934" t="s">
        <v>918</v>
      </c>
      <c r="B16" s="935" t="s">
        <v>1443</v>
      </c>
      <c r="C16" s="99" t="s">
        <v>4652</v>
      </c>
      <c r="D16" s="99"/>
      <c r="F16" s="1781" t="s">
        <v>869</v>
      </c>
      <c r="G16" s="1782" t="s">
        <v>1141</v>
      </c>
      <c r="H16" s="3194" t="s">
        <v>7879</v>
      </c>
      <c r="I16" s="3194"/>
    </row>
    <row r="17" spans="1:9" x14ac:dyDescent="0.35">
      <c r="A17" s="934" t="s">
        <v>919</v>
      </c>
      <c r="B17" s="935" t="s">
        <v>1445</v>
      </c>
      <c r="C17" s="99" t="s">
        <v>4723</v>
      </c>
      <c r="D17" s="99"/>
      <c r="F17" s="65" t="s">
        <v>870</v>
      </c>
      <c r="G17" s="935" t="s">
        <v>1812</v>
      </c>
      <c r="H17" s="66" t="s">
        <v>849</v>
      </c>
      <c r="I17" s="66"/>
    </row>
    <row r="18" spans="1:9" x14ac:dyDescent="0.35">
      <c r="A18" s="934" t="s">
        <v>920</v>
      </c>
      <c r="B18" s="935" t="s">
        <v>1142</v>
      </c>
      <c r="C18" s="98" t="s">
        <v>2409</v>
      </c>
      <c r="D18" s="99"/>
      <c r="F18" s="934" t="s">
        <v>3452</v>
      </c>
      <c r="G18" s="935" t="s">
        <v>1814</v>
      </c>
      <c r="H18" s="98" t="s">
        <v>3928</v>
      </c>
      <c r="I18" s="98"/>
    </row>
    <row r="19" spans="1:9" x14ac:dyDescent="0.35">
      <c r="A19" s="934" t="s">
        <v>2692</v>
      </c>
      <c r="B19" s="935" t="s">
        <v>1817</v>
      </c>
      <c r="C19" s="99" t="s">
        <v>4518</v>
      </c>
      <c r="D19" s="99"/>
      <c r="F19" s="934" t="s">
        <v>3452</v>
      </c>
      <c r="G19" s="935" t="s">
        <v>1816</v>
      </c>
      <c r="H19" s="66" t="s">
        <v>3929</v>
      </c>
      <c r="I19" s="66"/>
    </row>
    <row r="20" spans="1:9" x14ac:dyDescent="0.35">
      <c r="A20" s="934" t="s">
        <v>2693</v>
      </c>
      <c r="B20" s="935" t="s">
        <v>1815</v>
      </c>
      <c r="C20" s="65" t="s">
        <v>4524</v>
      </c>
      <c r="D20" s="99"/>
      <c r="F20" s="437" t="s">
        <v>2741</v>
      </c>
      <c r="G20" s="935" t="s">
        <v>1818</v>
      </c>
      <c r="H20" s="98" t="s">
        <v>3930</v>
      </c>
      <c r="I20" s="98"/>
    </row>
    <row r="21" spans="1:9" x14ac:dyDescent="0.35">
      <c r="A21" s="934" t="s">
        <v>2695</v>
      </c>
      <c r="B21" s="935" t="s">
        <v>1813</v>
      </c>
      <c r="C21" s="65" t="s">
        <v>4490</v>
      </c>
      <c r="D21" s="99"/>
      <c r="F21" s="437" t="s">
        <v>2741</v>
      </c>
      <c r="G21" s="935" t="s">
        <v>1819</v>
      </c>
      <c r="H21" s="936" t="s">
        <v>3931</v>
      </c>
      <c r="I21" s="936"/>
    </row>
    <row r="22" spans="1:9" x14ac:dyDescent="0.35">
      <c r="A22" s="934" t="s">
        <v>2695</v>
      </c>
      <c r="B22" s="935" t="s">
        <v>2925</v>
      </c>
      <c r="C22" s="4" t="s">
        <v>4517</v>
      </c>
      <c r="D22" s="98"/>
      <c r="F22" s="437" t="s">
        <v>4634</v>
      </c>
      <c r="G22" s="935" t="s">
        <v>4731</v>
      </c>
      <c r="H22" s="936" t="s">
        <v>3284</v>
      </c>
      <c r="I22" s="936"/>
    </row>
    <row r="23" spans="1:9" x14ac:dyDescent="0.35">
      <c r="A23" s="934" t="s">
        <v>2696</v>
      </c>
      <c r="B23" s="935" t="s">
        <v>1397</v>
      </c>
      <c r="C23" s="99" t="s">
        <v>4521</v>
      </c>
      <c r="D23" s="99"/>
      <c r="F23" s="437" t="s">
        <v>4732</v>
      </c>
      <c r="G23" s="935" t="s">
        <v>4734</v>
      </c>
      <c r="H23" s="936" t="s">
        <v>4594</v>
      </c>
      <c r="I23" s="936"/>
    </row>
    <row r="24" spans="1:9" x14ac:dyDescent="0.35">
      <c r="A24" s="934" t="s">
        <v>1820</v>
      </c>
      <c r="B24" s="935" t="s">
        <v>1399</v>
      </c>
      <c r="C24" s="99" t="s">
        <v>4519</v>
      </c>
      <c r="D24" s="99"/>
      <c r="F24" s="437" t="s">
        <v>4733</v>
      </c>
      <c r="G24" s="935" t="s">
        <v>4635</v>
      </c>
      <c r="H24" s="936" t="s">
        <v>1628</v>
      </c>
      <c r="I24" s="936"/>
    </row>
    <row r="25" spans="1:9" x14ac:dyDescent="0.35">
      <c r="A25" s="934" t="s">
        <v>1821</v>
      </c>
      <c r="B25" s="935" t="s">
        <v>1402</v>
      </c>
      <c r="C25" s="65" t="s">
        <v>4540</v>
      </c>
      <c r="D25" s="99"/>
      <c r="F25" s="437" t="s">
        <v>2742</v>
      </c>
      <c r="G25" s="438" t="s">
        <v>1398</v>
      </c>
      <c r="H25" s="66" t="s">
        <v>1629</v>
      </c>
      <c r="I25" s="66"/>
    </row>
    <row r="26" spans="1:9" x14ac:dyDescent="0.35">
      <c r="A26" s="934" t="s">
        <v>4642</v>
      </c>
      <c r="B26" s="935" t="s">
        <v>4643</v>
      </c>
      <c r="C26" s="98" t="s">
        <v>4578</v>
      </c>
      <c r="D26" s="99"/>
      <c r="F26" s="437" t="s">
        <v>38</v>
      </c>
      <c r="G26" s="438" t="s">
        <v>1400</v>
      </c>
      <c r="H26" s="66" t="s">
        <v>1631</v>
      </c>
      <c r="I26" s="66"/>
    </row>
    <row r="27" spans="1:9" x14ac:dyDescent="0.35">
      <c r="A27" s="934" t="s">
        <v>62</v>
      </c>
      <c r="B27" s="935" t="s">
        <v>4194</v>
      </c>
      <c r="C27" s="65" t="s">
        <v>4541</v>
      </c>
      <c r="D27" s="99"/>
      <c r="F27" s="437" t="s">
        <v>39</v>
      </c>
      <c r="G27" s="438" t="s">
        <v>1401</v>
      </c>
      <c r="H27" s="99" t="s">
        <v>3079</v>
      </c>
      <c r="I27" s="66"/>
    </row>
    <row r="28" spans="1:9" x14ac:dyDescent="0.35">
      <c r="A28" s="934" t="s">
        <v>63</v>
      </c>
      <c r="B28" s="935" t="s">
        <v>2458</v>
      </c>
      <c r="C28" s="65" t="s">
        <v>4542</v>
      </c>
      <c r="D28" s="99"/>
      <c r="F28" s="437" t="s">
        <v>60</v>
      </c>
      <c r="G28" s="438" t="s">
        <v>2611</v>
      </c>
      <c r="H28" s="99" t="s">
        <v>3140</v>
      </c>
      <c r="I28" s="66"/>
    </row>
    <row r="29" spans="1:9" x14ac:dyDescent="0.35">
      <c r="A29" s="934" t="s">
        <v>64</v>
      </c>
      <c r="B29" s="935" t="s">
        <v>654</v>
      </c>
      <c r="C29" s="65" t="s">
        <v>4587</v>
      </c>
      <c r="D29" s="99"/>
      <c r="F29" s="934" t="s">
        <v>3537</v>
      </c>
      <c r="G29" s="438" t="s">
        <v>3182</v>
      </c>
      <c r="H29" s="3547" t="s">
        <v>6376</v>
      </c>
      <c r="I29" s="66"/>
    </row>
    <row r="30" spans="1:9" x14ac:dyDescent="0.35">
      <c r="A30" s="934" t="s">
        <v>65</v>
      </c>
      <c r="B30" s="935" t="s">
        <v>3579</v>
      </c>
      <c r="C30" s="65" t="s">
        <v>4686</v>
      </c>
      <c r="D30" s="99"/>
      <c r="F30" s="934" t="s">
        <v>3537</v>
      </c>
      <c r="G30" s="438" t="s">
        <v>3183</v>
      </c>
      <c r="H30" s="3547" t="s">
        <v>6377</v>
      </c>
      <c r="I30" s="66"/>
    </row>
    <row r="31" spans="1:9" x14ac:dyDescent="0.35">
      <c r="A31" s="934" t="s">
        <v>67</v>
      </c>
      <c r="B31" s="935" t="s">
        <v>3582</v>
      </c>
      <c r="C31" s="1508" t="s">
        <v>6841</v>
      </c>
      <c r="D31" s="1509"/>
      <c r="F31" s="437" t="s">
        <v>3537</v>
      </c>
      <c r="G31" s="438" t="s">
        <v>61</v>
      </c>
      <c r="H31" s="99" t="s">
        <v>1579</v>
      </c>
      <c r="I31" s="66"/>
    </row>
    <row r="32" spans="1:9" ht="12.75" customHeight="1" x14ac:dyDescent="0.35">
      <c r="A32" s="934" t="s">
        <v>70</v>
      </c>
      <c r="B32" s="935" t="s">
        <v>1892</v>
      </c>
      <c r="C32" s="99" t="s">
        <v>4528</v>
      </c>
      <c r="D32" s="99"/>
      <c r="F32" s="437" t="s">
        <v>576</v>
      </c>
      <c r="G32" s="438" t="s">
        <v>3538</v>
      </c>
      <c r="H32" s="99" t="s">
        <v>2444</v>
      </c>
      <c r="I32" s="99"/>
    </row>
    <row r="33" spans="1:9" x14ac:dyDescent="0.35">
      <c r="A33" s="934" t="s">
        <v>70</v>
      </c>
      <c r="B33" s="935" t="s">
        <v>3024</v>
      </c>
      <c r="C33" s="98" t="s">
        <v>4527</v>
      </c>
      <c r="D33" s="99"/>
      <c r="F33" s="437" t="s">
        <v>576</v>
      </c>
      <c r="G33" s="438" t="s">
        <v>3539</v>
      </c>
      <c r="H33" s="99" t="s">
        <v>2445</v>
      </c>
      <c r="I33" s="439"/>
    </row>
    <row r="34" spans="1:9" x14ac:dyDescent="0.35">
      <c r="A34" s="934" t="s">
        <v>70</v>
      </c>
      <c r="B34" s="935" t="s">
        <v>3027</v>
      </c>
      <c r="C34" s="3229" t="s">
        <v>7348</v>
      </c>
      <c r="D34" s="3230"/>
      <c r="F34" s="437" t="s">
        <v>576</v>
      </c>
      <c r="G34" s="438" t="s">
        <v>3540</v>
      </c>
      <c r="H34" s="99" t="s">
        <v>1580</v>
      </c>
      <c r="I34" s="66"/>
    </row>
    <row r="35" spans="1:9" x14ac:dyDescent="0.35">
      <c r="A35" s="3231" t="s">
        <v>7860</v>
      </c>
      <c r="B35" s="3232" t="s">
        <v>1892</v>
      </c>
      <c r="C35" s="3230" t="s">
        <v>4528</v>
      </c>
      <c r="D35" s="3230"/>
      <c r="F35" s="934" t="s">
        <v>2610</v>
      </c>
      <c r="G35" s="935" t="s">
        <v>577</v>
      </c>
      <c r="H35" s="99" t="s">
        <v>3586</v>
      </c>
      <c r="I35" s="936"/>
    </row>
    <row r="36" spans="1:9" x14ac:dyDescent="0.35">
      <c r="A36" s="3231" t="s">
        <v>7860</v>
      </c>
      <c r="B36" s="3232" t="s">
        <v>3024</v>
      </c>
      <c r="C36" s="3229" t="s">
        <v>4527</v>
      </c>
      <c r="D36" s="3230"/>
      <c r="F36" s="934" t="s">
        <v>6388</v>
      </c>
      <c r="G36" s="935" t="s">
        <v>6391</v>
      </c>
      <c r="H36" s="3230" t="s">
        <v>7938</v>
      </c>
      <c r="I36" s="936"/>
    </row>
    <row r="37" spans="1:9" x14ac:dyDescent="0.35">
      <c r="A37" s="3231" t="s">
        <v>7860</v>
      </c>
      <c r="B37" s="3232" t="s">
        <v>7863</v>
      </c>
      <c r="C37" s="3229" t="s">
        <v>2509</v>
      </c>
      <c r="D37" s="3230"/>
      <c r="F37" s="934" t="s">
        <v>6389</v>
      </c>
      <c r="G37" s="935" t="s">
        <v>6392</v>
      </c>
      <c r="H37" s="3230" t="s">
        <v>7939</v>
      </c>
      <c r="I37" s="936"/>
    </row>
    <row r="38" spans="1:9" x14ac:dyDescent="0.35">
      <c r="A38" s="3231" t="s">
        <v>7860</v>
      </c>
      <c r="B38" s="3232" t="s">
        <v>3027</v>
      </c>
      <c r="C38" s="3229" t="s">
        <v>7348</v>
      </c>
      <c r="D38" s="3230"/>
      <c r="F38" s="437" t="s">
        <v>40</v>
      </c>
      <c r="G38" s="438" t="s">
        <v>4192</v>
      </c>
      <c r="H38" s="66" t="s">
        <v>898</v>
      </c>
      <c r="I38" s="66"/>
    </row>
    <row r="39" spans="1:9" x14ac:dyDescent="0.35">
      <c r="A39" s="934" t="s">
        <v>73</v>
      </c>
      <c r="B39" s="438" t="s">
        <v>1583</v>
      </c>
      <c r="C39" s="98" t="s">
        <v>3779</v>
      </c>
      <c r="D39" s="99"/>
      <c r="F39" s="937" t="s">
        <v>2707</v>
      </c>
      <c r="G39" s="938" t="s">
        <v>4193</v>
      </c>
      <c r="H39" s="1051" t="s">
        <v>1827</v>
      </c>
      <c r="I39" s="1052"/>
    </row>
    <row r="40" spans="1:9" x14ac:dyDescent="0.35">
      <c r="A40" s="934" t="s">
        <v>73</v>
      </c>
      <c r="B40" s="438" t="s">
        <v>1598</v>
      </c>
      <c r="C40" s="936" t="s">
        <v>2500</v>
      </c>
      <c r="D40" s="66"/>
      <c r="F40" s="934" t="s">
        <v>2175</v>
      </c>
      <c r="G40" s="935" t="s">
        <v>2176</v>
      </c>
      <c r="H40" s="1052" t="s">
        <v>1478</v>
      </c>
      <c r="I40" s="1052"/>
    </row>
    <row r="41" spans="1:9" x14ac:dyDescent="0.35">
      <c r="A41" s="934" t="s">
        <v>74</v>
      </c>
      <c r="B41" s="438" t="s">
        <v>3846</v>
      </c>
      <c r="C41" s="98" t="s">
        <v>2501</v>
      </c>
      <c r="D41" s="99"/>
      <c r="F41" s="934" t="s">
        <v>2175</v>
      </c>
      <c r="G41" s="935" t="s">
        <v>2177</v>
      </c>
      <c r="H41" s="1052" t="s">
        <v>2918</v>
      </c>
      <c r="I41" s="1052"/>
    </row>
    <row r="42" spans="1:9" x14ac:dyDescent="0.35">
      <c r="A42" s="934" t="s">
        <v>74</v>
      </c>
      <c r="B42" s="438" t="s">
        <v>3849</v>
      </c>
      <c r="C42" s="936" t="s">
        <v>3780</v>
      </c>
      <c r="D42" s="66"/>
      <c r="F42" s="934" t="s">
        <v>2178</v>
      </c>
      <c r="G42" s="935" t="s">
        <v>2179</v>
      </c>
      <c r="H42" s="1052" t="s">
        <v>968</v>
      </c>
      <c r="I42" s="1052"/>
    </row>
    <row r="43" spans="1:9" x14ac:dyDescent="0.35">
      <c r="A43" s="934" t="s">
        <v>3964</v>
      </c>
      <c r="B43" s="438" t="s">
        <v>3192</v>
      </c>
      <c r="C43" s="66" t="s">
        <v>3781</v>
      </c>
      <c r="D43" s="98"/>
      <c r="F43" s="437" t="s">
        <v>3498</v>
      </c>
      <c r="G43" s="438" t="s">
        <v>2457</v>
      </c>
      <c r="H43" s="99" t="s">
        <v>923</v>
      </c>
      <c r="I43" s="66"/>
    </row>
    <row r="44" spans="1:9" x14ac:dyDescent="0.35">
      <c r="A44" s="934" t="s">
        <v>3964</v>
      </c>
      <c r="B44" s="438" t="s">
        <v>3193</v>
      </c>
      <c r="C44" s="66" t="s">
        <v>3782</v>
      </c>
      <c r="D44" s="66"/>
      <c r="F44" s="437" t="s">
        <v>2459</v>
      </c>
      <c r="G44" s="438" t="s">
        <v>653</v>
      </c>
      <c r="H44" s="65" t="s">
        <v>924</v>
      </c>
      <c r="I44" s="66"/>
    </row>
    <row r="45" spans="1:9" ht="12" customHeight="1" x14ac:dyDescent="0.35">
      <c r="A45" s="934" t="s">
        <v>5468</v>
      </c>
      <c r="B45" s="438" t="s">
        <v>3611</v>
      </c>
      <c r="C45" s="98" t="s">
        <v>3116</v>
      </c>
      <c r="D45" s="99"/>
      <c r="F45" s="437" t="s">
        <v>3577</v>
      </c>
      <c r="G45" s="438" t="s">
        <v>3578</v>
      </c>
      <c r="H45" s="65" t="s">
        <v>4231</v>
      </c>
      <c r="I45" s="66"/>
    </row>
    <row r="46" spans="1:9" ht="12" customHeight="1" x14ac:dyDescent="0.35">
      <c r="A46" s="934" t="s">
        <v>5468</v>
      </c>
      <c r="B46" s="438" t="s">
        <v>1716</v>
      </c>
      <c r="C46" s="936" t="s">
        <v>3117</v>
      </c>
      <c r="D46" s="66"/>
      <c r="F46" s="437" t="s">
        <v>3580</v>
      </c>
      <c r="G46" s="438" t="s">
        <v>3581</v>
      </c>
      <c r="H46" s="65" t="s">
        <v>4232</v>
      </c>
      <c r="I46" s="66"/>
    </row>
    <row r="47" spans="1:9" x14ac:dyDescent="0.35">
      <c r="A47" s="934" t="s">
        <v>5469</v>
      </c>
      <c r="B47" s="935" t="s">
        <v>5473</v>
      </c>
      <c r="C47" s="98" t="s">
        <v>3118</v>
      </c>
      <c r="D47" s="99"/>
      <c r="F47" s="437" t="s">
        <v>710</v>
      </c>
      <c r="G47" s="438" t="s">
        <v>1891</v>
      </c>
      <c r="H47" s="65" t="s">
        <v>1466</v>
      </c>
      <c r="I47" s="66"/>
    </row>
    <row r="48" spans="1:9" x14ac:dyDescent="0.35">
      <c r="A48" s="934" t="s">
        <v>800</v>
      </c>
      <c r="B48" s="438" t="s">
        <v>1717</v>
      </c>
      <c r="C48" s="98" t="s">
        <v>3772</v>
      </c>
      <c r="D48" s="99"/>
      <c r="F48" s="437" t="s">
        <v>1893</v>
      </c>
      <c r="G48" s="438" t="s">
        <v>3023</v>
      </c>
      <c r="H48" s="65" t="s">
        <v>1527</v>
      </c>
      <c r="I48" s="66"/>
    </row>
    <row r="49" spans="1:9" x14ac:dyDescent="0.35">
      <c r="A49" s="934" t="s">
        <v>800</v>
      </c>
      <c r="B49" s="438" t="s">
        <v>1718</v>
      </c>
      <c r="C49" s="936" t="s">
        <v>3773</v>
      </c>
      <c r="D49" s="66"/>
      <c r="F49" s="437" t="s">
        <v>3025</v>
      </c>
      <c r="G49" s="438" t="s">
        <v>3026</v>
      </c>
      <c r="H49" s="99" t="s">
        <v>6683</v>
      </c>
      <c r="I49" s="66"/>
    </row>
    <row r="50" spans="1:9" x14ac:dyDescent="0.35">
      <c r="A50" s="934" t="s">
        <v>801</v>
      </c>
      <c r="B50" s="438" t="s">
        <v>1719</v>
      </c>
      <c r="C50" s="98" t="s">
        <v>3774</v>
      </c>
      <c r="D50" s="99"/>
      <c r="F50" s="437" t="s">
        <v>3028</v>
      </c>
      <c r="G50" s="438" t="s">
        <v>3029</v>
      </c>
      <c r="H50" s="65" t="s">
        <v>2173</v>
      </c>
      <c r="I50" s="66"/>
    </row>
    <row r="51" spans="1:9" x14ac:dyDescent="0.35">
      <c r="A51" s="934" t="s">
        <v>801</v>
      </c>
      <c r="B51" s="438" t="s">
        <v>1720</v>
      </c>
      <c r="C51" s="936" t="s">
        <v>3775</v>
      </c>
      <c r="D51" s="66"/>
      <c r="F51" s="437" t="s">
        <v>1581</v>
      </c>
      <c r="G51" s="438" t="s">
        <v>1582</v>
      </c>
      <c r="H51" s="99" t="s">
        <v>6681</v>
      </c>
      <c r="I51" s="66"/>
    </row>
    <row r="52" spans="1:9" x14ac:dyDescent="0.35">
      <c r="A52" s="934" t="s">
        <v>3228</v>
      </c>
      <c r="B52" s="438" t="s">
        <v>3229</v>
      </c>
      <c r="C52" s="66" t="s">
        <v>3776</v>
      </c>
      <c r="D52" s="99"/>
      <c r="F52" s="437" t="s">
        <v>1584</v>
      </c>
      <c r="G52" s="438" t="s">
        <v>3845</v>
      </c>
      <c r="H52" s="99" t="s">
        <v>900</v>
      </c>
      <c r="I52" s="66"/>
    </row>
    <row r="53" spans="1:9" x14ac:dyDescent="0.35">
      <c r="A53" s="934" t="s">
        <v>3228</v>
      </c>
      <c r="B53" s="438" t="s">
        <v>1469</v>
      </c>
      <c r="C53" s="66" t="s">
        <v>3777</v>
      </c>
      <c r="D53" s="66"/>
      <c r="F53" s="437" t="s">
        <v>2636</v>
      </c>
      <c r="G53" s="438" t="s">
        <v>1585</v>
      </c>
      <c r="H53" s="99" t="s">
        <v>901</v>
      </c>
      <c r="I53" s="66"/>
    </row>
    <row r="54" spans="1:9" x14ac:dyDescent="0.35">
      <c r="A54" s="934" t="s">
        <v>5493</v>
      </c>
      <c r="B54" s="3232" t="s">
        <v>8034</v>
      </c>
      <c r="C54" s="3229" t="s">
        <v>1464</v>
      </c>
      <c r="D54" s="3230"/>
      <c r="F54" s="3473" t="s">
        <v>7840</v>
      </c>
      <c r="G54" s="3474" t="s">
        <v>8161</v>
      </c>
      <c r="H54" s="3475" t="s">
        <v>4738</v>
      </c>
      <c r="I54" s="3476"/>
    </row>
    <row r="55" spans="1:9" x14ac:dyDescent="0.35">
      <c r="A55" s="934" t="s">
        <v>5494</v>
      </c>
      <c r="B55" s="438" t="s">
        <v>1721</v>
      </c>
      <c r="C55" s="98" t="s">
        <v>2277</v>
      </c>
      <c r="D55" s="99"/>
      <c r="F55" s="3473" t="s">
        <v>7841</v>
      </c>
      <c r="G55" s="3474" t="s">
        <v>8162</v>
      </c>
      <c r="H55" s="3475" t="s">
        <v>4739</v>
      </c>
      <c r="I55" s="3476"/>
    </row>
    <row r="56" spans="1:9" x14ac:dyDescent="0.35">
      <c r="A56" s="934" t="s">
        <v>5494</v>
      </c>
      <c r="B56" s="438" t="s">
        <v>4048</v>
      </c>
      <c r="C56" s="936" t="s">
        <v>796</v>
      </c>
      <c r="D56" s="66"/>
      <c r="F56" s="3473" t="s">
        <v>7842</v>
      </c>
      <c r="G56" s="3474" t="s">
        <v>8163</v>
      </c>
      <c r="H56" s="3475" t="s">
        <v>4195</v>
      </c>
      <c r="I56" s="3476"/>
    </row>
    <row r="57" spans="1:9" x14ac:dyDescent="0.35">
      <c r="A57" s="3473" t="s">
        <v>8036</v>
      </c>
      <c r="B57" s="3232" t="s">
        <v>8041</v>
      </c>
      <c r="C57" s="3229" t="s">
        <v>2417</v>
      </c>
      <c r="D57" s="3476"/>
      <c r="F57" s="437" t="s">
        <v>3847</v>
      </c>
      <c r="G57" s="438" t="s">
        <v>3848</v>
      </c>
      <c r="H57" s="65" t="s">
        <v>4753</v>
      </c>
      <c r="I57" s="66"/>
    </row>
    <row r="58" spans="1:9" x14ac:dyDescent="0.35">
      <c r="A58" s="934" t="s">
        <v>803</v>
      </c>
      <c r="B58" s="438" t="s">
        <v>3597</v>
      </c>
      <c r="C58" s="98" t="s">
        <v>797</v>
      </c>
      <c r="D58" s="99"/>
      <c r="F58" s="437" t="s">
        <v>5814</v>
      </c>
      <c r="G58" s="438" t="s">
        <v>3851</v>
      </c>
      <c r="H58" s="98" t="s">
        <v>6296</v>
      </c>
      <c r="I58" s="99"/>
    </row>
    <row r="59" spans="1:9" x14ac:dyDescent="0.35">
      <c r="A59" s="934" t="s">
        <v>803</v>
      </c>
      <c r="B59" s="438" t="s">
        <v>3600</v>
      </c>
      <c r="C59" s="936" t="s">
        <v>798</v>
      </c>
      <c r="D59" s="66"/>
      <c r="F59" s="437" t="s">
        <v>3850</v>
      </c>
      <c r="G59" s="935" t="s">
        <v>2426</v>
      </c>
      <c r="H59" s="65" t="s">
        <v>3061</v>
      </c>
      <c r="I59" s="936"/>
    </row>
    <row r="60" spans="1:9" x14ac:dyDescent="0.35">
      <c r="A60" s="3473" t="s">
        <v>8037</v>
      </c>
      <c r="B60" s="3232" t="s">
        <v>8169</v>
      </c>
      <c r="C60" s="3229" t="s">
        <v>8050</v>
      </c>
      <c r="D60" s="3476"/>
      <c r="F60" s="437" t="s">
        <v>3850</v>
      </c>
      <c r="G60" s="935" t="s">
        <v>2427</v>
      </c>
      <c r="H60" s="65" t="s">
        <v>3062</v>
      </c>
      <c r="I60" s="936"/>
    </row>
    <row r="61" spans="1:9" x14ac:dyDescent="0.35">
      <c r="A61" s="934" t="s">
        <v>1470</v>
      </c>
      <c r="B61" s="438" t="s">
        <v>1471</v>
      </c>
      <c r="C61" s="66" t="s">
        <v>1727</v>
      </c>
      <c r="D61" s="99"/>
      <c r="F61" s="934" t="s">
        <v>2425</v>
      </c>
      <c r="G61" s="935" t="s">
        <v>5817</v>
      </c>
      <c r="H61" s="65" t="s">
        <v>5650</v>
      </c>
      <c r="I61" s="936"/>
    </row>
    <row r="62" spans="1:9" x14ac:dyDescent="0.35">
      <c r="A62" s="934" t="s">
        <v>1470</v>
      </c>
      <c r="B62" s="438" t="s">
        <v>2424</v>
      </c>
      <c r="C62" s="66" t="s">
        <v>4762</v>
      </c>
      <c r="D62" s="66"/>
      <c r="F62" s="934" t="s">
        <v>2425</v>
      </c>
      <c r="G62" s="935" t="s">
        <v>5818</v>
      </c>
      <c r="H62" s="65" t="s">
        <v>5651</v>
      </c>
      <c r="I62" s="936"/>
    </row>
    <row r="63" spans="1:9" x14ac:dyDescent="0.35">
      <c r="A63" s="934" t="s">
        <v>804</v>
      </c>
      <c r="B63" s="935" t="s">
        <v>3582</v>
      </c>
      <c r="C63" s="65" t="s">
        <v>6841</v>
      </c>
      <c r="D63" s="98"/>
      <c r="F63" s="934" t="s">
        <v>5815</v>
      </c>
      <c r="G63" s="935" t="s">
        <v>5819</v>
      </c>
      <c r="H63" s="65" t="s">
        <v>5652</v>
      </c>
      <c r="I63" s="936"/>
    </row>
    <row r="64" spans="1:9" x14ac:dyDescent="0.35">
      <c r="A64" s="934" t="s">
        <v>806</v>
      </c>
      <c r="B64" s="935" t="s">
        <v>3603</v>
      </c>
      <c r="C64" s="66" t="s">
        <v>6549</v>
      </c>
      <c r="D64" s="936"/>
      <c r="F64" s="934" t="s">
        <v>5815</v>
      </c>
      <c r="G64" s="935" t="s">
        <v>5820</v>
      </c>
      <c r="H64" s="65" t="s">
        <v>5653</v>
      </c>
      <c r="I64" s="936"/>
    </row>
    <row r="65" spans="1:9" x14ac:dyDescent="0.35">
      <c r="A65" s="934" t="s">
        <v>807</v>
      </c>
      <c r="B65" s="935" t="s">
        <v>3091</v>
      </c>
      <c r="C65" s="66" t="s">
        <v>6550</v>
      </c>
      <c r="D65" s="66"/>
      <c r="F65" s="934" t="s">
        <v>2430</v>
      </c>
      <c r="G65" s="935" t="s">
        <v>2431</v>
      </c>
      <c r="H65" s="65" t="s">
        <v>5655</v>
      </c>
      <c r="I65" s="936"/>
    </row>
    <row r="66" spans="1:9" x14ac:dyDescent="0.35">
      <c r="A66" s="934" t="s">
        <v>2428</v>
      </c>
      <c r="B66" s="935" t="s">
        <v>2429</v>
      </c>
      <c r="C66" s="66" t="s">
        <v>3121</v>
      </c>
      <c r="D66" s="66"/>
      <c r="F66" s="934" t="s">
        <v>2430</v>
      </c>
      <c r="G66" s="935" t="s">
        <v>2432</v>
      </c>
      <c r="H66" s="65" t="s">
        <v>5656</v>
      </c>
      <c r="I66" s="936"/>
    </row>
    <row r="67" spans="1:9" x14ac:dyDescent="0.35">
      <c r="A67" s="934" t="s">
        <v>2883</v>
      </c>
      <c r="B67" s="935" t="s">
        <v>1589</v>
      </c>
      <c r="C67" s="99" t="s">
        <v>3122</v>
      </c>
      <c r="D67" s="66"/>
      <c r="F67" s="934" t="s">
        <v>5816</v>
      </c>
      <c r="G67" s="935" t="s">
        <v>2433</v>
      </c>
      <c r="H67" s="65" t="s">
        <v>5657</v>
      </c>
      <c r="I67" s="936"/>
    </row>
    <row r="68" spans="1:9" x14ac:dyDescent="0.35">
      <c r="A68" s="934" t="s">
        <v>2884</v>
      </c>
      <c r="B68" s="935" t="s">
        <v>3746</v>
      </c>
      <c r="C68" s="99" t="s">
        <v>3124</v>
      </c>
      <c r="D68" s="66"/>
      <c r="F68" s="934" t="s">
        <v>5816</v>
      </c>
      <c r="G68" s="935" t="s">
        <v>2434</v>
      </c>
      <c r="H68" s="65" t="s">
        <v>5658</v>
      </c>
      <c r="I68" s="936"/>
    </row>
    <row r="69" spans="1:9" x14ac:dyDescent="0.35">
      <c r="A69" s="934" t="s">
        <v>2885</v>
      </c>
      <c r="B69" s="935" t="s">
        <v>3747</v>
      </c>
      <c r="C69" s="99" t="s">
        <v>3126</v>
      </c>
      <c r="D69" s="66"/>
      <c r="F69" s="934" t="s">
        <v>1485</v>
      </c>
      <c r="G69" s="935" t="s">
        <v>1486</v>
      </c>
      <c r="H69" s="65" t="s">
        <v>5660</v>
      </c>
      <c r="I69" s="936"/>
    </row>
    <row r="70" spans="1:9" x14ac:dyDescent="0.35">
      <c r="A70" s="934" t="s">
        <v>3232</v>
      </c>
      <c r="B70" s="935" t="s">
        <v>1391</v>
      </c>
      <c r="C70" s="66" t="s">
        <v>3128</v>
      </c>
      <c r="D70" s="66"/>
      <c r="F70" s="934" t="s">
        <v>2783</v>
      </c>
      <c r="G70" s="935" t="s">
        <v>2869</v>
      </c>
      <c r="H70" s="65" t="s">
        <v>5661</v>
      </c>
      <c r="I70" s="66"/>
    </row>
    <row r="71" spans="1:9" x14ac:dyDescent="0.35">
      <c r="A71" s="934" t="s">
        <v>2886</v>
      </c>
      <c r="B71" s="438" t="s">
        <v>3748</v>
      </c>
      <c r="C71" s="99" t="s">
        <v>3130</v>
      </c>
      <c r="D71" s="66"/>
      <c r="F71" s="437" t="s">
        <v>1722</v>
      </c>
      <c r="G71" s="438" t="s">
        <v>3596</v>
      </c>
      <c r="H71" s="65" t="s">
        <v>5662</v>
      </c>
      <c r="I71" s="66"/>
    </row>
    <row r="72" spans="1:9" x14ac:dyDescent="0.35">
      <c r="A72" s="934" t="s">
        <v>1563</v>
      </c>
      <c r="B72" s="438" t="s">
        <v>1564</v>
      </c>
      <c r="C72" s="99" t="s">
        <v>3132</v>
      </c>
      <c r="D72" s="66"/>
      <c r="F72" s="437" t="s">
        <v>3595</v>
      </c>
      <c r="G72" s="438" t="s">
        <v>1723</v>
      </c>
      <c r="H72" s="65" t="s">
        <v>5799</v>
      </c>
      <c r="I72" s="66"/>
    </row>
    <row r="73" spans="1:9" x14ac:dyDescent="0.35">
      <c r="A73" s="934" t="s">
        <v>2887</v>
      </c>
      <c r="B73" s="935" t="s">
        <v>3749</v>
      </c>
      <c r="C73" s="99" t="s">
        <v>5470</v>
      </c>
      <c r="D73" s="66"/>
      <c r="F73" s="934" t="s">
        <v>3598</v>
      </c>
      <c r="G73" s="935" t="s">
        <v>5823</v>
      </c>
      <c r="H73" s="65" t="s">
        <v>6629</v>
      </c>
      <c r="I73" s="936"/>
    </row>
    <row r="74" spans="1:9" x14ac:dyDescent="0.35">
      <c r="A74" s="934" t="s">
        <v>1882</v>
      </c>
      <c r="B74" s="935" t="s">
        <v>3750</v>
      </c>
      <c r="C74" s="99" t="s">
        <v>3135</v>
      </c>
      <c r="D74" s="99"/>
      <c r="F74" s="437" t="s">
        <v>4805</v>
      </c>
      <c r="G74" s="438" t="s">
        <v>3599</v>
      </c>
      <c r="H74" s="99" t="s">
        <v>903</v>
      </c>
      <c r="I74" s="66"/>
    </row>
    <row r="75" spans="1:9" x14ac:dyDescent="0.35">
      <c r="A75" s="934" t="s">
        <v>1882</v>
      </c>
      <c r="B75" s="935" t="s">
        <v>3751</v>
      </c>
      <c r="C75" s="99" t="s">
        <v>5471</v>
      </c>
      <c r="D75" s="66"/>
      <c r="F75" s="437" t="s">
        <v>3601</v>
      </c>
      <c r="G75" s="438" t="s">
        <v>3602</v>
      </c>
      <c r="H75" s="65" t="s">
        <v>4754</v>
      </c>
      <c r="I75" s="66"/>
    </row>
    <row r="76" spans="1:9" x14ac:dyDescent="0.35">
      <c r="A76" s="437" t="s">
        <v>1883</v>
      </c>
      <c r="B76" s="935" t="s">
        <v>2618</v>
      </c>
      <c r="C76" s="99" t="s">
        <v>3136</v>
      </c>
      <c r="D76" s="99">
        <v>0</v>
      </c>
      <c r="F76" s="437" t="s">
        <v>3604</v>
      </c>
      <c r="G76" s="438" t="s">
        <v>3090</v>
      </c>
      <c r="H76" s="99" t="s">
        <v>845</v>
      </c>
      <c r="I76" s="66">
        <v>0</v>
      </c>
    </row>
    <row r="77" spans="1:9" x14ac:dyDescent="0.35">
      <c r="A77" s="437" t="s">
        <v>1883</v>
      </c>
      <c r="B77" s="935"/>
      <c r="C77" s="99" t="s">
        <v>5472</v>
      </c>
      <c r="D77" s="66">
        <v>0</v>
      </c>
      <c r="F77" s="437" t="s">
        <v>3092</v>
      </c>
      <c r="G77" s="438" t="s">
        <v>3093</v>
      </c>
      <c r="H77" s="99" t="s">
        <v>4639</v>
      </c>
      <c r="I77" s="66">
        <v>0</v>
      </c>
    </row>
    <row r="78" spans="1:9" x14ac:dyDescent="0.35">
      <c r="A78" s="437" t="s">
        <v>6650</v>
      </c>
      <c r="B78" s="438" t="s">
        <v>4737</v>
      </c>
      <c r="C78" s="99" t="s">
        <v>904</v>
      </c>
      <c r="D78" s="99">
        <v>0</v>
      </c>
      <c r="F78" s="437" t="s">
        <v>4783</v>
      </c>
      <c r="G78" s="438" t="s">
        <v>6649</v>
      </c>
      <c r="H78" s="99" t="s">
        <v>6651</v>
      </c>
      <c r="I78" s="936">
        <v>279672.14</v>
      </c>
    </row>
    <row r="79" spans="1:9" x14ac:dyDescent="0.35">
      <c r="A79" s="437" t="s">
        <v>6650</v>
      </c>
      <c r="B79" s="438" t="s">
        <v>4740</v>
      </c>
      <c r="C79" s="99" t="s">
        <v>905</v>
      </c>
      <c r="D79" s="936">
        <v>0</v>
      </c>
      <c r="F79" s="2670"/>
      <c r="G79" s="2671"/>
      <c r="H79" s="2668"/>
      <c r="I79" s="2672"/>
    </row>
    <row r="80" spans="1:9" x14ac:dyDescent="0.35">
      <c r="A80" s="2764" t="s">
        <v>6962</v>
      </c>
      <c r="B80" s="2761" t="s">
        <v>6964</v>
      </c>
      <c r="C80" s="3230" t="s">
        <v>8320</v>
      </c>
      <c r="D80" s="2763">
        <v>0</v>
      </c>
    </row>
    <row r="81" spans="1:4" x14ac:dyDescent="0.35">
      <c r="A81" s="2764" t="s">
        <v>6962</v>
      </c>
      <c r="B81" s="2761" t="s">
        <v>6770</v>
      </c>
      <c r="C81" s="2762" t="s">
        <v>906</v>
      </c>
      <c r="D81" s="2763">
        <v>0</v>
      </c>
    </row>
    <row r="82" spans="1:4" x14ac:dyDescent="0.35">
      <c r="A82" s="2764" t="s">
        <v>6962</v>
      </c>
      <c r="B82" s="2761" t="s">
        <v>6963</v>
      </c>
      <c r="C82" s="2762" t="s">
        <v>907</v>
      </c>
      <c r="D82" s="2763">
        <v>0</v>
      </c>
    </row>
    <row r="83" spans="1:4" x14ac:dyDescent="0.35">
      <c r="A83" s="437" t="s">
        <v>1884</v>
      </c>
      <c r="B83" s="935" t="s">
        <v>2620</v>
      </c>
      <c r="C83" s="2762" t="s">
        <v>909</v>
      </c>
      <c r="D83" s="66">
        <v>0</v>
      </c>
    </row>
    <row r="84" spans="1:4" x14ac:dyDescent="0.35">
      <c r="A84" s="934" t="s">
        <v>1885</v>
      </c>
      <c r="B84" s="935" t="s">
        <v>3590</v>
      </c>
      <c r="C84" s="2766" t="s">
        <v>912</v>
      </c>
      <c r="D84" s="99">
        <v>0</v>
      </c>
    </row>
    <row r="85" spans="1:4" x14ac:dyDescent="0.35">
      <c r="A85" s="2670" t="s">
        <v>7838</v>
      </c>
      <c r="B85" s="2671" t="s">
        <v>7839</v>
      </c>
      <c r="C85" s="2668" t="s">
        <v>911</v>
      </c>
      <c r="D85" s="2672">
        <v>0</v>
      </c>
    </row>
    <row r="107" spans="5:5" x14ac:dyDescent="0.35">
      <c r="E107" s="96"/>
    </row>
    <row r="111" spans="5:5" x14ac:dyDescent="0.35">
      <c r="E111" s="96"/>
    </row>
    <row r="112" spans="5:5" x14ac:dyDescent="0.35">
      <c r="E112" s="96"/>
    </row>
    <row r="113" spans="2:5" x14ac:dyDescent="0.35">
      <c r="E113" s="96"/>
    </row>
    <row r="121" spans="2:5" x14ac:dyDescent="0.35">
      <c r="B121" s="434"/>
    </row>
    <row r="122" spans="2:5" x14ac:dyDescent="0.35">
      <c r="B122" s="434"/>
    </row>
    <row r="123" spans="2:5" x14ac:dyDescent="0.35">
      <c r="B123" s="434"/>
    </row>
    <row r="124" spans="2:5" x14ac:dyDescent="0.35">
      <c r="B124" s="434"/>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I33"/>
  <sheetViews>
    <sheetView showGridLines="0" workbookViewId="0">
      <selection activeCell="F7" sqref="F7"/>
    </sheetView>
  </sheetViews>
  <sheetFormatPr defaultColWidth="9.1328125" defaultRowHeight="11.65" x14ac:dyDescent="0.35"/>
  <cols>
    <col min="1" max="1" width="9.1328125" style="206"/>
    <col min="2" max="2" width="4.59765625" style="206" customWidth="1"/>
    <col min="3" max="3" width="12.86328125" style="206" customWidth="1"/>
    <col min="4" max="4" width="24" style="206" customWidth="1"/>
    <col min="5" max="5" width="11.1328125" style="206" customWidth="1"/>
    <col min="6" max="6" width="4.265625" style="206" customWidth="1"/>
    <col min="7" max="7" width="14.59765625" style="206" customWidth="1"/>
    <col min="8" max="8" width="29.265625" style="206" customWidth="1"/>
    <col min="9" max="9" width="27.1328125" style="206" customWidth="1"/>
    <col min="10" max="16384" width="9.1328125" style="206"/>
  </cols>
  <sheetData>
    <row r="1" spans="1:9" ht="12.75" customHeight="1" x14ac:dyDescent="0.35">
      <c r="A1" s="164"/>
      <c r="B1" s="164"/>
      <c r="C1" s="164"/>
      <c r="D1" s="164"/>
      <c r="E1" s="164"/>
      <c r="F1" s="164"/>
      <c r="G1" s="164"/>
      <c r="H1" s="515">
        <f>'Add pages'!H5</f>
        <v>0</v>
      </c>
      <c r="I1" s="164"/>
    </row>
    <row r="2" spans="1:9" ht="6.75" customHeight="1" x14ac:dyDescent="0.35">
      <c r="A2" s="164"/>
      <c r="B2" s="164"/>
      <c r="C2" s="164"/>
      <c r="D2" s="164"/>
      <c r="E2" s="164"/>
      <c r="F2" s="164"/>
      <c r="G2" s="164"/>
      <c r="H2" s="164"/>
      <c r="I2" s="164"/>
    </row>
    <row r="3" spans="1:9" ht="12.75" customHeight="1" x14ac:dyDescent="0.35">
      <c r="A3" s="164"/>
      <c r="B3" s="520"/>
      <c r="C3" s="180"/>
      <c r="D3" s="180"/>
      <c r="E3" s="180"/>
      <c r="F3" s="180"/>
      <c r="G3" s="180"/>
      <c r="H3" s="181"/>
      <c r="I3" s="164"/>
    </row>
    <row r="4" spans="1:9" ht="12.75" customHeight="1" x14ac:dyDescent="0.35">
      <c r="A4" s="164"/>
      <c r="B4" s="455">
        <v>1</v>
      </c>
      <c r="C4" s="229" t="s">
        <v>3017</v>
      </c>
      <c r="D4" s="166"/>
      <c r="E4" s="166"/>
      <c r="F4" s="455">
        <v>4</v>
      </c>
      <c r="G4" s="229" t="s">
        <v>3019</v>
      </c>
      <c r="H4" s="183"/>
      <c r="I4" s="164"/>
    </row>
    <row r="5" spans="1:9" ht="12.75" customHeight="1" x14ac:dyDescent="0.35">
      <c r="A5" s="164"/>
      <c r="B5" s="182"/>
      <c r="C5" s="519">
        <f>MAX(0,box_18_3)</f>
        <v>0</v>
      </c>
      <c r="D5" s="166"/>
      <c r="E5" s="166"/>
      <c r="F5" s="166"/>
      <c r="G5" s="519">
        <f>'Tax due (c12)'!G8</f>
        <v>0</v>
      </c>
      <c r="H5" s="183"/>
      <c r="I5" s="164"/>
    </row>
    <row r="6" spans="1:9" ht="9.75" customHeight="1" x14ac:dyDescent="0.35">
      <c r="A6" s="164"/>
      <c r="B6" s="182"/>
      <c r="C6" s="166"/>
      <c r="D6" s="166"/>
      <c r="E6" s="166"/>
      <c r="F6" s="166"/>
      <c r="G6" s="166"/>
      <c r="H6" s="183"/>
      <c r="I6" s="164"/>
    </row>
    <row r="7" spans="1:9" ht="12.75" customHeight="1" x14ac:dyDescent="0.35">
      <c r="A7" s="164"/>
      <c r="B7" s="455">
        <v>2</v>
      </c>
      <c r="C7" s="229" t="s">
        <v>3018</v>
      </c>
      <c r="D7" s="516"/>
      <c r="E7" s="516"/>
      <c r="F7" s="1273">
        <v>4.0999999999999996</v>
      </c>
      <c r="G7" s="1172" t="s">
        <v>4716</v>
      </c>
      <c r="H7" s="183"/>
      <c r="I7" s="164"/>
    </row>
    <row r="8" spans="1:9" ht="12.75" customHeight="1" x14ac:dyDescent="0.35">
      <c r="A8" s="164"/>
      <c r="B8" s="521"/>
      <c r="C8" s="519">
        <f>MAX(0,-1*box_18_3)</f>
        <v>0</v>
      </c>
      <c r="D8" s="516"/>
      <c r="E8" s="516"/>
      <c r="F8" s="1140"/>
      <c r="G8" s="1173">
        <f>'Tax due (c12)'!G16</f>
        <v>0</v>
      </c>
      <c r="H8" s="183"/>
      <c r="I8" s="164"/>
    </row>
    <row r="9" spans="1:9" ht="7.5" customHeight="1" x14ac:dyDescent="0.35">
      <c r="A9" s="164"/>
      <c r="B9" s="521"/>
      <c r="C9" s="518"/>
      <c r="D9" s="516"/>
      <c r="E9" s="516"/>
      <c r="F9" s="166"/>
      <c r="G9" s="166"/>
      <c r="H9" s="183"/>
      <c r="I9" s="164"/>
    </row>
    <row r="10" spans="1:9" ht="12.75" customHeight="1" x14ac:dyDescent="0.35">
      <c r="A10" s="164"/>
      <c r="B10" s="455">
        <v>3</v>
      </c>
      <c r="C10" s="229" t="s">
        <v>3020</v>
      </c>
      <c r="D10" s="516"/>
      <c r="E10" s="516"/>
      <c r="F10" s="455">
        <v>5</v>
      </c>
      <c r="G10" s="229" t="s">
        <v>925</v>
      </c>
      <c r="H10" s="522"/>
      <c r="I10" s="164"/>
    </row>
    <row r="11" spans="1:9" ht="12.75" customHeight="1" x14ac:dyDescent="0.35">
      <c r="A11" s="164"/>
      <c r="B11" s="523"/>
      <c r="C11" s="519">
        <f>'S loans(c27)'!K181</f>
        <v>0</v>
      </c>
      <c r="D11" s="516"/>
      <c r="E11" s="516"/>
      <c r="F11" s="166"/>
      <c r="G11" s="519">
        <f>'Tax due (c12)'!G59</f>
        <v>0</v>
      </c>
      <c r="H11" s="522"/>
      <c r="I11" s="164"/>
    </row>
    <row r="12" spans="1:9" ht="8.25" customHeight="1" x14ac:dyDescent="0.35">
      <c r="A12" s="164"/>
      <c r="B12" s="524"/>
      <c r="C12" s="229"/>
      <c r="D12" s="229"/>
      <c r="E12" s="516"/>
      <c r="F12" s="166"/>
      <c r="G12" s="166"/>
      <c r="H12" s="522"/>
      <c r="I12" s="164"/>
    </row>
    <row r="13" spans="1:9" ht="12.75" customHeight="1" x14ac:dyDescent="0.35">
      <c r="A13" s="164"/>
      <c r="B13" s="455">
        <v>7</v>
      </c>
      <c r="C13" s="516" t="str">
        <f>"Underpaid tax for earlier years included in "&amp;tax_year&amp;" tax code"</f>
        <v>Underpaid tax for earlier years included in 2017-18 tax code</v>
      </c>
      <c r="D13" s="516"/>
      <c r="E13" s="516"/>
      <c r="F13" s="455">
        <v>6</v>
      </c>
      <c r="G13" s="229" t="s">
        <v>3021</v>
      </c>
      <c r="H13" s="522"/>
      <c r="I13" s="164"/>
    </row>
    <row r="14" spans="1:9" ht="12.75" customHeight="1" x14ac:dyDescent="0.35">
      <c r="A14" s="164"/>
      <c r="B14" s="523"/>
      <c r="C14" s="428">
        <f>Box_CAL7</f>
        <v>0</v>
      </c>
      <c r="D14" s="229"/>
      <c r="E14" s="516"/>
      <c r="F14" s="166"/>
      <c r="G14" s="519">
        <f>'Tax due (c12)'!G34</f>
        <v>0</v>
      </c>
      <c r="H14" s="522"/>
      <c r="I14" s="164"/>
    </row>
    <row r="15" spans="1:9" ht="8.25" customHeight="1" x14ac:dyDescent="0.35">
      <c r="A15" s="164"/>
      <c r="B15" s="523"/>
      <c r="C15" s="229"/>
      <c r="D15" s="229"/>
      <c r="E15" s="516"/>
      <c r="F15" s="516"/>
      <c r="G15" s="516"/>
      <c r="H15" s="522"/>
      <c r="I15" s="164"/>
    </row>
    <row r="16" spans="1:9" ht="12.75" customHeight="1" x14ac:dyDescent="0.35">
      <c r="A16" s="164"/>
      <c r="B16" s="455">
        <v>8</v>
      </c>
      <c r="C16" s="517" t="str">
        <f>tax_year&amp;" underpaid tax included in "&amp;next_year&amp;" tax code"</f>
        <v>2017-18 underpaid tax included in 2018-19 tax code</v>
      </c>
      <c r="D16" s="229"/>
      <c r="E16" s="516"/>
      <c r="F16" s="455">
        <v>9</v>
      </c>
      <c r="G16" s="229" t="str">
        <f>"Outstanding debt included in your tax code for "&amp;tax_year</f>
        <v>Outstanding debt included in your tax code for 2017-18</v>
      </c>
      <c r="H16" s="522"/>
      <c r="I16" s="164"/>
    </row>
    <row r="17" spans="1:9" ht="12.75" customHeight="1" x14ac:dyDescent="0.35">
      <c r="A17" s="164"/>
      <c r="B17" s="523"/>
      <c r="C17" s="428">
        <f>Box_CAL8</f>
        <v>0</v>
      </c>
      <c r="D17" s="229"/>
      <c r="E17" s="516"/>
      <c r="F17" s="516"/>
      <c r="G17" s="428">
        <f>Box_CAL9</f>
        <v>0</v>
      </c>
      <c r="H17" s="522"/>
      <c r="I17" s="164"/>
    </row>
    <row r="18" spans="1:9" ht="7.5" customHeight="1" x14ac:dyDescent="0.35">
      <c r="A18" s="164"/>
      <c r="B18" s="525"/>
      <c r="C18" s="526"/>
      <c r="D18" s="527"/>
      <c r="E18" s="527"/>
      <c r="F18" s="527"/>
      <c r="G18" s="527"/>
      <c r="H18" s="528"/>
      <c r="I18" s="164"/>
    </row>
    <row r="19" spans="1:9" ht="6.75" customHeight="1" x14ac:dyDescent="0.35">
      <c r="A19" s="164"/>
      <c r="B19" s="164"/>
      <c r="C19" s="164"/>
      <c r="D19" s="164"/>
      <c r="E19" s="164"/>
      <c r="F19" s="164"/>
      <c r="G19" s="164"/>
      <c r="H19" s="164"/>
      <c r="I19" s="164"/>
    </row>
    <row r="20" spans="1:9" ht="12.75" customHeight="1" x14ac:dyDescent="0.35">
      <c r="A20" s="164"/>
      <c r="B20" s="164"/>
      <c r="C20" s="164"/>
      <c r="D20" s="164"/>
      <c r="E20" s="164"/>
      <c r="F20" s="164"/>
      <c r="G20" s="164"/>
      <c r="H20" s="164"/>
      <c r="I20" s="164"/>
    </row>
    <row r="21" spans="1:9" ht="12.75" customHeight="1" x14ac:dyDescent="0.35">
      <c r="A21" s="164"/>
      <c r="B21" s="164"/>
      <c r="C21" s="164"/>
      <c r="D21" s="164"/>
      <c r="E21" s="164"/>
      <c r="F21" s="164"/>
      <c r="G21" s="164"/>
      <c r="H21" s="164"/>
      <c r="I21" s="164"/>
    </row>
    <row r="22" spans="1:9" ht="12.75" customHeight="1" x14ac:dyDescent="0.35">
      <c r="A22" s="164"/>
      <c r="B22" s="164"/>
      <c r="C22" s="164"/>
      <c r="D22" s="164"/>
      <c r="E22" s="164"/>
      <c r="F22" s="164"/>
      <c r="G22" s="164"/>
      <c r="H22" s="164"/>
      <c r="I22" s="164"/>
    </row>
    <row r="23" spans="1:9" ht="12.75" customHeight="1" x14ac:dyDescent="0.35">
      <c r="A23" s="164"/>
      <c r="B23" s="164"/>
      <c r="C23" s="164"/>
      <c r="D23" s="164"/>
      <c r="E23" s="164"/>
      <c r="F23" s="164"/>
      <c r="G23" s="164"/>
      <c r="H23" s="164"/>
      <c r="I23" s="164"/>
    </row>
    <row r="24" spans="1:9" x14ac:dyDescent="0.35">
      <c r="A24" s="164"/>
      <c r="B24" s="164"/>
      <c r="C24" s="164"/>
      <c r="D24" s="164"/>
      <c r="E24" s="164"/>
      <c r="F24" s="164"/>
      <c r="G24" s="164"/>
      <c r="H24" s="164"/>
      <c r="I24" s="164"/>
    </row>
    <row r="25" spans="1:9" x14ac:dyDescent="0.35">
      <c r="A25" s="164"/>
      <c r="B25" s="164"/>
      <c r="C25" s="164"/>
      <c r="D25" s="164"/>
      <c r="E25" s="164"/>
      <c r="F25" s="164"/>
      <c r="G25" s="164"/>
      <c r="H25" s="164"/>
      <c r="I25" s="164"/>
    </row>
    <row r="26" spans="1:9" x14ac:dyDescent="0.35">
      <c r="A26" s="164"/>
      <c r="B26" s="164"/>
      <c r="C26" s="164"/>
      <c r="D26" s="164"/>
      <c r="E26" s="164"/>
      <c r="F26" s="164"/>
      <c r="G26" s="164"/>
      <c r="H26" s="164"/>
      <c r="I26" s="164"/>
    </row>
    <row r="27" spans="1:9" x14ac:dyDescent="0.35">
      <c r="A27" s="164"/>
      <c r="B27" s="164"/>
      <c r="C27" s="164"/>
      <c r="D27" s="164"/>
      <c r="E27" s="164"/>
      <c r="F27" s="164"/>
      <c r="G27" s="164"/>
      <c r="H27" s="164"/>
      <c r="I27" s="164"/>
    </row>
    <row r="28" spans="1:9" x14ac:dyDescent="0.35">
      <c r="A28" s="164"/>
      <c r="B28" s="164"/>
      <c r="C28" s="164"/>
      <c r="D28" s="164"/>
      <c r="E28" s="164"/>
      <c r="F28" s="164"/>
      <c r="G28" s="164"/>
      <c r="H28" s="164"/>
      <c r="I28" s="164"/>
    </row>
    <row r="29" spans="1:9" x14ac:dyDescent="0.35">
      <c r="A29" s="164"/>
      <c r="B29" s="164"/>
      <c r="C29" s="164"/>
      <c r="D29" s="164"/>
      <c r="E29" s="164"/>
      <c r="F29" s="164"/>
      <c r="G29" s="164"/>
      <c r="H29" s="164"/>
      <c r="I29" s="164"/>
    </row>
    <row r="30" spans="1:9" x14ac:dyDescent="0.35">
      <c r="A30" s="164"/>
      <c r="B30" s="164"/>
      <c r="C30" s="164"/>
      <c r="D30" s="164"/>
      <c r="E30" s="164"/>
      <c r="F30" s="164"/>
      <c r="G30" s="164"/>
      <c r="H30" s="164"/>
      <c r="I30" s="164"/>
    </row>
    <row r="31" spans="1:9" x14ac:dyDescent="0.35">
      <c r="A31" s="164"/>
      <c r="B31" s="164"/>
      <c r="C31" s="164"/>
      <c r="D31" s="164"/>
      <c r="E31" s="164"/>
      <c r="F31" s="164"/>
      <c r="G31" s="164"/>
      <c r="H31" s="164"/>
      <c r="I31" s="164"/>
    </row>
    <row r="32" spans="1:9" x14ac:dyDescent="0.35">
      <c r="A32" s="164"/>
      <c r="B32" s="164"/>
      <c r="C32" s="164"/>
      <c r="D32" s="164"/>
      <c r="E32" s="164"/>
      <c r="F32" s="164"/>
      <c r="G32" s="164"/>
      <c r="H32" s="164"/>
      <c r="I32" s="164"/>
    </row>
    <row r="33" spans="1:9" x14ac:dyDescent="0.35">
      <c r="A33" s="164"/>
      <c r="B33" s="164"/>
      <c r="C33" s="164"/>
      <c r="D33" s="164"/>
      <c r="E33" s="164"/>
      <c r="F33" s="164"/>
      <c r="G33" s="164"/>
      <c r="H33" s="164"/>
      <c r="I33" s="164"/>
    </row>
  </sheetData>
  <phoneticPr fontId="68"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O25"/>
  <sheetViews>
    <sheetView showGridLines="0" showRowColHeaders="0" topLeftCell="B1" workbookViewId="0">
      <selection activeCell="J15" sqref="J15"/>
    </sheetView>
  </sheetViews>
  <sheetFormatPr defaultRowHeight="12.75" x14ac:dyDescent="0.35"/>
  <cols>
    <col min="1" max="1" width="5.1328125" hidden="1" customWidth="1"/>
    <col min="2" max="2" width="18.86328125" customWidth="1"/>
    <col min="3" max="3" width="4.86328125" customWidth="1"/>
    <col min="4" max="4" width="12.73046875" customWidth="1"/>
    <col min="5" max="5" width="0.86328125" customWidth="1"/>
    <col min="6" max="6" width="2.59765625" customWidth="1"/>
    <col min="7" max="7" width="21.59765625" customWidth="1"/>
    <col min="8" max="8" width="9.73046875" customWidth="1"/>
    <col min="9" max="9" width="5.1328125" customWidth="1"/>
    <col min="10" max="10" width="12.73046875" customWidth="1"/>
    <col min="11" max="11" width="0.86328125" customWidth="1"/>
    <col min="12" max="12" width="2.59765625" customWidth="1"/>
    <col min="13" max="13" width="37.86328125" customWidth="1"/>
    <col min="14" max="14" width="20.265625" customWidth="1"/>
    <col min="15" max="15" width="3.86328125" customWidth="1"/>
    <col min="16" max="16" width="4.73046875" customWidth="1"/>
  </cols>
  <sheetData>
    <row r="1" spans="1:15" ht="27" customHeight="1" x14ac:dyDescent="0.35">
      <c r="A1" t="s">
        <v>668</v>
      </c>
      <c r="B1" s="164"/>
      <c r="C1" s="164"/>
      <c r="D1" s="164"/>
      <c r="E1" s="164"/>
      <c r="F1" s="164"/>
      <c r="G1" s="164"/>
      <c r="H1" s="164"/>
      <c r="I1" s="164"/>
      <c r="J1" s="164"/>
      <c r="K1" s="164"/>
      <c r="L1" s="164"/>
      <c r="M1" s="164"/>
      <c r="N1" s="164"/>
    </row>
    <row r="2" spans="1:15" x14ac:dyDescent="0.35">
      <c r="A2">
        <v>1</v>
      </c>
      <c r="B2" s="164"/>
      <c r="C2" s="211" t="s">
        <v>3815</v>
      </c>
      <c r="D2" s="180"/>
      <c r="E2" s="1527"/>
      <c r="F2" s="1527"/>
      <c r="G2" s="180"/>
      <c r="H2" s="180"/>
      <c r="I2" s="997" t="s">
        <v>1824</v>
      </c>
      <c r="J2" s="180"/>
      <c r="K2" s="1527"/>
      <c r="L2" s="180"/>
      <c r="M2" s="456" t="s">
        <v>668</v>
      </c>
      <c r="N2" s="164"/>
    </row>
    <row r="3" spans="1:15" ht="9" customHeight="1" x14ac:dyDescent="0.35">
      <c r="A3">
        <v>2</v>
      </c>
      <c r="B3" s="164"/>
      <c r="C3" s="182"/>
      <c r="D3" s="166"/>
      <c r="E3" s="166"/>
      <c r="F3" s="166"/>
      <c r="G3" s="167"/>
      <c r="H3" s="166"/>
      <c r="I3" s="998" t="s">
        <v>1825</v>
      </c>
      <c r="J3" s="166"/>
      <c r="K3" s="166"/>
      <c r="L3" s="167"/>
      <c r="M3" s="183"/>
      <c r="N3" s="164"/>
    </row>
    <row r="4" spans="1:15" x14ac:dyDescent="0.35">
      <c r="A4">
        <v>3</v>
      </c>
      <c r="B4" s="164"/>
      <c r="C4" s="190">
        <f>A2</f>
        <v>1</v>
      </c>
      <c r="D4" s="166" t="s">
        <v>2549</v>
      </c>
      <c r="E4" s="166"/>
      <c r="F4" s="166"/>
      <c r="G4" s="167"/>
      <c r="H4" s="166"/>
      <c r="I4" s="166"/>
      <c r="J4" s="1641" t="s">
        <v>5600</v>
      </c>
      <c r="K4" s="999"/>
      <c r="L4" s="167"/>
      <c r="M4" s="183"/>
      <c r="N4" s="164"/>
    </row>
    <row r="5" spans="1:15" x14ac:dyDescent="0.35">
      <c r="A5">
        <v>4</v>
      </c>
      <c r="B5" s="164"/>
      <c r="C5" s="182"/>
      <c r="D5" s="166"/>
      <c r="E5" s="166"/>
      <c r="F5" s="166"/>
      <c r="G5" s="167"/>
      <c r="H5" s="166"/>
      <c r="I5" s="1000">
        <v>2</v>
      </c>
      <c r="J5" s="999" t="str">
        <f>"1) "&amp;data!C158</f>
        <v>1) Before 6/4/1935 (age over 82)</v>
      </c>
      <c r="K5" s="999"/>
      <c r="L5" s="167"/>
      <c r="M5" s="183"/>
      <c r="N5" s="164"/>
    </row>
    <row r="6" spans="1:15" x14ac:dyDescent="0.35">
      <c r="A6" s="1002" t="s">
        <v>5601</v>
      </c>
      <c r="B6" s="164"/>
      <c r="C6" s="182"/>
      <c r="D6" s="166"/>
      <c r="E6" s="166"/>
      <c r="F6" s="166"/>
      <c r="G6" s="167"/>
      <c r="H6" s="166"/>
      <c r="I6" s="166"/>
      <c r="J6" s="999" t="str">
        <f>"2) "&amp;data!C159</f>
        <v>2) After 6/4/1935 (age 82 or under)</v>
      </c>
      <c r="K6" s="999"/>
      <c r="L6" s="167"/>
      <c r="M6" s="183"/>
      <c r="N6" s="164"/>
    </row>
    <row r="7" spans="1:15" x14ac:dyDescent="0.35">
      <c r="B7" s="164"/>
      <c r="C7" s="190" t="s">
        <v>6368</v>
      </c>
      <c r="D7" s="207" t="s">
        <v>6290</v>
      </c>
      <c r="E7" s="166"/>
      <c r="F7" s="166"/>
      <c r="G7" s="167"/>
      <c r="H7" s="166"/>
      <c r="I7" s="166"/>
      <c r="J7" s="999"/>
      <c r="K7" s="999"/>
      <c r="L7" s="167"/>
      <c r="M7" s="183"/>
      <c r="N7" s="164"/>
      <c r="O7" s="1002"/>
    </row>
    <row r="8" spans="1:15" x14ac:dyDescent="0.35">
      <c r="B8" s="164"/>
      <c r="C8" s="182"/>
      <c r="D8" s="167"/>
      <c r="E8" s="166"/>
      <c r="F8" s="166"/>
      <c r="G8" s="167"/>
      <c r="H8" s="166"/>
      <c r="I8" s="1000">
        <v>1</v>
      </c>
      <c r="J8" s="999" t="s">
        <v>6384</v>
      </c>
      <c r="K8" s="999"/>
      <c r="L8" s="167"/>
      <c r="M8" s="183"/>
      <c r="N8" s="164"/>
      <c r="O8" s="1002"/>
    </row>
    <row r="9" spans="1:15" ht="11.25" customHeight="1" x14ac:dyDescent="0.35">
      <c r="B9" s="164"/>
      <c r="C9" s="187"/>
      <c r="D9" s="188"/>
      <c r="E9" s="188"/>
      <c r="F9" s="188"/>
      <c r="G9" s="1845"/>
      <c r="H9" s="188"/>
      <c r="I9" s="188"/>
      <c r="J9" s="1845" t="s">
        <v>6385</v>
      </c>
      <c r="K9" s="188"/>
      <c r="L9" s="188"/>
      <c r="M9" s="189"/>
      <c r="N9" s="164"/>
    </row>
    <row r="10" spans="1:15" ht="24.75" customHeight="1" x14ac:dyDescent="0.35">
      <c r="A10" s="1842" t="s">
        <v>6289</v>
      </c>
      <c r="B10" s="164"/>
      <c r="C10" s="164"/>
      <c r="D10" s="164"/>
      <c r="E10" s="164"/>
      <c r="F10" s="164"/>
      <c r="G10" s="164"/>
      <c r="H10" s="164"/>
      <c r="I10" s="164"/>
      <c r="J10" s="164"/>
      <c r="K10" s="164"/>
      <c r="L10" s="164"/>
      <c r="M10" s="164"/>
      <c r="N10" s="164"/>
    </row>
    <row r="11" spans="1:15" x14ac:dyDescent="0.35">
      <c r="A11" s="1843" t="s">
        <v>6383</v>
      </c>
      <c r="B11" s="164"/>
      <c r="C11" s="179" t="s">
        <v>3034</v>
      </c>
      <c r="D11" s="180"/>
      <c r="E11" s="1527"/>
      <c r="F11" s="1527"/>
      <c r="G11" s="180"/>
      <c r="H11" s="180"/>
      <c r="I11" s="180"/>
      <c r="J11" s="180"/>
      <c r="K11" s="1527"/>
      <c r="L11" s="180"/>
      <c r="M11" s="456" t="s">
        <v>3033</v>
      </c>
      <c r="N11" s="164"/>
    </row>
    <row r="12" spans="1:15" x14ac:dyDescent="0.35">
      <c r="A12" s="1843" t="s">
        <v>6382</v>
      </c>
      <c r="B12" s="164"/>
      <c r="C12" s="182"/>
      <c r="D12" s="166"/>
      <c r="E12" s="166"/>
      <c r="F12" s="166"/>
      <c r="G12" s="167"/>
      <c r="H12" s="166"/>
      <c r="I12" s="166"/>
      <c r="J12" s="166"/>
      <c r="K12" s="166"/>
      <c r="L12" s="167"/>
      <c r="M12" s="183"/>
      <c r="N12" s="164"/>
    </row>
    <row r="13" spans="1:15" x14ac:dyDescent="0.35">
      <c r="A13" s="1642"/>
      <c r="B13" s="164"/>
      <c r="C13" s="168">
        <f>A16</f>
        <v>1</v>
      </c>
      <c r="D13" s="166" t="s">
        <v>4318</v>
      </c>
      <c r="E13" s="166"/>
      <c r="F13" s="166"/>
      <c r="G13" s="167"/>
      <c r="H13" s="166"/>
      <c r="I13" s="168">
        <f>A19</f>
        <v>4</v>
      </c>
      <c r="J13" s="290" t="s">
        <v>6232</v>
      </c>
      <c r="K13" s="169"/>
      <c r="L13" s="175"/>
      <c r="M13" s="183"/>
      <c r="N13" s="164"/>
    </row>
    <row r="14" spans="1:15" x14ac:dyDescent="0.35">
      <c r="B14" s="164"/>
      <c r="C14" s="184"/>
      <c r="D14" s="172"/>
      <c r="E14" s="1528" t="s">
        <v>5484</v>
      </c>
      <c r="F14" s="1529" t="s">
        <v>5485</v>
      </c>
      <c r="G14" s="171"/>
      <c r="H14" s="171"/>
      <c r="I14" s="171"/>
      <c r="J14" s="173"/>
      <c r="K14" s="1528" t="s">
        <v>5484</v>
      </c>
      <c r="L14" s="1529" t="s">
        <v>5485</v>
      </c>
      <c r="M14" s="183"/>
      <c r="N14" s="164"/>
    </row>
    <row r="15" spans="1:15" x14ac:dyDescent="0.35">
      <c r="A15" t="s">
        <v>3033</v>
      </c>
      <c r="B15" s="164"/>
      <c r="C15" s="182"/>
      <c r="D15" s="166"/>
      <c r="E15" s="166"/>
      <c r="F15" s="166"/>
      <c r="G15" s="171"/>
      <c r="H15" s="171"/>
      <c r="I15" s="166"/>
      <c r="J15" s="166"/>
      <c r="K15" s="166"/>
      <c r="L15" s="167"/>
      <c r="M15" s="183"/>
      <c r="N15" s="164"/>
    </row>
    <row r="16" spans="1:15" ht="12.75" customHeight="1" x14ac:dyDescent="0.35">
      <c r="A16" s="163">
        <v>1</v>
      </c>
      <c r="B16" s="164"/>
      <c r="C16" s="168">
        <f>A17</f>
        <v>2</v>
      </c>
      <c r="D16" s="166" t="s">
        <v>4319</v>
      </c>
      <c r="E16" s="166"/>
      <c r="F16" s="166"/>
      <c r="G16" s="167"/>
      <c r="H16" s="171"/>
      <c r="I16" s="170">
        <f>A20</f>
        <v>5</v>
      </c>
      <c r="J16" s="207" t="s">
        <v>6233</v>
      </c>
      <c r="K16" s="166"/>
      <c r="L16" s="167"/>
      <c r="M16" s="183"/>
      <c r="N16" s="164"/>
    </row>
    <row r="17" spans="1:14" x14ac:dyDescent="0.35">
      <c r="A17" s="163">
        <v>2</v>
      </c>
      <c r="B17" s="164"/>
      <c r="C17" s="185"/>
      <c r="D17" s="172"/>
      <c r="E17" s="1528" t="s">
        <v>5484</v>
      </c>
      <c r="F17" s="1529" t="s">
        <v>5485</v>
      </c>
      <c r="G17" s="175"/>
      <c r="H17" s="171"/>
      <c r="I17" s="171"/>
      <c r="J17" s="173"/>
      <c r="K17" s="1528" t="s">
        <v>5484</v>
      </c>
      <c r="L17" s="1529" t="s">
        <v>5485</v>
      </c>
      <c r="M17" s="183"/>
      <c r="N17" s="164"/>
    </row>
    <row r="18" spans="1:14" x14ac:dyDescent="0.35">
      <c r="A18" s="163">
        <v>3</v>
      </c>
      <c r="B18" s="164"/>
      <c r="C18" s="185"/>
      <c r="D18" s="171"/>
      <c r="E18" s="171"/>
      <c r="F18" s="171"/>
      <c r="G18" s="175"/>
      <c r="H18" s="171"/>
      <c r="I18" s="166"/>
      <c r="J18" s="166"/>
      <c r="K18" s="166"/>
      <c r="L18" s="167"/>
      <c r="M18" s="183"/>
      <c r="N18" s="164"/>
    </row>
    <row r="19" spans="1:14" ht="12.75" customHeight="1" x14ac:dyDescent="0.35">
      <c r="A19" s="163">
        <v>4</v>
      </c>
      <c r="B19" s="164"/>
      <c r="C19" s="168">
        <f>A18</f>
        <v>3</v>
      </c>
      <c r="D19" s="166" t="s">
        <v>4647</v>
      </c>
      <c r="E19" s="166"/>
      <c r="F19" s="166"/>
      <c r="G19" s="167"/>
      <c r="H19" s="171"/>
      <c r="I19" s="170">
        <f>A21</f>
        <v>6</v>
      </c>
      <c r="J19" s="166" t="s">
        <v>4182</v>
      </c>
      <c r="K19" s="166"/>
      <c r="L19" s="167"/>
      <c r="M19" s="183"/>
      <c r="N19" s="164"/>
    </row>
    <row r="20" spans="1:14" x14ac:dyDescent="0.35">
      <c r="A20" s="163">
        <v>5</v>
      </c>
      <c r="B20" s="164"/>
      <c r="C20" s="185"/>
      <c r="D20" s="172"/>
      <c r="E20" s="1528" t="s">
        <v>5484</v>
      </c>
      <c r="F20" s="1529" t="s">
        <v>5485</v>
      </c>
      <c r="G20" s="175"/>
      <c r="H20" s="176"/>
      <c r="I20" s="171"/>
      <c r="J20" s="173"/>
      <c r="K20" s="1528" t="s">
        <v>5484</v>
      </c>
      <c r="L20" s="1529" t="s">
        <v>5485</v>
      </c>
      <c r="M20" s="183"/>
      <c r="N20" s="164"/>
    </row>
    <row r="21" spans="1:14" ht="10.5" customHeight="1" x14ac:dyDescent="0.35">
      <c r="A21" s="163">
        <v>6</v>
      </c>
      <c r="B21" s="164"/>
      <c r="C21" s="187"/>
      <c r="D21" s="188"/>
      <c r="E21" s="188"/>
      <c r="F21" s="188"/>
      <c r="G21" s="188"/>
      <c r="H21" s="188"/>
      <c r="I21" s="188"/>
      <c r="J21" s="188"/>
      <c r="K21" s="188"/>
      <c r="L21" s="188"/>
      <c r="M21" s="189"/>
      <c r="N21" s="164"/>
    </row>
    <row r="22" spans="1:14" x14ac:dyDescent="0.35">
      <c r="B22" s="164"/>
      <c r="C22" s="164"/>
      <c r="D22" s="164"/>
      <c r="E22" s="164"/>
      <c r="F22" s="164"/>
      <c r="G22" s="164"/>
      <c r="H22" s="164"/>
      <c r="I22" s="164"/>
      <c r="J22" s="164"/>
      <c r="K22" s="164"/>
      <c r="L22" s="164"/>
      <c r="M22" s="164"/>
      <c r="N22" s="164"/>
    </row>
    <row r="23" spans="1:14" x14ac:dyDescent="0.35">
      <c r="B23" s="164"/>
      <c r="C23" s="164"/>
      <c r="D23" s="164"/>
      <c r="E23" s="164"/>
      <c r="F23" s="164"/>
      <c r="G23" s="164"/>
      <c r="H23" s="164"/>
      <c r="I23" s="164"/>
      <c r="J23" s="164"/>
      <c r="K23" s="164"/>
      <c r="L23" s="164"/>
      <c r="M23" s="164"/>
      <c r="N23" s="164"/>
    </row>
    <row r="24" spans="1:14" x14ac:dyDescent="0.35">
      <c r="B24" s="164"/>
      <c r="C24" s="164"/>
      <c r="D24" s="164"/>
      <c r="E24" s="164"/>
      <c r="F24" s="164"/>
      <c r="G24" s="164"/>
      <c r="H24" s="164"/>
      <c r="I24" s="164"/>
      <c r="J24" s="164"/>
      <c r="K24" s="164"/>
      <c r="L24" s="164"/>
      <c r="M24" s="164"/>
      <c r="N24" s="164"/>
    </row>
    <row r="25" spans="1:14" ht="33" customHeight="1" x14ac:dyDescent="0.35">
      <c r="B25" s="164"/>
      <c r="C25" s="164"/>
      <c r="D25" s="164"/>
      <c r="E25" s="164"/>
      <c r="F25" s="164"/>
      <c r="G25" s="164"/>
      <c r="H25" s="164"/>
      <c r="I25" s="164"/>
      <c r="J25" s="164"/>
      <c r="K25" s="164"/>
      <c r="L25" s="164"/>
      <c r="M25" s="164"/>
      <c r="N25" s="164"/>
    </row>
  </sheetData>
  <sheetProtection sheet="1" objects="1" scenarios="1"/>
  <phoneticPr fontId="68" type="noConversion"/>
  <dataValidations count="1">
    <dataValidation type="whole" errorStyle="information" operator="greaterThan" allowBlank="1" showInputMessage="1" showErrorMessage="1" error="Enter your figures in whole pounds – ignore the pence_x000a_• Round down income and round up expenses and tax paid,_x000a_it is to your benefit_x000a_Select OK to retain pence or Cancel to retype amount" sqref="D14">
      <formula1>0</formula1>
    </dataValidation>
  </dataValidations>
  <pageMargins left="0.75" right="0.75" top="1" bottom="1" header="0.5" footer="0.5"/>
  <pageSetup paperSize="9" orientation="landscape" horizontalDpi="1200" verticalDpi="1200" r:id="rId1"/>
  <headerFooter alignWithMargins="0"/>
  <ignoredErrors>
    <ignoredError sqref="F14 F17 F20 L14 L17 L20"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40964" r:id="rId4" name="Drop Down 4">
              <controlPr defaultSize="0" autoLine="0" autoPict="0">
                <anchor moveWithCells="1">
                  <from>
                    <xdr:col>3</xdr:col>
                    <xdr:colOff>0</xdr:colOff>
                    <xdr:row>4</xdr:row>
                    <xdr:rowOff>9525</xdr:rowOff>
                  </from>
                  <to>
                    <xdr:col>6</xdr:col>
                    <xdr:colOff>809625</xdr:colOff>
                    <xdr:row>5</xdr:row>
                    <xdr:rowOff>9525</xdr:rowOff>
                  </to>
                </anchor>
              </controlPr>
            </control>
          </mc:Choice>
        </mc:AlternateContent>
        <mc:AlternateContent xmlns:mc="http://schemas.openxmlformats.org/markup-compatibility/2006">
          <mc:Choice Requires="x14">
            <control shapeId="40971" r:id="rId5" name="Drop Down 11">
              <controlPr defaultSize="0" autoLine="0" autoPict="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N35"/>
  <sheetViews>
    <sheetView showGridLines="0" showRowColHeaders="0" topLeftCell="B1" workbookViewId="0">
      <selection activeCell="F24" sqref="F24"/>
    </sheetView>
  </sheetViews>
  <sheetFormatPr defaultColWidth="9.1328125" defaultRowHeight="11.65" x14ac:dyDescent="0.35"/>
  <cols>
    <col min="1" max="1" width="3" style="163" hidden="1" customWidth="1"/>
    <col min="2" max="2" width="18.3984375" style="163" customWidth="1"/>
    <col min="3" max="3" width="4.73046875" style="163" customWidth="1"/>
    <col min="4" max="4" width="13.59765625" style="163" customWidth="1"/>
    <col min="5" max="5" width="13.265625" style="163" customWidth="1"/>
    <col min="6" max="6" width="32.59765625" style="163" customWidth="1"/>
    <col min="7" max="7" width="4.73046875" style="163" customWidth="1"/>
    <col min="8" max="8" width="13.59765625" style="163" customWidth="1"/>
    <col min="9" max="9" width="10.59765625" style="163" customWidth="1"/>
    <col min="10" max="10" width="3.59765625" style="163" customWidth="1"/>
    <col min="11" max="11" width="22.1328125" style="163" customWidth="1"/>
    <col min="12" max="12" width="19" style="163" customWidth="1"/>
    <col min="13" max="16384" width="9.1328125" style="163"/>
  </cols>
  <sheetData>
    <row r="1" spans="1:14" ht="9" customHeight="1" x14ac:dyDescent="0.35">
      <c r="B1" s="164"/>
      <c r="C1" s="164"/>
      <c r="D1" s="164"/>
      <c r="E1" s="164"/>
      <c r="F1" s="164"/>
      <c r="G1" s="164"/>
      <c r="H1" s="164"/>
      <c r="I1" s="164"/>
      <c r="J1" s="164"/>
      <c r="K1" s="164"/>
      <c r="L1" s="164"/>
      <c r="M1" s="165"/>
      <c r="N1" s="165"/>
    </row>
    <row r="2" spans="1:14" ht="12.75" customHeight="1" x14ac:dyDescent="0.35">
      <c r="B2" s="164"/>
      <c r="C2" s="179" t="s">
        <v>3035</v>
      </c>
      <c r="D2" s="180"/>
      <c r="E2" s="180"/>
      <c r="F2" s="180"/>
      <c r="G2" s="180"/>
      <c r="H2" s="180"/>
      <c r="I2" s="180"/>
      <c r="J2" s="456" t="s">
        <v>3033</v>
      </c>
      <c r="K2" s="164"/>
      <c r="L2" s="164"/>
      <c r="M2" s="165"/>
      <c r="N2" s="165"/>
    </row>
    <row r="3" spans="1:14" ht="9" customHeight="1" x14ac:dyDescent="0.35">
      <c r="A3" s="163">
        <v>7</v>
      </c>
      <c r="B3" s="164"/>
      <c r="C3" s="184"/>
      <c r="D3" s="171"/>
      <c r="E3" s="171"/>
      <c r="F3" s="171"/>
      <c r="G3" s="171"/>
      <c r="H3" s="171"/>
      <c r="I3" s="167"/>
      <c r="J3" s="183"/>
      <c r="K3" s="164"/>
      <c r="L3" s="164"/>
      <c r="M3" s="165"/>
      <c r="N3" s="165"/>
    </row>
    <row r="4" spans="1:14" ht="12.75" customHeight="1" x14ac:dyDescent="0.35">
      <c r="A4" s="163">
        <v>8</v>
      </c>
      <c r="B4" s="164"/>
      <c r="C4" s="190">
        <f>A4</f>
        <v>8</v>
      </c>
      <c r="D4" s="169" t="s">
        <v>1212</v>
      </c>
      <c r="E4" s="171"/>
      <c r="F4" s="171"/>
      <c r="G4" s="190">
        <f>A8</f>
        <v>12</v>
      </c>
      <c r="H4" s="169" t="str">
        <f>"Tax taken off box "&amp;C13</f>
        <v>Tax taken off box 11</v>
      </c>
      <c r="I4" s="167"/>
      <c r="J4" s="183"/>
      <c r="K4" s="164"/>
      <c r="L4" s="164"/>
      <c r="M4" s="165"/>
      <c r="N4" s="165"/>
    </row>
    <row r="5" spans="1:14" ht="12.75" customHeight="1" x14ac:dyDescent="0.35">
      <c r="A5" s="163">
        <v>9</v>
      </c>
      <c r="B5" s="164"/>
      <c r="C5" s="184"/>
      <c r="D5" s="191"/>
      <c r="E5" s="171"/>
      <c r="F5" s="171"/>
      <c r="G5" s="171"/>
      <c r="H5" s="192"/>
      <c r="I5" s="167"/>
      <c r="J5" s="183"/>
      <c r="K5" s="164"/>
      <c r="L5" s="164"/>
      <c r="M5" s="165"/>
      <c r="N5" s="165"/>
    </row>
    <row r="6" spans="1:14" ht="9" customHeight="1" x14ac:dyDescent="0.35">
      <c r="A6" s="163">
        <v>10</v>
      </c>
      <c r="B6" s="164"/>
      <c r="C6" s="184"/>
      <c r="D6" s="171"/>
      <c r="E6" s="171"/>
      <c r="F6" s="171"/>
      <c r="G6" s="171"/>
      <c r="H6" s="171"/>
      <c r="I6" s="167"/>
      <c r="J6" s="183"/>
      <c r="K6" s="164"/>
      <c r="L6" s="164"/>
      <c r="M6" s="165"/>
      <c r="N6" s="165"/>
    </row>
    <row r="7" spans="1:14" ht="12.75" customHeight="1" x14ac:dyDescent="0.35">
      <c r="A7" s="163">
        <v>11</v>
      </c>
      <c r="B7" s="164"/>
      <c r="C7" s="190">
        <f>A5</f>
        <v>9</v>
      </c>
      <c r="D7" s="169" t="s">
        <v>1417</v>
      </c>
      <c r="E7" s="171"/>
      <c r="F7" s="171"/>
      <c r="G7" s="190">
        <f>A9</f>
        <v>13</v>
      </c>
      <c r="H7" s="169" t="s">
        <v>1437</v>
      </c>
      <c r="I7" s="174"/>
      <c r="J7" s="183"/>
      <c r="K7" s="164"/>
      <c r="L7" s="164"/>
      <c r="M7" s="165"/>
      <c r="N7" s="165"/>
    </row>
    <row r="8" spans="1:14" ht="12.75" customHeight="1" x14ac:dyDescent="0.35">
      <c r="A8" s="163">
        <v>12</v>
      </c>
      <c r="B8" s="164"/>
      <c r="C8" s="184"/>
      <c r="D8" s="191"/>
      <c r="E8" s="171"/>
      <c r="F8" s="171"/>
      <c r="G8" s="171"/>
      <c r="H8" s="191"/>
      <c r="I8" s="174"/>
      <c r="J8" s="183"/>
      <c r="K8" s="164"/>
      <c r="L8" s="164"/>
      <c r="M8" s="165"/>
      <c r="N8" s="165"/>
    </row>
    <row r="9" spans="1:14" ht="9" customHeight="1" x14ac:dyDescent="0.35">
      <c r="A9" s="163">
        <v>13</v>
      </c>
      <c r="B9" s="164"/>
      <c r="C9" s="184"/>
      <c r="D9" s="171"/>
      <c r="E9" s="171"/>
      <c r="F9" s="171"/>
      <c r="G9" s="171"/>
      <c r="H9" s="171"/>
      <c r="I9" s="174"/>
      <c r="J9" s="183"/>
      <c r="K9" s="164"/>
      <c r="L9" s="164"/>
      <c r="M9" s="165"/>
      <c r="N9" s="165"/>
    </row>
    <row r="10" spans="1:14" ht="12.75" customHeight="1" x14ac:dyDescent="0.35">
      <c r="A10" s="163">
        <v>14</v>
      </c>
      <c r="B10" s="164"/>
      <c r="C10" s="190">
        <f>A6</f>
        <v>10</v>
      </c>
      <c r="D10" s="169" t="str">
        <f>"Tax taken off box "&amp;C7</f>
        <v>Tax taken off box 9</v>
      </c>
      <c r="E10" s="171"/>
      <c r="F10" s="171"/>
      <c r="G10" s="190">
        <f>A10</f>
        <v>14</v>
      </c>
      <c r="H10" s="169" t="str">
        <f>"Tax taken off box "&amp;G7</f>
        <v>Tax taken off box 13</v>
      </c>
      <c r="I10" s="174"/>
      <c r="J10" s="183"/>
      <c r="K10" s="164"/>
      <c r="L10" s="164"/>
      <c r="M10" s="165"/>
      <c r="N10" s="165"/>
    </row>
    <row r="11" spans="1:14" ht="12.75" customHeight="1" x14ac:dyDescent="0.35">
      <c r="A11" s="163">
        <v>15</v>
      </c>
      <c r="B11" s="164"/>
      <c r="C11" s="184"/>
      <c r="D11" s="191"/>
      <c r="E11" s="171"/>
      <c r="F11" s="171"/>
      <c r="G11" s="171"/>
      <c r="H11" s="192"/>
      <c r="I11" s="174"/>
      <c r="J11" s="183"/>
      <c r="K11" s="164"/>
      <c r="L11" s="164"/>
      <c r="M11" s="165"/>
      <c r="N11" s="165"/>
    </row>
    <row r="12" spans="1:14" ht="9" customHeight="1" x14ac:dyDescent="0.35">
      <c r="A12" s="163">
        <v>16</v>
      </c>
      <c r="B12" s="164"/>
      <c r="C12" s="184"/>
      <c r="D12" s="171"/>
      <c r="E12" s="171"/>
      <c r="F12" s="171"/>
      <c r="G12" s="171"/>
      <c r="H12" s="171"/>
      <c r="I12" s="174"/>
      <c r="J12" s="183"/>
      <c r="K12" s="164"/>
      <c r="L12" s="164"/>
      <c r="M12" s="165"/>
      <c r="N12" s="165"/>
    </row>
    <row r="13" spans="1:14" ht="12.75" customHeight="1" x14ac:dyDescent="0.35">
      <c r="A13" s="163">
        <v>17</v>
      </c>
      <c r="B13" s="164"/>
      <c r="C13" s="190">
        <f>A7</f>
        <v>11</v>
      </c>
      <c r="D13" s="290" t="s">
        <v>6234</v>
      </c>
      <c r="E13" s="171"/>
      <c r="F13" s="171"/>
      <c r="G13" s="190">
        <f>A11</f>
        <v>15</v>
      </c>
      <c r="H13" s="290" t="s">
        <v>661</v>
      </c>
      <c r="I13" s="174"/>
      <c r="J13" s="183"/>
      <c r="K13" s="164"/>
      <c r="L13" s="164"/>
      <c r="M13" s="165"/>
      <c r="N13" s="165"/>
    </row>
    <row r="14" spans="1:14" ht="12.75" customHeight="1" x14ac:dyDescent="0.35">
      <c r="A14" s="163">
        <v>18</v>
      </c>
      <c r="B14" s="164"/>
      <c r="C14" s="184"/>
      <c r="D14" s="191"/>
      <c r="E14" s="171"/>
      <c r="F14" s="171"/>
      <c r="G14" s="706"/>
      <c r="H14" s="191"/>
      <c r="I14" s="174"/>
      <c r="J14" s="183"/>
      <c r="K14" s="164"/>
      <c r="L14" s="164"/>
      <c r="M14" s="165"/>
      <c r="N14" s="165"/>
    </row>
    <row r="15" spans="1:14" ht="12.75" customHeight="1" x14ac:dyDescent="0.35">
      <c r="A15" s="163">
        <v>19</v>
      </c>
      <c r="B15" s="164"/>
      <c r="C15" s="184"/>
      <c r="D15" s="171"/>
      <c r="E15" s="171"/>
      <c r="F15" s="171"/>
      <c r="G15" s="171"/>
      <c r="H15" s="171"/>
      <c r="I15" s="174"/>
      <c r="J15" s="183"/>
      <c r="K15" s="164"/>
      <c r="L15" s="164"/>
      <c r="M15" s="165"/>
      <c r="N15" s="165"/>
    </row>
    <row r="16" spans="1:14" ht="12.75" customHeight="1" x14ac:dyDescent="0.35">
      <c r="A16" s="163">
        <v>20</v>
      </c>
      <c r="B16" s="164"/>
      <c r="C16" s="184"/>
      <c r="D16" s="171"/>
      <c r="E16" s="171"/>
      <c r="F16" s="171"/>
      <c r="G16" s="190">
        <f>A12</f>
        <v>16</v>
      </c>
      <c r="H16" s="169" t="s">
        <v>3940</v>
      </c>
      <c r="I16" s="174"/>
      <c r="J16" s="183"/>
      <c r="K16" s="164"/>
      <c r="L16" s="164"/>
      <c r="M16" s="165"/>
      <c r="N16" s="165"/>
    </row>
    <row r="17" spans="1:14" ht="12.75" customHeight="1" x14ac:dyDescent="0.35">
      <c r="A17" s="163">
        <v>21</v>
      </c>
      <c r="B17" s="164"/>
      <c r="C17" s="184"/>
      <c r="D17" s="171"/>
      <c r="E17" s="171"/>
      <c r="F17" s="171"/>
      <c r="G17" s="171"/>
      <c r="H17" s="191"/>
      <c r="I17" s="174"/>
      <c r="J17" s="183"/>
      <c r="K17" s="164"/>
      <c r="L17" s="164"/>
      <c r="M17" s="165"/>
      <c r="N17" s="165"/>
    </row>
    <row r="18" spans="1:14" ht="9" customHeight="1" x14ac:dyDescent="0.35">
      <c r="B18" s="164"/>
      <c r="C18" s="187"/>
      <c r="D18" s="188"/>
      <c r="E18" s="188"/>
      <c r="F18" s="188"/>
      <c r="G18" s="188"/>
      <c r="H18" s="188"/>
      <c r="I18" s="188"/>
      <c r="J18" s="189"/>
      <c r="K18" s="164"/>
      <c r="L18" s="164"/>
      <c r="M18" s="165"/>
      <c r="N18" s="165"/>
    </row>
    <row r="19" spans="1:14" ht="9" customHeight="1" x14ac:dyDescent="0.35">
      <c r="B19" s="164"/>
      <c r="C19" s="164"/>
      <c r="D19" s="164"/>
      <c r="E19" s="164"/>
      <c r="F19" s="164"/>
      <c r="G19" s="164"/>
      <c r="H19" s="164"/>
      <c r="I19" s="178"/>
      <c r="J19" s="164"/>
      <c r="K19" s="164"/>
      <c r="L19" s="164"/>
      <c r="M19" s="165"/>
      <c r="N19" s="165"/>
    </row>
    <row r="20" spans="1:14" ht="12.75" customHeight="1" x14ac:dyDescent="0.35">
      <c r="B20" s="164"/>
      <c r="C20" s="179" t="s">
        <v>3036</v>
      </c>
      <c r="D20" s="180"/>
      <c r="E20" s="180"/>
      <c r="F20" s="180"/>
      <c r="G20" s="180"/>
      <c r="H20" s="180"/>
      <c r="I20" s="180"/>
      <c r="J20" s="456" t="s">
        <v>3033</v>
      </c>
      <c r="K20" s="164"/>
      <c r="L20" s="164"/>
      <c r="M20" s="165"/>
      <c r="N20" s="165"/>
    </row>
    <row r="21" spans="1:14" ht="9" customHeight="1" x14ac:dyDescent="0.35">
      <c r="B21" s="164"/>
      <c r="C21" s="182"/>
      <c r="D21" s="166"/>
      <c r="E21" s="167"/>
      <c r="F21" s="166"/>
      <c r="G21" s="166"/>
      <c r="H21" s="166"/>
      <c r="I21" s="167"/>
      <c r="J21" s="183"/>
      <c r="K21" s="164"/>
      <c r="L21" s="164"/>
    </row>
    <row r="22" spans="1:14" ht="12.75" customHeight="1" x14ac:dyDescent="0.35">
      <c r="B22" s="164"/>
      <c r="C22" s="190">
        <f>A13</f>
        <v>17</v>
      </c>
      <c r="D22" s="169" t="s">
        <v>3529</v>
      </c>
      <c r="E22" s="167"/>
      <c r="F22" s="166"/>
      <c r="G22" s="170">
        <f>A16</f>
        <v>20</v>
      </c>
      <c r="H22" s="169" t="s">
        <v>3941</v>
      </c>
      <c r="I22" s="167"/>
      <c r="J22" s="183"/>
      <c r="K22" s="164"/>
      <c r="L22" s="164"/>
    </row>
    <row r="23" spans="1:14" ht="12.75" customHeight="1" x14ac:dyDescent="0.35">
      <c r="B23" s="164"/>
      <c r="C23" s="184"/>
      <c r="D23" s="191"/>
      <c r="E23" s="171"/>
      <c r="F23" s="171"/>
      <c r="G23" s="171"/>
      <c r="H23" s="173"/>
      <c r="I23" s="167"/>
      <c r="J23" s="183"/>
      <c r="K23" s="164"/>
      <c r="L23" s="164"/>
    </row>
    <row r="24" spans="1:14" ht="9" customHeight="1" x14ac:dyDescent="0.35">
      <c r="B24" s="164"/>
      <c r="C24" s="182"/>
      <c r="D24" s="166"/>
      <c r="E24" s="171"/>
      <c r="F24" s="171"/>
      <c r="G24" s="166"/>
      <c r="H24" s="166"/>
      <c r="I24" s="167"/>
      <c r="J24" s="183"/>
      <c r="K24" s="164"/>
      <c r="L24" s="164"/>
    </row>
    <row r="25" spans="1:14" ht="12.75" customHeight="1" x14ac:dyDescent="0.35">
      <c r="B25" s="164"/>
      <c r="C25" s="168">
        <f>A14</f>
        <v>18</v>
      </c>
      <c r="D25" s="169" t="s">
        <v>2279</v>
      </c>
      <c r="E25" s="171"/>
      <c r="F25" s="171"/>
      <c r="G25" s="171"/>
      <c r="H25" s="171"/>
      <c r="I25" s="167"/>
      <c r="J25" s="183"/>
      <c r="K25" s="164"/>
      <c r="L25" s="164"/>
    </row>
    <row r="26" spans="1:14" ht="12.75" customHeight="1" x14ac:dyDescent="0.35">
      <c r="B26" s="164"/>
      <c r="C26" s="185"/>
      <c r="D26" s="172"/>
      <c r="E26" s="175"/>
      <c r="F26" s="171"/>
      <c r="G26" s="171"/>
      <c r="H26" s="171"/>
      <c r="I26" s="167"/>
      <c r="J26" s="183"/>
      <c r="K26" s="164"/>
      <c r="L26" s="164"/>
    </row>
    <row r="27" spans="1:14" ht="9" customHeight="1" x14ac:dyDescent="0.35">
      <c r="B27" s="164"/>
      <c r="C27" s="185"/>
      <c r="D27" s="171"/>
      <c r="E27" s="175"/>
      <c r="F27" s="171"/>
      <c r="G27" s="171"/>
      <c r="H27" s="171"/>
      <c r="I27" s="167"/>
      <c r="J27" s="183"/>
      <c r="K27" s="164"/>
      <c r="L27" s="164"/>
    </row>
    <row r="28" spans="1:14" ht="12.75" customHeight="1" x14ac:dyDescent="0.35">
      <c r="B28" s="164"/>
      <c r="C28" s="190">
        <f>A15</f>
        <v>19</v>
      </c>
      <c r="D28" s="169" t="str">
        <f>"Tax taken off box "&amp;C22</f>
        <v>Tax taken off box 17</v>
      </c>
      <c r="E28" s="175"/>
      <c r="F28" s="171"/>
      <c r="G28" s="171"/>
      <c r="H28" s="171"/>
      <c r="I28" s="167"/>
      <c r="J28" s="183"/>
      <c r="K28" s="164"/>
      <c r="L28" s="164"/>
    </row>
    <row r="29" spans="1:14" ht="12.75" customHeight="1" x14ac:dyDescent="0.35">
      <c r="B29" s="164"/>
      <c r="C29" s="186"/>
      <c r="D29" s="192"/>
      <c r="E29" s="176"/>
      <c r="F29" s="176"/>
      <c r="G29" s="176"/>
      <c r="H29" s="176"/>
      <c r="I29" s="177"/>
      <c r="J29" s="183"/>
      <c r="K29" s="164"/>
      <c r="L29" s="164"/>
    </row>
    <row r="30" spans="1:14" ht="9" customHeight="1" x14ac:dyDescent="0.35">
      <c r="B30" s="164"/>
      <c r="C30" s="187"/>
      <c r="D30" s="188"/>
      <c r="E30" s="188"/>
      <c r="F30" s="188"/>
      <c r="G30" s="188"/>
      <c r="H30" s="188"/>
      <c r="I30" s="188"/>
      <c r="J30" s="189"/>
      <c r="K30" s="164"/>
      <c r="L30" s="164"/>
    </row>
    <row r="31" spans="1:14" ht="12.75" customHeight="1" x14ac:dyDescent="0.35">
      <c r="B31" s="164"/>
      <c r="C31" s="164"/>
      <c r="D31" s="164"/>
      <c r="E31" s="164"/>
      <c r="F31" s="164"/>
      <c r="G31" s="164"/>
      <c r="H31" s="164"/>
      <c r="I31" s="178"/>
      <c r="J31" s="164"/>
      <c r="K31" s="164"/>
      <c r="L31" s="164"/>
      <c r="M31" s="165"/>
      <c r="N31" s="165"/>
    </row>
    <row r="32" spans="1:14" x14ac:dyDescent="0.35">
      <c r="B32" s="164"/>
      <c r="C32" s="164"/>
      <c r="D32" s="164"/>
      <c r="E32" s="164"/>
      <c r="F32" s="164"/>
      <c r="G32" s="164"/>
      <c r="H32" s="164"/>
      <c r="I32" s="178"/>
      <c r="J32" s="164"/>
      <c r="K32" s="164"/>
      <c r="L32" s="164"/>
      <c r="M32" s="165"/>
      <c r="N32" s="165"/>
    </row>
    <row r="33" spans="2:14" x14ac:dyDescent="0.35">
      <c r="B33" s="164"/>
      <c r="C33" s="164"/>
      <c r="D33" s="164"/>
      <c r="E33" s="164"/>
      <c r="F33" s="164"/>
      <c r="G33" s="164"/>
      <c r="H33" s="164"/>
      <c r="I33" s="178"/>
      <c r="J33" s="164"/>
      <c r="K33" s="164"/>
      <c r="L33" s="164"/>
      <c r="M33" s="165"/>
      <c r="N33" s="165"/>
    </row>
    <row r="34" spans="2:14" x14ac:dyDescent="0.35">
      <c r="B34" s="164"/>
      <c r="C34" s="164"/>
      <c r="D34" s="164"/>
      <c r="E34" s="164"/>
      <c r="F34" s="164"/>
      <c r="G34" s="164"/>
      <c r="H34" s="164"/>
      <c r="I34" s="178"/>
      <c r="J34" s="164"/>
      <c r="K34" s="164"/>
      <c r="L34" s="164"/>
    </row>
    <row r="35" spans="2:14" x14ac:dyDescent="0.35">
      <c r="B35" s="164"/>
      <c r="C35" s="164"/>
      <c r="D35" s="164"/>
      <c r="E35" s="164"/>
      <c r="F35" s="164"/>
      <c r="G35" s="164"/>
      <c r="H35" s="164"/>
      <c r="I35" s="178"/>
      <c r="J35" s="164"/>
      <c r="K35" s="164"/>
      <c r="L35" s="164"/>
    </row>
  </sheetData>
  <sheetProtection sheet="1" objects="1" scenarios="1"/>
  <phoneticPr fontId="68" type="noConversion"/>
  <pageMargins left="0.75" right="0.75" top="1" bottom="1" header="0.5" footer="0.5"/>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L30"/>
  <sheetViews>
    <sheetView showGridLines="0" showRowColHeaders="0" topLeftCell="B1" workbookViewId="0">
      <selection activeCell="D10" sqref="D10"/>
    </sheetView>
  </sheetViews>
  <sheetFormatPr defaultRowHeight="12.75" x14ac:dyDescent="0.35"/>
  <cols>
    <col min="1" max="1" width="6.59765625" hidden="1" customWidth="1"/>
    <col min="2" max="2" width="5.86328125" customWidth="1"/>
    <col min="3" max="3" width="3.73046875" customWidth="1"/>
    <col min="4" max="4" width="14" customWidth="1"/>
    <col min="5" max="5" width="17" customWidth="1"/>
    <col min="7" max="7" width="3.59765625" customWidth="1"/>
    <col min="8" max="8" width="4.59765625" customWidth="1"/>
    <col min="9" max="9" width="14.1328125" customWidth="1"/>
    <col min="11" max="11" width="19.265625" customWidth="1"/>
    <col min="12" max="12" width="26.86328125" customWidth="1"/>
  </cols>
  <sheetData>
    <row r="1" spans="1:12" x14ac:dyDescent="0.35">
      <c r="B1" s="164"/>
      <c r="C1" s="164"/>
      <c r="D1" s="164"/>
      <c r="E1" s="164"/>
      <c r="F1" s="164"/>
      <c r="G1" s="164"/>
      <c r="H1" s="164"/>
      <c r="I1" s="164"/>
      <c r="J1" s="164"/>
      <c r="K1" s="164"/>
      <c r="L1" s="164"/>
    </row>
    <row r="2" spans="1:12" x14ac:dyDescent="0.35">
      <c r="A2" s="115" t="s">
        <v>3037</v>
      </c>
      <c r="B2" s="164"/>
      <c r="C2" s="403" t="s">
        <v>3038</v>
      </c>
      <c r="D2" s="149"/>
      <c r="E2" s="149"/>
      <c r="F2" s="85"/>
      <c r="G2" s="85"/>
      <c r="H2" s="85"/>
      <c r="I2" s="85"/>
      <c r="J2" s="85"/>
      <c r="K2" s="149"/>
      <c r="L2" s="164"/>
    </row>
    <row r="3" spans="1:12" x14ac:dyDescent="0.35">
      <c r="A3" s="115">
        <v>1</v>
      </c>
      <c r="B3" s="164"/>
      <c r="C3" s="85"/>
      <c r="D3" s="149"/>
      <c r="E3" s="149"/>
      <c r="F3" s="85"/>
      <c r="G3" s="85"/>
      <c r="H3" s="85"/>
      <c r="I3" s="85"/>
      <c r="J3" s="85"/>
      <c r="K3" s="149"/>
      <c r="L3" s="164"/>
    </row>
    <row r="4" spans="1:12" x14ac:dyDescent="0.35">
      <c r="A4" s="115">
        <v>2</v>
      </c>
      <c r="B4" s="164"/>
      <c r="C4" s="211" t="s">
        <v>1115</v>
      </c>
      <c r="D4" s="180"/>
      <c r="E4" s="180"/>
      <c r="F4" s="180"/>
      <c r="G4" s="180"/>
      <c r="H4" s="249"/>
      <c r="I4" s="180"/>
      <c r="J4" s="180"/>
      <c r="K4" s="456" t="s">
        <v>3037</v>
      </c>
      <c r="L4" s="164"/>
    </row>
    <row r="5" spans="1:12" x14ac:dyDescent="0.35">
      <c r="A5" s="115">
        <v>3</v>
      </c>
      <c r="B5" s="164"/>
      <c r="C5" s="252"/>
      <c r="D5" s="166"/>
      <c r="E5" s="166"/>
      <c r="F5" s="167"/>
      <c r="G5" s="167"/>
      <c r="H5" s="207"/>
      <c r="I5" s="166"/>
      <c r="J5" s="166"/>
      <c r="K5" s="183"/>
      <c r="L5" s="164"/>
    </row>
    <row r="6" spans="1:12" x14ac:dyDescent="0.35">
      <c r="A6" s="115">
        <v>4</v>
      </c>
      <c r="B6" s="164"/>
      <c r="C6" s="194">
        <f>'REL(1)'!A3</f>
        <v>1</v>
      </c>
      <c r="D6" s="166" t="s">
        <v>3088</v>
      </c>
      <c r="E6" s="166"/>
      <c r="F6" s="167"/>
      <c r="G6" s="167"/>
      <c r="H6" s="196">
        <f>'REL(1)'!A5</f>
        <v>3</v>
      </c>
      <c r="I6" s="166" t="s">
        <v>2436</v>
      </c>
      <c r="J6" s="166"/>
      <c r="K6" s="183"/>
      <c r="L6" s="164"/>
    </row>
    <row r="7" spans="1:12" x14ac:dyDescent="0.35">
      <c r="A7" s="115">
        <v>5</v>
      </c>
      <c r="B7" s="164"/>
      <c r="C7" s="252"/>
      <c r="D7" s="195"/>
      <c r="E7" s="167"/>
      <c r="F7" s="167"/>
      <c r="G7" s="167"/>
      <c r="H7" s="207"/>
      <c r="I7" s="195"/>
      <c r="J7" s="166"/>
      <c r="K7" s="183"/>
      <c r="L7" s="164"/>
    </row>
    <row r="8" spans="1:12" x14ac:dyDescent="0.35">
      <c r="A8" s="115">
        <v>6</v>
      </c>
      <c r="B8" s="164"/>
      <c r="C8" s="252"/>
      <c r="D8" s="166"/>
      <c r="E8" s="166"/>
      <c r="F8" s="167"/>
      <c r="G8" s="167"/>
      <c r="H8" s="207"/>
      <c r="I8" s="166"/>
      <c r="J8" s="166"/>
      <c r="K8" s="183"/>
      <c r="L8" s="164"/>
    </row>
    <row r="9" spans="1:12" x14ac:dyDescent="0.35">
      <c r="A9" s="115">
        <v>7</v>
      </c>
      <c r="B9" s="164"/>
      <c r="C9" s="196">
        <f>'REL(1)'!A4</f>
        <v>2</v>
      </c>
      <c r="D9" s="166" t="s">
        <v>4013</v>
      </c>
      <c r="E9" s="166"/>
      <c r="F9" s="167"/>
      <c r="G9" s="167"/>
      <c r="H9" s="404">
        <f>'REL(1)'!A6</f>
        <v>4</v>
      </c>
      <c r="I9" s="166" t="s">
        <v>2631</v>
      </c>
      <c r="J9" s="166"/>
      <c r="K9" s="183"/>
      <c r="L9" s="164"/>
    </row>
    <row r="10" spans="1:12" x14ac:dyDescent="0.35">
      <c r="A10" s="115">
        <v>8</v>
      </c>
      <c r="B10" s="164"/>
      <c r="C10" s="252"/>
      <c r="D10" s="195"/>
      <c r="E10" s="167"/>
      <c r="F10" s="167"/>
      <c r="G10" s="167"/>
      <c r="H10" s="207"/>
      <c r="I10" s="195"/>
      <c r="J10" s="166"/>
      <c r="K10" s="183"/>
      <c r="L10" s="164"/>
    </row>
    <row r="11" spans="1:12" x14ac:dyDescent="0.35">
      <c r="A11" s="115">
        <v>9</v>
      </c>
      <c r="B11" s="164"/>
      <c r="C11" s="255"/>
      <c r="D11" s="188"/>
      <c r="E11" s="188"/>
      <c r="F11" s="188"/>
      <c r="G11" s="188"/>
      <c r="H11" s="256"/>
      <c r="I11" s="188"/>
      <c r="J11" s="188"/>
      <c r="K11" s="189"/>
      <c r="L11" s="164"/>
    </row>
    <row r="12" spans="1:12" x14ac:dyDescent="0.35">
      <c r="A12" s="115">
        <v>10</v>
      </c>
      <c r="B12" s="164"/>
      <c r="C12" s="164"/>
      <c r="D12" s="164"/>
      <c r="E12" s="164"/>
      <c r="F12" s="164"/>
      <c r="G12" s="164"/>
      <c r="H12" s="164"/>
      <c r="I12" s="164"/>
      <c r="J12" s="164"/>
      <c r="K12" s="164"/>
      <c r="L12" s="164"/>
    </row>
    <row r="13" spans="1:12" x14ac:dyDescent="0.35">
      <c r="A13" s="115">
        <v>11</v>
      </c>
      <c r="B13" s="164"/>
      <c r="C13" s="164"/>
      <c r="D13" s="164"/>
      <c r="E13" s="164"/>
      <c r="F13" s="164"/>
      <c r="G13" s="164"/>
      <c r="H13" s="164"/>
      <c r="I13" s="164"/>
      <c r="J13" s="164"/>
      <c r="K13" s="164"/>
      <c r="L13" s="164"/>
    </row>
    <row r="14" spans="1:12" x14ac:dyDescent="0.35">
      <c r="A14" s="115">
        <v>12</v>
      </c>
      <c r="B14" s="164"/>
      <c r="C14" s="211" t="s">
        <v>1116</v>
      </c>
      <c r="D14" s="180"/>
      <c r="E14" s="180"/>
      <c r="F14" s="180"/>
      <c r="G14" s="249"/>
      <c r="H14" s="180"/>
      <c r="I14" s="180"/>
      <c r="J14" s="180"/>
      <c r="K14" s="456" t="s">
        <v>3037</v>
      </c>
      <c r="L14" s="85"/>
    </row>
    <row r="15" spans="1:12" x14ac:dyDescent="0.35">
      <c r="B15" s="164"/>
      <c r="C15" s="252"/>
      <c r="D15" s="166"/>
      <c r="E15" s="166"/>
      <c r="F15" s="167"/>
      <c r="G15" s="207"/>
      <c r="H15" s="166"/>
      <c r="I15" s="166"/>
      <c r="J15" s="167"/>
      <c r="K15" s="183"/>
      <c r="L15" s="85"/>
    </row>
    <row r="16" spans="1:12" x14ac:dyDescent="0.35">
      <c r="B16" s="164"/>
      <c r="C16" s="404">
        <f>'REL(1)'!A7</f>
        <v>5</v>
      </c>
      <c r="D16" s="166" t="str">
        <f>"Gift Aid payments made in "&amp;tax_year</f>
        <v>Gift Aid payments made in 2017-18</v>
      </c>
      <c r="E16" s="166"/>
      <c r="F16" s="167"/>
      <c r="G16" s="207"/>
      <c r="H16" s="453">
        <f>'REL(1)'!A10</f>
        <v>8</v>
      </c>
      <c r="I16" s="166" t="str">
        <f>"Gift Aid payments carried back to "&amp;tax_year</f>
        <v>Gift Aid payments carried back to 2017-18</v>
      </c>
      <c r="J16" s="166"/>
      <c r="K16" s="183"/>
      <c r="L16" s="85"/>
    </row>
    <row r="17" spans="2:12" x14ac:dyDescent="0.35">
      <c r="B17" s="164"/>
      <c r="C17" s="252"/>
      <c r="D17" s="197"/>
      <c r="E17" s="167"/>
      <c r="F17" s="167"/>
      <c r="G17" s="207"/>
      <c r="H17" s="207"/>
      <c r="I17" s="197"/>
      <c r="J17" s="166"/>
      <c r="K17" s="183"/>
      <c r="L17" s="85"/>
    </row>
    <row r="18" spans="2:12" x14ac:dyDescent="0.35">
      <c r="B18" s="164"/>
      <c r="C18" s="252"/>
      <c r="D18" s="166"/>
      <c r="E18" s="166"/>
      <c r="F18" s="167"/>
      <c r="G18" s="207"/>
      <c r="H18" s="207"/>
      <c r="I18" s="166"/>
      <c r="J18" s="166"/>
      <c r="K18" s="183"/>
      <c r="L18" s="85"/>
    </row>
    <row r="19" spans="2:12" x14ac:dyDescent="0.35">
      <c r="B19" s="164"/>
      <c r="C19" s="252"/>
      <c r="D19" s="166"/>
      <c r="E19" s="166"/>
      <c r="F19" s="167"/>
      <c r="G19" s="207"/>
      <c r="H19" s="453">
        <f>'REL(1)'!A11</f>
        <v>9</v>
      </c>
      <c r="I19" s="166" t="s">
        <v>598</v>
      </c>
      <c r="J19" s="166"/>
      <c r="K19" s="183"/>
      <c r="L19" s="85"/>
    </row>
    <row r="20" spans="2:12" x14ac:dyDescent="0.35">
      <c r="B20" s="164"/>
      <c r="C20" s="252"/>
      <c r="D20" s="166"/>
      <c r="E20" s="166"/>
      <c r="F20" s="167"/>
      <c r="G20" s="207"/>
      <c r="H20" s="207"/>
      <c r="I20" s="197"/>
      <c r="J20" s="166"/>
      <c r="K20" s="183"/>
      <c r="L20" s="85"/>
    </row>
    <row r="21" spans="2:12" x14ac:dyDescent="0.35">
      <c r="B21" s="164"/>
      <c r="C21" s="252"/>
      <c r="D21" s="166"/>
      <c r="E21" s="166"/>
      <c r="F21" s="167"/>
      <c r="G21" s="207"/>
      <c r="H21" s="207"/>
      <c r="I21" s="166"/>
      <c r="J21" s="166"/>
      <c r="K21" s="183"/>
      <c r="L21" s="85"/>
    </row>
    <row r="22" spans="2:12" x14ac:dyDescent="0.35">
      <c r="B22" s="164"/>
      <c r="C22" s="404">
        <f>'REL(1)'!A9</f>
        <v>7</v>
      </c>
      <c r="D22" s="166" t="str">
        <f>"Gift Aid payments carried back to "&amp;last_year</f>
        <v>Gift Aid payments carried back to 2016-17</v>
      </c>
      <c r="E22" s="166"/>
      <c r="F22" s="167"/>
      <c r="G22" s="207"/>
      <c r="H22" s="194">
        <f>'REL(1)'!A12</f>
        <v>10</v>
      </c>
      <c r="I22" s="166" t="s">
        <v>3814</v>
      </c>
      <c r="J22" s="166"/>
      <c r="K22" s="183"/>
      <c r="L22" s="85"/>
    </row>
    <row r="23" spans="2:12" x14ac:dyDescent="0.35">
      <c r="B23" s="164"/>
      <c r="C23" s="252"/>
      <c r="D23" s="197"/>
      <c r="E23" s="167"/>
      <c r="F23" s="167"/>
      <c r="G23" s="207"/>
      <c r="H23" s="207"/>
      <c r="I23" s="197"/>
      <c r="J23" s="166"/>
      <c r="K23" s="183"/>
      <c r="L23" s="85"/>
    </row>
    <row r="24" spans="2:12" x14ac:dyDescent="0.35">
      <c r="B24" s="164"/>
      <c r="C24" s="255"/>
      <c r="D24" s="188"/>
      <c r="E24" s="188"/>
      <c r="F24" s="188"/>
      <c r="G24" s="256"/>
      <c r="H24" s="188"/>
      <c r="I24" s="188"/>
      <c r="J24" s="188"/>
      <c r="K24" s="189"/>
      <c r="L24" s="164"/>
    </row>
    <row r="25" spans="2:12" x14ac:dyDescent="0.35">
      <c r="B25" s="164"/>
      <c r="C25" s="164"/>
      <c r="D25" s="164"/>
      <c r="E25" s="164"/>
      <c r="F25" s="164"/>
      <c r="G25" s="164"/>
      <c r="H25" s="164"/>
      <c r="I25" s="164"/>
      <c r="J25" s="164"/>
      <c r="K25" s="164"/>
      <c r="L25" s="164"/>
    </row>
    <row r="26" spans="2:12" x14ac:dyDescent="0.35">
      <c r="B26" s="164"/>
      <c r="C26" s="164"/>
      <c r="D26" s="164"/>
      <c r="E26" s="164"/>
      <c r="F26" s="164"/>
      <c r="G26" s="164"/>
      <c r="H26" s="164"/>
      <c r="I26" s="164"/>
      <c r="J26" s="164"/>
      <c r="K26" s="164"/>
      <c r="L26" s="164"/>
    </row>
    <row r="27" spans="2:12" x14ac:dyDescent="0.35">
      <c r="B27" s="164"/>
      <c r="C27" s="164"/>
      <c r="D27" s="164"/>
      <c r="E27" s="164"/>
      <c r="F27" s="164"/>
      <c r="G27" s="164"/>
      <c r="H27" s="164"/>
      <c r="I27" s="164"/>
      <c r="J27" s="164"/>
      <c r="K27" s="164"/>
      <c r="L27" s="164"/>
    </row>
    <row r="28" spans="2:12" x14ac:dyDescent="0.35">
      <c r="B28" s="164"/>
      <c r="C28" s="164"/>
      <c r="D28" s="164"/>
      <c r="E28" s="164"/>
      <c r="F28" s="164"/>
      <c r="G28" s="164"/>
      <c r="H28" s="164"/>
      <c r="I28" s="164"/>
      <c r="J28" s="164"/>
      <c r="K28" s="164"/>
      <c r="L28" s="164"/>
    </row>
    <row r="29" spans="2:12" x14ac:dyDescent="0.35">
      <c r="B29" s="164"/>
      <c r="C29" s="164"/>
      <c r="D29" s="164"/>
      <c r="E29" s="164"/>
      <c r="F29" s="164"/>
      <c r="G29" s="164"/>
      <c r="H29" s="164"/>
      <c r="I29" s="164"/>
      <c r="J29" s="164"/>
      <c r="K29" s="164"/>
      <c r="L29" s="164"/>
    </row>
    <row r="30" spans="2:12" x14ac:dyDescent="0.35">
      <c r="B30" s="164"/>
      <c r="C30" s="164"/>
      <c r="D30" s="164"/>
      <c r="E30" s="164"/>
      <c r="F30" s="164"/>
      <c r="G30" s="164"/>
      <c r="H30" s="164"/>
      <c r="I30" s="164"/>
      <c r="J30" s="164"/>
      <c r="K30" s="164"/>
      <c r="L30" s="164"/>
    </row>
  </sheetData>
  <sheetProtection sheet="1" objects="1" scenarios="1"/>
  <phoneticPr fontId="68" type="noConversion"/>
  <printOptions headings="1" gridLines="1"/>
  <pageMargins left="0.75" right="0.75" top="1" bottom="1" header="0.5" footer="0.5"/>
  <pageSetup paperSize="9" orientation="landscape" r:id="rId1"/>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P43"/>
  <sheetViews>
    <sheetView showGridLines="0" topLeftCell="B1" zoomScaleNormal="100" workbookViewId="0">
      <selection activeCell="J20" sqref="J20"/>
    </sheetView>
  </sheetViews>
  <sheetFormatPr defaultColWidth="9.1328125" defaultRowHeight="11.65" x14ac:dyDescent="0.35"/>
  <cols>
    <col min="1" max="1" width="4.73046875" style="115" hidden="1" customWidth="1"/>
    <col min="2" max="2" width="13.3984375" style="115" customWidth="1"/>
    <col min="3" max="3" width="6" style="115" customWidth="1"/>
    <col min="4" max="4" width="13.73046875" style="150" customWidth="1"/>
    <col min="5" max="5" width="7.73046875" style="150" customWidth="1"/>
    <col min="6" max="6" width="11.265625" style="115" customWidth="1"/>
    <col min="7" max="7" width="6" style="115" customWidth="1"/>
    <col min="8" max="8" width="12.73046875" style="115" customWidth="1"/>
    <col min="9" max="9" width="2" style="115" customWidth="1"/>
    <col min="10" max="10" width="5.73046875" style="150" customWidth="1"/>
    <col min="11" max="11" width="18.86328125" style="115" customWidth="1"/>
    <col min="12" max="12" width="32.86328125" style="115" customWidth="1"/>
    <col min="13" max="13" width="6.3984375" style="115" hidden="1" customWidth="1"/>
    <col min="14" max="14" width="10.3984375" style="115" customWidth="1"/>
    <col min="15" max="16384" width="9.1328125" style="115"/>
  </cols>
  <sheetData>
    <row r="1" spans="1:16" ht="12" customHeight="1" x14ac:dyDescent="0.35">
      <c r="A1" s="115" t="s">
        <v>4122</v>
      </c>
      <c r="B1" s="85"/>
      <c r="C1" s="403" t="s">
        <v>3038</v>
      </c>
      <c r="D1" s="85"/>
      <c r="E1" s="85"/>
      <c r="F1" s="85"/>
      <c r="G1" s="85"/>
      <c r="H1" s="85"/>
      <c r="I1" s="85"/>
      <c r="J1" s="85"/>
      <c r="K1" s="85"/>
      <c r="L1" s="85"/>
      <c r="M1" s="148"/>
      <c r="N1" s="148"/>
      <c r="O1" s="148"/>
      <c r="P1" s="148"/>
    </row>
    <row r="2" spans="1:16" ht="12" customHeight="1" x14ac:dyDescent="0.35">
      <c r="A2" s="115">
        <v>13</v>
      </c>
      <c r="B2" s="85"/>
      <c r="C2" s="211" t="s">
        <v>3662</v>
      </c>
      <c r="D2" s="180"/>
      <c r="E2" s="180"/>
      <c r="F2" s="180"/>
      <c r="G2" s="180"/>
      <c r="H2" s="180"/>
      <c r="I2" s="180"/>
      <c r="J2" s="180"/>
      <c r="K2" s="456" t="s">
        <v>3037</v>
      </c>
      <c r="L2" s="85"/>
      <c r="M2" s="148"/>
      <c r="N2" s="148"/>
      <c r="O2" s="148"/>
      <c r="P2" s="148"/>
    </row>
    <row r="3" spans="1:16" ht="12" customHeight="1" x14ac:dyDescent="0.35">
      <c r="A3" s="115">
        <v>14</v>
      </c>
      <c r="B3" s="85"/>
      <c r="C3" s="252"/>
      <c r="D3" s="166"/>
      <c r="E3" s="166"/>
      <c r="F3" s="167"/>
      <c r="G3" s="167"/>
      <c r="H3" s="167"/>
      <c r="I3" s="167"/>
      <c r="J3" s="167"/>
      <c r="K3" s="258"/>
      <c r="L3" s="85"/>
      <c r="O3" s="148"/>
      <c r="P3" s="148"/>
    </row>
    <row r="4" spans="1:16" ht="12" customHeight="1" x14ac:dyDescent="0.35">
      <c r="A4" s="115">
        <v>15</v>
      </c>
      <c r="B4" s="85"/>
      <c r="C4" s="405">
        <f>'REL(2)'!A2</f>
        <v>13</v>
      </c>
      <c r="D4" s="166"/>
      <c r="E4" s="166"/>
      <c r="F4" s="167"/>
      <c r="G4" s="167"/>
      <c r="H4" s="167"/>
      <c r="I4" s="167"/>
      <c r="J4" s="167"/>
      <c r="K4" s="258"/>
      <c r="L4" s="85"/>
      <c r="M4" s="148"/>
      <c r="N4" s="148"/>
      <c r="O4" s="148"/>
      <c r="P4" s="148"/>
    </row>
    <row r="5" spans="1:16" ht="12" customHeight="1" x14ac:dyDescent="0.35">
      <c r="A5" s="115">
        <v>16</v>
      </c>
      <c r="B5" s="85"/>
      <c r="C5" s="252"/>
      <c r="D5" s="166"/>
      <c r="E5" s="166"/>
      <c r="F5" s="989" t="str">
        <f>IF(BPA_claimed, "BPA claimed", "BPA not claimed")</f>
        <v>BPA not claimed</v>
      </c>
      <c r="G5" s="167"/>
      <c r="H5" s="167"/>
      <c r="I5" s="167"/>
      <c r="J5" s="167"/>
      <c r="K5" s="259"/>
      <c r="L5" s="85"/>
      <c r="M5" t="s">
        <v>2895</v>
      </c>
      <c r="N5" s="16" t="b">
        <v>0</v>
      </c>
      <c r="O5" s="148"/>
      <c r="P5" s="148"/>
    </row>
    <row r="6" spans="1:16" ht="12" customHeight="1" x14ac:dyDescent="0.35">
      <c r="B6" s="85"/>
      <c r="C6" s="255"/>
      <c r="D6" s="188"/>
      <c r="E6" s="188"/>
      <c r="F6" s="188"/>
      <c r="G6" s="188"/>
      <c r="H6" s="188"/>
      <c r="I6" s="188"/>
      <c r="J6" s="188"/>
      <c r="K6" s="189"/>
      <c r="L6" s="85"/>
      <c r="M6" s="148"/>
      <c r="N6" s="148"/>
      <c r="O6" s="148"/>
      <c r="P6" s="148"/>
    </row>
    <row r="7" spans="1:16" ht="12" customHeight="1" x14ac:dyDescent="0.35">
      <c r="B7" s="85"/>
      <c r="C7" s="85"/>
      <c r="D7" s="85"/>
      <c r="E7" s="85"/>
      <c r="F7" s="85"/>
      <c r="G7" s="85"/>
      <c r="H7" s="85"/>
      <c r="I7" s="85"/>
      <c r="J7" s="85"/>
      <c r="K7" s="85"/>
      <c r="L7" s="85"/>
      <c r="M7" s="148"/>
      <c r="N7" s="148"/>
      <c r="O7" s="148"/>
      <c r="P7" s="148"/>
    </row>
    <row r="8" spans="1:16" ht="12" customHeight="1" x14ac:dyDescent="0.35">
      <c r="A8" t="s">
        <v>3031</v>
      </c>
      <c r="B8" s="85"/>
      <c r="C8" s="85"/>
      <c r="D8" s="85"/>
      <c r="E8" s="85"/>
      <c r="F8" s="85"/>
      <c r="G8" s="85"/>
      <c r="H8" s="85"/>
      <c r="I8" s="85"/>
      <c r="J8" s="85"/>
      <c r="K8" s="85"/>
      <c r="L8" s="85"/>
      <c r="M8" s="148"/>
      <c r="N8" s="148"/>
      <c r="O8" s="148"/>
      <c r="P8" s="148"/>
    </row>
    <row r="9" spans="1:16" ht="12" customHeight="1" x14ac:dyDescent="0.35">
      <c r="A9">
        <v>1</v>
      </c>
      <c r="B9" s="85"/>
      <c r="C9" s="179" t="s">
        <v>3032</v>
      </c>
      <c r="D9" s="180"/>
      <c r="E9" s="180"/>
      <c r="F9" s="180"/>
      <c r="G9" s="180"/>
      <c r="H9" s="180"/>
      <c r="I9" s="180"/>
      <c r="J9" s="180"/>
      <c r="K9" s="456" t="s">
        <v>3031</v>
      </c>
      <c r="L9" s="85"/>
      <c r="O9" s="148"/>
      <c r="P9" s="148"/>
    </row>
    <row r="10" spans="1:16" ht="12" customHeight="1" x14ac:dyDescent="0.35">
      <c r="A10">
        <v>2</v>
      </c>
      <c r="B10" s="85"/>
      <c r="C10" s="182"/>
      <c r="D10" s="166"/>
      <c r="E10" s="167"/>
      <c r="F10" s="166"/>
      <c r="G10" s="166"/>
      <c r="H10" s="166"/>
      <c r="I10" s="166"/>
      <c r="J10" s="167"/>
      <c r="K10" s="183"/>
      <c r="L10" s="85"/>
      <c r="M10" s="148"/>
      <c r="N10" s="148"/>
      <c r="O10" s="148"/>
      <c r="P10" s="148"/>
    </row>
    <row r="11" spans="1:16" ht="12" customHeight="1" x14ac:dyDescent="0.35">
      <c r="A11" s="1002" t="s">
        <v>6393</v>
      </c>
      <c r="B11" s="85"/>
      <c r="C11" s="190">
        <f>'REL(2)'!A9</f>
        <v>1</v>
      </c>
      <c r="D11" s="166"/>
      <c r="E11" s="166"/>
      <c r="F11" s="166"/>
      <c r="G11" s="190">
        <f>'REL(2)'!A10</f>
        <v>2</v>
      </c>
      <c r="H11" s="166" t="s">
        <v>716</v>
      </c>
      <c r="I11" s="166"/>
      <c r="J11" s="166"/>
      <c r="K11" s="183"/>
      <c r="L11" s="85"/>
      <c r="M11" s="148"/>
      <c r="N11" s="148"/>
      <c r="O11" s="148"/>
      <c r="P11" s="148"/>
    </row>
    <row r="12" spans="1:16" ht="12" customHeight="1" x14ac:dyDescent="0.35">
      <c r="A12" s="163"/>
      <c r="B12" s="85"/>
      <c r="C12" s="182"/>
      <c r="D12" s="166"/>
      <c r="E12" s="166"/>
      <c r="F12" s="166"/>
      <c r="G12" s="166"/>
      <c r="H12" s="191"/>
      <c r="I12" s="166"/>
      <c r="J12" s="166"/>
      <c r="K12" s="183"/>
      <c r="L12" s="85"/>
      <c r="M12" s="1002" t="s">
        <v>4561</v>
      </c>
      <c r="N12" s="1643" t="b">
        <v>0</v>
      </c>
      <c r="O12" s="148"/>
      <c r="P12" s="148"/>
    </row>
    <row r="13" spans="1:16" ht="12" customHeight="1" x14ac:dyDescent="0.35">
      <c r="A13" s="1569" t="s">
        <v>5556</v>
      </c>
      <c r="B13" s="85"/>
      <c r="C13" s="190" t="str">
        <f>A11</f>
        <v>PT</v>
      </c>
      <c r="D13" s="166" t="s">
        <v>5603</v>
      </c>
      <c r="E13" s="166"/>
      <c r="F13" s="989"/>
      <c r="G13" s="167"/>
      <c r="H13" s="167"/>
      <c r="I13" s="167"/>
      <c r="J13" s="167"/>
      <c r="K13" s="259"/>
      <c r="L13" s="85"/>
      <c r="M13" s="1002" t="s">
        <v>5602</v>
      </c>
      <c r="N13" s="20">
        <v>3</v>
      </c>
      <c r="O13" s="148"/>
      <c r="P13" s="148"/>
    </row>
    <row r="14" spans="1:16" ht="12" customHeight="1" x14ac:dyDescent="0.35">
      <c r="A14" s="1570" t="s">
        <v>5557</v>
      </c>
      <c r="B14" s="85"/>
      <c r="C14" s="252"/>
      <c r="D14" s="166"/>
      <c r="E14" s="166"/>
      <c r="F14" s="989"/>
      <c r="G14" s="167"/>
      <c r="H14" s="167"/>
      <c r="I14" s="167"/>
      <c r="J14" s="167"/>
      <c r="K14" s="259"/>
      <c r="L14" s="85"/>
      <c r="M14" s="148"/>
      <c r="N14" s="148"/>
      <c r="O14" s="148"/>
      <c r="P14" s="148"/>
    </row>
    <row r="15" spans="1:16" ht="12" customHeight="1" x14ac:dyDescent="0.35">
      <c r="A15" s="1571" t="s">
        <v>5558</v>
      </c>
      <c r="B15" s="85"/>
      <c r="C15" s="187"/>
      <c r="D15" s="188"/>
      <c r="E15" s="188"/>
      <c r="F15" s="188"/>
      <c r="G15" s="188"/>
      <c r="H15" s="188"/>
      <c r="I15" s="188"/>
      <c r="J15" s="188"/>
      <c r="K15" s="189"/>
      <c r="L15" s="85"/>
      <c r="M15" s="148"/>
      <c r="N15" s="148"/>
      <c r="O15" s="148"/>
      <c r="P15" s="148"/>
    </row>
    <row r="16" spans="1:16" ht="12" customHeight="1" x14ac:dyDescent="0.35">
      <c r="A16" s="1571" t="s">
        <v>5559</v>
      </c>
      <c r="B16" s="85"/>
      <c r="C16" s="164"/>
      <c r="D16" s="164"/>
      <c r="E16" s="164"/>
      <c r="F16" s="164"/>
      <c r="G16" s="164"/>
      <c r="H16" s="164"/>
      <c r="I16" s="164"/>
      <c r="J16" s="164"/>
      <c r="K16" s="164"/>
      <c r="L16" s="85"/>
      <c r="M16" s="148"/>
      <c r="N16" s="148"/>
      <c r="O16" s="148"/>
      <c r="P16" s="148"/>
    </row>
    <row r="17" spans="1:16" ht="12" customHeight="1" x14ac:dyDescent="0.35">
      <c r="A17" s="1572"/>
      <c r="B17" s="85"/>
      <c r="C17" s="85"/>
      <c r="D17" s="85"/>
      <c r="E17" s="85"/>
      <c r="F17" s="85"/>
      <c r="G17" s="85"/>
      <c r="H17" s="85"/>
      <c r="I17" s="85"/>
      <c r="J17" s="164"/>
      <c r="K17" s="164"/>
      <c r="L17" s="85"/>
      <c r="O17" s="148"/>
      <c r="P17" s="148"/>
    </row>
    <row r="18" spans="1:16" ht="12" customHeight="1" x14ac:dyDescent="0.35">
      <c r="B18" s="85"/>
      <c r="C18" s="211" t="s">
        <v>3233</v>
      </c>
      <c r="D18" s="180"/>
      <c r="E18" s="180"/>
      <c r="F18" s="180"/>
      <c r="G18" s="180"/>
      <c r="H18" s="180"/>
      <c r="I18" s="180"/>
      <c r="J18" s="180"/>
      <c r="K18" s="456" t="s">
        <v>3234</v>
      </c>
      <c r="L18" s="85"/>
      <c r="O18" s="148"/>
      <c r="P18" s="148"/>
    </row>
    <row r="19" spans="1:16" ht="12" customHeight="1" x14ac:dyDescent="0.35">
      <c r="A19" s="115" t="s">
        <v>3234</v>
      </c>
      <c r="B19" s="85"/>
      <c r="C19" s="252"/>
      <c r="D19" s="983"/>
      <c r="E19" s="984"/>
      <c r="F19" s="984"/>
      <c r="G19" s="984"/>
      <c r="H19" s="984"/>
      <c r="I19" s="984"/>
      <c r="J19" s="984"/>
      <c r="K19" s="258"/>
      <c r="L19" s="85"/>
      <c r="M19" s="148"/>
      <c r="N19" s="148"/>
      <c r="O19" s="148"/>
      <c r="P19" s="148"/>
    </row>
    <row r="20" spans="1:16" ht="12" customHeight="1" x14ac:dyDescent="0.35">
      <c r="A20" s="115">
        <v>1</v>
      </c>
      <c r="B20" s="85"/>
      <c r="C20" s="454">
        <f>'REL(2)'!A20</f>
        <v>1</v>
      </c>
      <c r="D20" s="987" t="s">
        <v>2391</v>
      </c>
      <c r="E20" s="984"/>
      <c r="F20" s="984"/>
      <c r="G20" s="984"/>
      <c r="H20" s="984"/>
      <c r="I20" s="984"/>
      <c r="J20" s="984"/>
      <c r="K20" s="258"/>
      <c r="L20" s="85"/>
      <c r="M20" s="148"/>
      <c r="N20" s="148"/>
      <c r="O20" s="148"/>
      <c r="P20" s="148"/>
    </row>
    <row r="21" spans="1:16" ht="12" customHeight="1" x14ac:dyDescent="0.35">
      <c r="B21" s="85"/>
      <c r="C21" s="252"/>
      <c r="D21" s="260"/>
      <c r="E21" s="984"/>
      <c r="F21" s="984"/>
      <c r="G21" s="984"/>
      <c r="H21" s="984"/>
      <c r="I21" s="984"/>
      <c r="J21" s="984"/>
      <c r="K21" s="258"/>
      <c r="L21" s="85"/>
      <c r="M21" s="148"/>
      <c r="N21" s="148"/>
      <c r="O21" s="148"/>
      <c r="P21" s="148"/>
    </row>
    <row r="22" spans="1:16" ht="12" customHeight="1" x14ac:dyDescent="0.35">
      <c r="B22" s="85"/>
      <c r="C22" s="255"/>
      <c r="D22" s="188"/>
      <c r="E22" s="188"/>
      <c r="F22" s="188"/>
      <c r="G22" s="188"/>
      <c r="H22" s="188"/>
      <c r="I22" s="188"/>
      <c r="J22" s="188"/>
      <c r="K22" s="189"/>
      <c r="L22" s="85"/>
      <c r="M22" s="148"/>
      <c r="N22" s="148"/>
      <c r="O22" s="148"/>
      <c r="P22" s="148"/>
    </row>
    <row r="23" spans="1:16" ht="12" customHeight="1" x14ac:dyDescent="0.35">
      <c r="B23" s="85"/>
      <c r="C23" s="164"/>
      <c r="D23" s="164"/>
      <c r="E23" s="164"/>
      <c r="F23" s="164"/>
      <c r="G23" s="164"/>
      <c r="H23" s="164"/>
      <c r="I23" s="164"/>
      <c r="J23" s="164"/>
      <c r="K23" s="164"/>
      <c r="L23" s="85"/>
      <c r="O23" s="148"/>
      <c r="P23" s="148"/>
    </row>
    <row r="24" spans="1:16" ht="12" customHeight="1" x14ac:dyDescent="0.35">
      <c r="A24" s="115" t="s">
        <v>4563</v>
      </c>
      <c r="B24" s="85"/>
      <c r="C24" s="85"/>
      <c r="D24" s="85"/>
      <c r="E24" s="85"/>
      <c r="F24" s="85"/>
      <c r="G24" s="85"/>
      <c r="H24" s="85"/>
      <c r="I24" s="85"/>
      <c r="J24" s="164"/>
      <c r="K24" s="164"/>
      <c r="L24" s="85"/>
      <c r="O24" s="148"/>
      <c r="P24" s="148"/>
    </row>
    <row r="25" spans="1:16" ht="12" customHeight="1" x14ac:dyDescent="0.35">
      <c r="A25" s="1846" t="s">
        <v>4819</v>
      </c>
      <c r="B25" s="85"/>
      <c r="C25" s="211" t="s">
        <v>4564</v>
      </c>
      <c r="D25" s="180"/>
      <c r="E25" s="180"/>
      <c r="F25" s="180"/>
      <c r="G25" s="180"/>
      <c r="H25" s="180"/>
      <c r="I25" s="180"/>
      <c r="J25" s="180"/>
      <c r="K25" s="456" t="s">
        <v>4563</v>
      </c>
      <c r="L25" s="85"/>
      <c r="M25" s="148"/>
      <c r="O25" s="148"/>
      <c r="P25" s="148"/>
    </row>
    <row r="26" spans="1:16" ht="12" customHeight="1" x14ac:dyDescent="0.35">
      <c r="A26" s="115" t="s">
        <v>5607</v>
      </c>
      <c r="B26" s="85"/>
      <c r="C26" s="252"/>
      <c r="D26" s="166"/>
      <c r="E26" s="166"/>
      <c r="F26" s="167"/>
      <c r="G26" s="167"/>
      <c r="H26" s="167"/>
      <c r="I26" s="167"/>
      <c r="J26" s="167"/>
      <c r="K26" s="258"/>
      <c r="L26" s="85"/>
      <c r="M26" s="148" t="s">
        <v>4562</v>
      </c>
      <c r="N26" s="16" t="b">
        <v>0</v>
      </c>
    </row>
    <row r="27" spans="1:16" ht="12" customHeight="1" x14ac:dyDescent="0.35">
      <c r="A27" s="115" t="s">
        <v>5608</v>
      </c>
      <c r="B27" s="85"/>
      <c r="C27" s="405" t="str">
        <f>A25</f>
        <v>1-5</v>
      </c>
      <c r="D27" s="207" t="s">
        <v>4653</v>
      </c>
      <c r="E27" s="166"/>
      <c r="F27" s="167"/>
      <c r="G27" s="167"/>
      <c r="H27" s="167"/>
      <c r="I27" s="167"/>
      <c r="J27" s="167"/>
      <c r="K27" s="258"/>
      <c r="L27" s="85"/>
    </row>
    <row r="28" spans="1:16" ht="12" customHeight="1" x14ac:dyDescent="0.35">
      <c r="B28" s="85"/>
      <c r="C28" s="252"/>
      <c r="D28" s="166"/>
      <c r="E28" s="166"/>
      <c r="F28" s="989" t="str">
        <f>IF(MA_transfer, "MA transferred", "MA not transferred")</f>
        <v>MA not transferred</v>
      </c>
      <c r="G28" s="167"/>
      <c r="H28" s="167"/>
      <c r="I28" s="167"/>
      <c r="J28" s="167"/>
      <c r="K28" s="259"/>
      <c r="L28" s="85"/>
    </row>
    <row r="29" spans="1:16" ht="12" customHeight="1" x14ac:dyDescent="0.35">
      <c r="B29" s="85"/>
      <c r="C29" s="255"/>
      <c r="D29" s="188"/>
      <c r="E29" s="188"/>
      <c r="F29" s="188"/>
      <c r="G29" s="188"/>
      <c r="H29" s="1183" t="str">
        <f>IF(HR_case_MAT=1,"Election is invalid","")</f>
        <v/>
      </c>
      <c r="I29" s="188"/>
      <c r="J29" s="188"/>
      <c r="K29" s="189"/>
      <c r="L29" s="85"/>
      <c r="M29" s="115" t="s">
        <v>4820</v>
      </c>
    </row>
    <row r="30" spans="1:16" ht="12" customHeight="1" x14ac:dyDescent="0.35">
      <c r="B30" s="85"/>
      <c r="C30" s="85"/>
      <c r="D30" s="85"/>
      <c r="E30" s="85"/>
      <c r="F30" s="85"/>
      <c r="G30" s="85"/>
      <c r="H30" s="85"/>
      <c r="I30" s="85"/>
      <c r="J30" s="85"/>
      <c r="K30" s="85"/>
      <c r="L30" s="85"/>
      <c r="M30" s="115" t="s">
        <v>4821</v>
      </c>
      <c r="N30" s="1238" t="b">
        <v>0</v>
      </c>
    </row>
    <row r="31" spans="1:16" x14ac:dyDescent="0.35">
      <c r="A31" s="115" t="s">
        <v>942</v>
      </c>
      <c r="B31" s="85"/>
      <c r="C31" s="211" t="s">
        <v>4823</v>
      </c>
      <c r="D31" s="180"/>
      <c r="E31" s="180"/>
      <c r="F31" s="180"/>
      <c r="G31" s="180"/>
      <c r="H31" s="180"/>
      <c r="I31" s="180"/>
      <c r="J31" s="180"/>
      <c r="K31" s="456" t="s">
        <v>4563</v>
      </c>
      <c r="L31" s="85"/>
      <c r="M31" s="115" t="s">
        <v>4822</v>
      </c>
      <c r="N31" s="1238" t="b">
        <v>0</v>
      </c>
    </row>
    <row r="32" spans="1:16" ht="12" customHeight="1" x14ac:dyDescent="0.35">
      <c r="A32" s="115">
        <v>1</v>
      </c>
      <c r="B32" s="85"/>
      <c r="C32" s="252"/>
      <c r="D32" s="166"/>
      <c r="E32" s="166"/>
      <c r="F32" s="167"/>
      <c r="G32" s="167"/>
      <c r="H32" s="167"/>
      <c r="I32" s="167"/>
      <c r="J32" s="167"/>
      <c r="K32" s="258"/>
      <c r="L32" s="85"/>
    </row>
    <row r="33" spans="1:12" ht="12" customHeight="1" x14ac:dyDescent="0.35">
      <c r="A33" s="115">
        <v>2</v>
      </c>
      <c r="B33" s="85"/>
      <c r="C33" s="405" t="str">
        <f>A26</f>
        <v>M_O</v>
      </c>
      <c r="D33" s="207" t="s">
        <v>4821</v>
      </c>
      <c r="E33" s="166"/>
      <c r="F33" s="167"/>
      <c r="G33" s="405" t="str">
        <f>A27</f>
        <v>M_I</v>
      </c>
      <c r="H33" s="207" t="s">
        <v>4822</v>
      </c>
      <c r="I33" s="166"/>
      <c r="J33" s="167"/>
      <c r="K33" s="258"/>
      <c r="L33" s="85"/>
    </row>
    <row r="34" spans="1:12" ht="12" customHeight="1" x14ac:dyDescent="0.35">
      <c r="A34" s="115">
        <v>3</v>
      </c>
      <c r="B34" s="85"/>
      <c r="C34" s="252"/>
      <c r="D34" s="166"/>
      <c r="E34" s="989" t="str">
        <f>IF(MAT_OUT, "MA transferred out", "MA not transferred out")</f>
        <v>MA not transferred out</v>
      </c>
      <c r="F34" s="989"/>
      <c r="G34" s="1237"/>
      <c r="H34" s="166"/>
      <c r="I34" s="989" t="str">
        <f>IF(MAT_IN, "MA transferred in", "MA not transferred in")</f>
        <v>MA not transferred in</v>
      </c>
      <c r="J34" s="167"/>
      <c r="K34" s="259"/>
      <c r="L34" s="85"/>
    </row>
    <row r="35" spans="1:12" ht="12" customHeight="1" x14ac:dyDescent="0.35">
      <c r="B35" s="1163"/>
      <c r="C35" s="255"/>
      <c r="D35" s="188"/>
      <c r="E35" s="188"/>
      <c r="F35" s="188"/>
      <c r="G35" s="188"/>
      <c r="H35" s="1183" t="str">
        <f>IF(HR_case_MAT="Y","Election is invalid","")</f>
        <v/>
      </c>
      <c r="I35" s="188"/>
      <c r="J35" s="188"/>
      <c r="K35" s="189"/>
      <c r="L35" s="1163"/>
    </row>
    <row r="36" spans="1:12" ht="12" customHeight="1" x14ac:dyDescent="0.35">
      <c r="B36" s="85"/>
      <c r="C36" s="85"/>
      <c r="D36" s="85"/>
      <c r="E36" s="85"/>
      <c r="F36" s="85"/>
      <c r="G36" s="85"/>
      <c r="H36" s="85"/>
      <c r="I36" s="85"/>
      <c r="J36" s="85"/>
      <c r="K36" s="85"/>
      <c r="L36" s="85"/>
    </row>
    <row r="37" spans="1:12" x14ac:dyDescent="0.35">
      <c r="B37" s="85"/>
      <c r="C37" s="1163"/>
      <c r="D37" s="1236"/>
      <c r="E37" s="1236"/>
      <c r="F37" s="1163"/>
      <c r="G37" s="1163"/>
      <c r="H37" s="1163"/>
      <c r="I37" s="1163"/>
      <c r="J37" s="1236"/>
      <c r="K37" s="1163"/>
      <c r="L37" s="85"/>
    </row>
    <row r="38" spans="1:12" x14ac:dyDescent="0.35">
      <c r="B38" s="85"/>
      <c r="C38" s="211" t="s">
        <v>4042</v>
      </c>
      <c r="D38" s="180"/>
      <c r="E38" s="180"/>
      <c r="F38" s="180"/>
      <c r="G38" s="180"/>
      <c r="H38" s="180"/>
      <c r="I38" s="180"/>
      <c r="J38" s="180"/>
      <c r="K38" s="456" t="s">
        <v>942</v>
      </c>
      <c r="L38" s="85"/>
    </row>
    <row r="39" spans="1:12" x14ac:dyDescent="0.35">
      <c r="B39" s="85"/>
      <c r="C39" s="252"/>
      <c r="D39" s="166"/>
      <c r="E39" s="167"/>
      <c r="F39" s="167"/>
      <c r="G39" s="167"/>
      <c r="H39" s="167"/>
      <c r="I39" s="167"/>
      <c r="J39" s="167"/>
      <c r="K39" s="183"/>
      <c r="L39" s="85"/>
    </row>
    <row r="40" spans="1:12" x14ac:dyDescent="0.35">
      <c r="B40" s="85"/>
      <c r="C40" s="454">
        <f>A32</f>
        <v>1</v>
      </c>
      <c r="D40" s="166" t="str">
        <f>"If you have had any "&amp;tax_year&amp;" Income Tax refunded or set off by us or Jobcentre Plus"</f>
        <v>If you have had any 2017-18 Income Tax refunded or set off by us or Jobcentre Plus</v>
      </c>
      <c r="E40" s="167"/>
      <c r="F40" s="167"/>
      <c r="G40" s="167"/>
      <c r="H40" s="167"/>
      <c r="I40" s="167"/>
      <c r="J40" s="167"/>
      <c r="K40" s="183"/>
      <c r="L40" s="85"/>
    </row>
    <row r="41" spans="1:12" ht="12.75" x14ac:dyDescent="0.35">
      <c r="B41" s="85"/>
      <c r="C41" s="252"/>
      <c r="D41" s="260"/>
      <c r="E41" s="167"/>
      <c r="F41" s="167"/>
      <c r="G41" s="167"/>
      <c r="H41" s="167"/>
      <c r="I41" s="167"/>
      <c r="J41" s="167"/>
      <c r="K41" s="183"/>
      <c r="L41" s="85"/>
    </row>
    <row r="42" spans="1:12" x14ac:dyDescent="0.35">
      <c r="B42" s="85"/>
      <c r="C42" s="255"/>
      <c r="D42" s="188"/>
      <c r="E42" s="188"/>
      <c r="F42" s="188"/>
      <c r="G42" s="188"/>
      <c r="H42" s="188"/>
      <c r="I42" s="188"/>
      <c r="J42" s="188"/>
      <c r="K42" s="189"/>
      <c r="L42" s="85"/>
    </row>
    <row r="43" spans="1:12" x14ac:dyDescent="0.35">
      <c r="B43" s="85"/>
      <c r="C43" s="85"/>
      <c r="D43" s="85"/>
      <c r="E43" s="85"/>
      <c r="F43" s="85"/>
      <c r="G43" s="85"/>
      <c r="H43" s="85"/>
      <c r="I43" s="85"/>
      <c r="J43" s="85"/>
      <c r="K43" s="85"/>
      <c r="L43" s="85"/>
    </row>
  </sheetData>
  <phoneticPr fontId="68" type="noConversion"/>
  <dataValidations count="1">
    <dataValidation allowBlank="1" showInputMessage="1" showErrorMessage="1" promptTitle="Student Loan Plan type" prompt="Complete the SL_t box next by selecting Plan type" sqref="H12"/>
  </dataValidations>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nchor moveWithCells="1">
                  <from>
                    <xdr:col>2</xdr:col>
                    <xdr:colOff>276225</xdr:colOff>
                    <xdr:row>3</xdr:row>
                    <xdr:rowOff>66675</xdr:rowOff>
                  </from>
                  <to>
                    <xdr:col>3</xdr:col>
                    <xdr:colOff>180975</xdr:colOff>
                    <xdr:row>5</xdr:row>
                    <xdr:rowOff>38100</xdr:rowOff>
                  </to>
                </anchor>
              </controlPr>
            </control>
          </mc:Choice>
        </mc:AlternateContent>
        <mc:AlternateContent xmlns:mc="http://schemas.openxmlformats.org/markup-compatibility/2006">
          <mc:Choice Requires="x14">
            <control shapeId="39943" r:id="rId5" name="Check Box 7">
              <controlPr defaultSize="0" autoFill="0" autoLine="0" autoPict="0" macro="[0]!Checkboxes_MA_transfer">
                <anchor moveWithCells="1">
                  <from>
                    <xdr:col>2</xdr:col>
                    <xdr:colOff>266700</xdr:colOff>
                    <xdr:row>26</xdr:row>
                    <xdr:rowOff>66675</xdr:rowOff>
                  </from>
                  <to>
                    <xdr:col>3</xdr:col>
                    <xdr:colOff>171450</xdr:colOff>
                    <xdr:row>28</xdr:row>
                    <xdr:rowOff>38100</xdr:rowOff>
                  </to>
                </anchor>
              </controlPr>
            </control>
          </mc:Choice>
        </mc:AlternateContent>
        <mc:AlternateContent xmlns:mc="http://schemas.openxmlformats.org/markup-compatibility/2006">
          <mc:Choice Requires="x14">
            <control shapeId="39946" r:id="rId6" name="Check Box 10">
              <controlPr defaultSize="0" autoFill="0" autoLine="0" autoPict="0" macro="[0]!Checkboxes_MAT_OUT">
                <anchor moveWithCells="1">
                  <from>
                    <xdr:col>2</xdr:col>
                    <xdr:colOff>266700</xdr:colOff>
                    <xdr:row>32</xdr:row>
                    <xdr:rowOff>66675</xdr:rowOff>
                  </from>
                  <to>
                    <xdr:col>3</xdr:col>
                    <xdr:colOff>171450</xdr:colOff>
                    <xdr:row>34</xdr:row>
                    <xdr:rowOff>38100</xdr:rowOff>
                  </to>
                </anchor>
              </controlPr>
            </control>
          </mc:Choice>
        </mc:AlternateContent>
        <mc:AlternateContent xmlns:mc="http://schemas.openxmlformats.org/markup-compatibility/2006">
          <mc:Choice Requires="x14">
            <control shapeId="39947" r:id="rId7" name="Check Box 11">
              <controlPr defaultSize="0" autoFill="0" autoLine="0" autoPict="0" macro="[0]!Checkboxes_MAT_IN">
                <anchor moveWithCells="1">
                  <from>
                    <xdr:col>6</xdr:col>
                    <xdr:colOff>266700</xdr:colOff>
                    <xdr:row>32</xdr:row>
                    <xdr:rowOff>66675</xdr:rowOff>
                  </from>
                  <to>
                    <xdr:col>7</xdr:col>
                    <xdr:colOff>171450</xdr:colOff>
                    <xdr:row>34</xdr:row>
                    <xdr:rowOff>38100</xdr:rowOff>
                  </to>
                </anchor>
              </controlPr>
            </control>
          </mc:Choice>
        </mc:AlternateContent>
        <mc:AlternateContent xmlns:mc="http://schemas.openxmlformats.org/markup-compatibility/2006">
          <mc:Choice Requires="x14">
            <control shapeId="39949" r:id="rId8" name="Drop Down 13">
              <controlPr defaultSize="0" autoLine="0" autoPict="0">
                <anchor moveWithCells="1">
                  <from>
                    <xdr:col>3</xdr:col>
                    <xdr:colOff>0</xdr:colOff>
                    <xdr:row>13</xdr:row>
                    <xdr:rowOff>28575</xdr:rowOff>
                  </from>
                  <to>
                    <xdr:col>3</xdr:col>
                    <xdr:colOff>409575</xdr:colOff>
                    <xdr:row>14</xdr:row>
                    <xdr:rowOff>66675</xdr:rowOff>
                  </to>
                </anchor>
              </controlPr>
            </control>
          </mc:Choice>
        </mc:AlternateContent>
        <mc:AlternateContent xmlns:mc="http://schemas.openxmlformats.org/markup-compatibility/2006">
          <mc:Choice Requires="x14">
            <control shapeId="39952" r:id="rId9" name="Check Box 16">
              <controlPr defaultSize="0" autoFill="0" autoLine="0" autoPict="0">
                <anchor moveWithCells="1">
                  <from>
                    <xdr:col>2</xdr:col>
                    <xdr:colOff>276225</xdr:colOff>
                    <xdr:row>10</xdr:row>
                    <xdr:rowOff>95250</xdr:rowOff>
                  </from>
                  <to>
                    <xdr:col>3</xdr:col>
                    <xdr:colOff>180975</xdr:colOff>
                    <xdr:row>12</xdr:row>
                    <xdr:rowOff>9525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O35"/>
  <sheetViews>
    <sheetView showGridLines="0" showRowColHeaders="0" topLeftCell="B1" workbookViewId="0">
      <selection activeCell="M31" sqref="M31"/>
    </sheetView>
  </sheetViews>
  <sheetFormatPr defaultColWidth="9.1328125" defaultRowHeight="11.65" x14ac:dyDescent="0.35"/>
  <cols>
    <col min="1" max="1" width="7.3984375" style="163" hidden="1" customWidth="1"/>
    <col min="2" max="2" width="9.86328125" style="163" customWidth="1"/>
    <col min="3" max="3" width="4.73046875" style="163" customWidth="1"/>
    <col min="4" max="4" width="12.73046875" style="163" customWidth="1"/>
    <col min="5" max="5" width="6" style="163" customWidth="1"/>
    <col min="6" max="6" width="21.3984375" style="163" customWidth="1"/>
    <col min="7" max="7" width="5" style="163" customWidth="1"/>
    <col min="8" max="8" width="12.73046875" style="163" customWidth="1"/>
    <col min="9" max="9" width="25.59765625" style="163" customWidth="1"/>
    <col min="10" max="10" width="4.265625" style="163" customWidth="1"/>
    <col min="11" max="11" width="1.73046875" style="163" customWidth="1"/>
    <col min="12" max="12" width="23.73046875" style="163" customWidth="1"/>
    <col min="13" max="13" width="5.73046875" style="163" customWidth="1"/>
    <col min="14" max="16384" width="9.1328125" style="163"/>
  </cols>
  <sheetData>
    <row r="1" spans="1:15" ht="13.15" x14ac:dyDescent="0.4">
      <c r="A1" s="163" t="s">
        <v>3570</v>
      </c>
      <c r="B1" s="164"/>
      <c r="C1" s="68"/>
      <c r="D1" s="164"/>
      <c r="E1" s="164"/>
      <c r="F1" s="164"/>
      <c r="G1" s="164"/>
      <c r="H1" s="164"/>
      <c r="I1" s="164"/>
      <c r="J1" s="164"/>
      <c r="K1" s="164"/>
      <c r="L1" s="164"/>
      <c r="M1" s="164"/>
      <c r="N1" s="165"/>
      <c r="O1" s="165"/>
    </row>
    <row r="2" spans="1:15" ht="9" customHeight="1" x14ac:dyDescent="0.35">
      <c r="A2" s="163">
        <v>1</v>
      </c>
      <c r="B2" s="164"/>
      <c r="C2" s="164"/>
      <c r="D2" s="164"/>
      <c r="E2" s="164"/>
      <c r="F2" s="164"/>
      <c r="G2" s="164"/>
      <c r="H2" s="164"/>
      <c r="I2" s="164"/>
      <c r="J2" s="164"/>
      <c r="K2" s="164"/>
      <c r="L2" s="164"/>
      <c r="M2" s="164"/>
      <c r="N2" s="165"/>
      <c r="O2" s="165"/>
    </row>
    <row r="3" spans="1:15" x14ac:dyDescent="0.35">
      <c r="A3" s="163">
        <v>2</v>
      </c>
      <c r="B3" s="164"/>
      <c r="C3" s="179" t="s">
        <v>3571</v>
      </c>
      <c r="D3" s="180"/>
      <c r="E3" s="180"/>
      <c r="F3" s="180"/>
      <c r="G3" s="180"/>
      <c r="H3" s="180"/>
      <c r="I3" s="202"/>
      <c r="J3" s="373" t="s">
        <v>3570</v>
      </c>
      <c r="K3" s="164"/>
      <c r="L3" s="164"/>
      <c r="M3" s="164"/>
      <c r="N3" s="165"/>
      <c r="O3" s="165"/>
    </row>
    <row r="4" spans="1:15" ht="9" customHeight="1" x14ac:dyDescent="0.35">
      <c r="A4" s="163">
        <v>3</v>
      </c>
      <c r="B4" s="164"/>
      <c r="C4" s="205"/>
      <c r="D4" s="199"/>
      <c r="E4" s="166"/>
      <c r="F4" s="166"/>
      <c r="G4" s="166"/>
      <c r="H4" s="166"/>
      <c r="I4" s="198"/>
      <c r="J4" s="183"/>
      <c r="K4" s="164"/>
      <c r="L4" s="164"/>
      <c r="M4" s="164"/>
      <c r="N4" s="165"/>
      <c r="O4" s="165"/>
    </row>
    <row r="5" spans="1:15" x14ac:dyDescent="0.35">
      <c r="A5" s="163">
        <v>4</v>
      </c>
      <c r="B5" s="164"/>
      <c r="C5" s="168">
        <f>A3</f>
        <v>2</v>
      </c>
      <c r="D5" s="166" t="str">
        <f>"Tax taken off box "&amp;G7</f>
        <v>Tax taken off box 3</v>
      </c>
      <c r="E5" s="166"/>
      <c r="F5" s="174"/>
      <c r="G5" s="174"/>
      <c r="H5" s="174"/>
      <c r="I5" s="198"/>
      <c r="J5" s="183"/>
      <c r="K5" s="164"/>
      <c r="L5" s="164"/>
      <c r="M5" s="164"/>
      <c r="N5" s="165"/>
      <c r="O5" s="165"/>
    </row>
    <row r="6" spans="1:15" x14ac:dyDescent="0.35">
      <c r="A6" s="163">
        <v>5</v>
      </c>
      <c r="B6" s="164"/>
      <c r="C6" s="182"/>
      <c r="D6" s="173"/>
      <c r="E6" s="166"/>
      <c r="F6" s="174"/>
      <c r="G6" s="174"/>
      <c r="H6" s="174"/>
      <c r="I6" s="198"/>
      <c r="J6" s="183"/>
      <c r="K6" s="164"/>
      <c r="L6" s="164"/>
      <c r="M6" s="164"/>
      <c r="N6" s="165"/>
      <c r="O6" s="165"/>
    </row>
    <row r="7" spans="1:15" x14ac:dyDescent="0.35">
      <c r="A7" s="163">
        <v>6</v>
      </c>
      <c r="B7" s="164"/>
      <c r="C7" s="182"/>
      <c r="D7" s="166"/>
      <c r="E7" s="166"/>
      <c r="F7" s="227"/>
      <c r="G7" s="168">
        <f>A4</f>
        <v>3</v>
      </c>
      <c r="H7" s="169" t="s">
        <v>5269</v>
      </c>
      <c r="I7" s="198"/>
      <c r="J7" s="183"/>
      <c r="K7" s="164"/>
      <c r="L7" s="164"/>
      <c r="M7" s="164"/>
      <c r="N7" s="165"/>
      <c r="O7" s="165"/>
    </row>
    <row r="8" spans="1:15" x14ac:dyDescent="0.35">
      <c r="A8" s="163">
        <v>7</v>
      </c>
      <c r="B8" s="164"/>
      <c r="C8" s="182"/>
      <c r="D8" s="166"/>
      <c r="E8" s="166"/>
      <c r="F8" s="227"/>
      <c r="G8" s="166"/>
      <c r="H8" s="203"/>
      <c r="I8" s="198"/>
      <c r="J8" s="183"/>
      <c r="K8" s="164"/>
      <c r="L8" s="164"/>
      <c r="M8" s="164"/>
      <c r="N8" s="165"/>
      <c r="O8" s="165"/>
    </row>
    <row r="9" spans="1:15" ht="6" customHeight="1" x14ac:dyDescent="0.35">
      <c r="A9" s="163">
        <v>8</v>
      </c>
      <c r="B9" s="164"/>
      <c r="C9" s="187"/>
      <c r="D9" s="188"/>
      <c r="E9" s="188"/>
      <c r="F9" s="188"/>
      <c r="G9" s="188"/>
      <c r="H9" s="188"/>
      <c r="I9" s="188"/>
      <c r="J9" s="189"/>
      <c r="K9" s="164"/>
      <c r="L9" s="164"/>
      <c r="M9" s="164"/>
      <c r="N9" s="165"/>
      <c r="O9" s="165"/>
    </row>
    <row r="10" spans="1:15" ht="9" customHeight="1" x14ac:dyDescent="0.35">
      <c r="A10" s="163">
        <v>9</v>
      </c>
      <c r="B10" s="164"/>
      <c r="C10" s="164"/>
      <c r="D10" s="164"/>
      <c r="E10" s="164"/>
      <c r="F10" s="164"/>
      <c r="G10" s="164"/>
      <c r="H10" s="164"/>
      <c r="I10" s="164"/>
      <c r="J10" s="164"/>
      <c r="K10" s="164"/>
      <c r="L10" s="164"/>
      <c r="M10" s="164"/>
      <c r="N10" s="165"/>
      <c r="O10" s="165"/>
    </row>
    <row r="11" spans="1:15" x14ac:dyDescent="0.35">
      <c r="A11" s="163">
        <v>10</v>
      </c>
      <c r="B11" s="164"/>
      <c r="C11" s="179" t="s">
        <v>3572</v>
      </c>
      <c r="D11" s="180"/>
      <c r="E11" s="180"/>
      <c r="F11" s="180"/>
      <c r="G11" s="180"/>
      <c r="H11" s="180"/>
      <c r="I11" s="202"/>
      <c r="J11" s="373" t="s">
        <v>3570</v>
      </c>
      <c r="K11" s="164"/>
      <c r="L11" s="164"/>
      <c r="M11" s="164"/>
      <c r="N11" s="165"/>
      <c r="O11" s="165"/>
    </row>
    <row r="12" spans="1:15" ht="9" customHeight="1" x14ac:dyDescent="0.35">
      <c r="A12" s="163">
        <v>11</v>
      </c>
      <c r="B12" s="164"/>
      <c r="C12" s="182"/>
      <c r="D12" s="166"/>
      <c r="E12" s="166"/>
      <c r="F12" s="199"/>
      <c r="G12" s="169"/>
      <c r="H12" s="167"/>
      <c r="I12" s="198"/>
      <c r="J12" s="183"/>
      <c r="K12" s="164"/>
      <c r="L12" s="164"/>
      <c r="M12" s="164"/>
      <c r="N12" s="165"/>
      <c r="O12" s="165"/>
    </row>
    <row r="13" spans="1:15" x14ac:dyDescent="0.35">
      <c r="A13" s="163">
        <v>12</v>
      </c>
      <c r="B13" s="164"/>
      <c r="C13" s="168">
        <f>A5</f>
        <v>4</v>
      </c>
      <c r="D13" s="169" t="s">
        <v>3765</v>
      </c>
      <c r="E13" s="166"/>
      <c r="F13" s="199"/>
      <c r="G13" s="168">
        <f>A9</f>
        <v>8</v>
      </c>
      <c r="H13" s="169" t="s">
        <v>3767</v>
      </c>
      <c r="I13" s="198"/>
      <c r="J13" s="183"/>
      <c r="K13" s="164"/>
      <c r="L13" s="164"/>
      <c r="M13" s="164"/>
      <c r="N13" s="165"/>
      <c r="O13" s="165"/>
    </row>
    <row r="14" spans="1:15" x14ac:dyDescent="0.35">
      <c r="A14" s="163">
        <v>13</v>
      </c>
      <c r="B14" s="164"/>
      <c r="C14" s="182"/>
      <c r="D14" s="173"/>
      <c r="E14" s="166"/>
      <c r="F14" s="227"/>
      <c r="G14" s="166"/>
      <c r="H14" s="203"/>
      <c r="I14" s="198"/>
      <c r="J14" s="183"/>
      <c r="K14" s="164"/>
      <c r="L14" s="164"/>
      <c r="M14" s="164"/>
      <c r="N14" s="165"/>
      <c r="O14" s="165"/>
    </row>
    <row r="15" spans="1:15" ht="9" customHeight="1" x14ac:dyDescent="0.35">
      <c r="A15" s="163">
        <v>14</v>
      </c>
      <c r="B15" s="164"/>
      <c r="C15" s="182"/>
      <c r="D15" s="166"/>
      <c r="E15" s="166"/>
      <c r="F15" s="227"/>
      <c r="G15" s="174"/>
      <c r="H15" s="174"/>
      <c r="I15" s="198"/>
      <c r="J15" s="183"/>
      <c r="K15" s="164"/>
      <c r="L15" s="164"/>
      <c r="M15" s="164"/>
      <c r="N15" s="165"/>
      <c r="O15" s="165"/>
    </row>
    <row r="16" spans="1:15" x14ac:dyDescent="0.35">
      <c r="A16" s="163">
        <v>15</v>
      </c>
      <c r="B16" s="164"/>
      <c r="C16" s="168">
        <f>A6</f>
        <v>5</v>
      </c>
      <c r="D16" s="166" t="str">
        <f>"Number of years for box "&amp;C13</f>
        <v>Number of years for box 4</v>
      </c>
      <c r="E16" s="166"/>
      <c r="F16" s="227"/>
      <c r="G16" s="168">
        <f>A10</f>
        <v>9</v>
      </c>
      <c r="H16" s="166" t="str">
        <f>"Number of years for box "&amp;G13</f>
        <v>Number of years for box 8</v>
      </c>
      <c r="I16" s="198"/>
      <c r="J16" s="183"/>
      <c r="K16" s="164"/>
      <c r="L16" s="164"/>
      <c r="M16" s="164"/>
      <c r="N16" s="165"/>
      <c r="O16" s="165"/>
    </row>
    <row r="17" spans="2:15" x14ac:dyDescent="0.35">
      <c r="B17" s="164"/>
      <c r="C17" s="182"/>
      <c r="D17" s="203"/>
      <c r="E17" s="174"/>
      <c r="F17" s="166"/>
      <c r="G17" s="174"/>
      <c r="H17" s="203"/>
      <c r="I17" s="198"/>
      <c r="J17" s="183"/>
      <c r="K17" s="164"/>
      <c r="L17" s="164"/>
      <c r="M17" s="164"/>
      <c r="N17" s="165"/>
      <c r="O17" s="165"/>
    </row>
    <row r="18" spans="2:15" ht="9" customHeight="1" x14ac:dyDescent="0.35">
      <c r="B18" s="164"/>
      <c r="C18" s="182"/>
      <c r="D18" s="199"/>
      <c r="E18" s="166"/>
      <c r="F18" s="199"/>
      <c r="G18" s="174"/>
      <c r="H18" s="174"/>
      <c r="I18" s="198"/>
      <c r="J18" s="183"/>
      <c r="K18" s="164"/>
      <c r="L18" s="164"/>
      <c r="M18" s="164"/>
      <c r="N18" s="165"/>
      <c r="O18" s="165"/>
    </row>
    <row r="19" spans="2:15" x14ac:dyDescent="0.35">
      <c r="B19" s="164"/>
      <c r="C19" s="168">
        <f>A7</f>
        <v>6</v>
      </c>
      <c r="D19" s="169" t="s">
        <v>3766</v>
      </c>
      <c r="E19" s="166"/>
      <c r="F19" s="174"/>
      <c r="G19" s="168">
        <f>A11</f>
        <v>10</v>
      </c>
      <c r="H19" s="1140" t="str">
        <f>"Tax taken off gain shown in box "&amp;G13</f>
        <v>Tax taken off gain shown in box 8</v>
      </c>
      <c r="I19" s="1520"/>
      <c r="J19" s="183"/>
      <c r="K19" s="164"/>
      <c r="L19" s="164"/>
      <c r="M19" s="164"/>
      <c r="N19" s="165"/>
      <c r="O19" s="165"/>
    </row>
    <row r="20" spans="2:15" x14ac:dyDescent="0.35">
      <c r="B20" s="164"/>
      <c r="C20" s="182"/>
      <c r="D20" s="173"/>
      <c r="E20" s="166"/>
      <c r="F20" s="166"/>
      <c r="G20" s="174"/>
      <c r="H20" s="204"/>
      <c r="I20" s="198"/>
      <c r="J20" s="183"/>
      <c r="K20" s="164"/>
      <c r="L20" s="164"/>
      <c r="M20" s="164"/>
      <c r="N20" s="165"/>
      <c r="O20" s="165"/>
    </row>
    <row r="21" spans="2:15" ht="9" customHeight="1" x14ac:dyDescent="0.35">
      <c r="B21" s="164"/>
      <c r="C21" s="182"/>
      <c r="D21" s="166"/>
      <c r="E21" s="167"/>
      <c r="F21" s="167"/>
      <c r="G21" s="174"/>
      <c r="H21" s="166"/>
      <c r="I21" s="198"/>
      <c r="J21" s="183"/>
      <c r="K21" s="164"/>
      <c r="L21" s="164"/>
      <c r="M21" s="164"/>
    </row>
    <row r="22" spans="2:15" x14ac:dyDescent="0.35">
      <c r="B22" s="164"/>
      <c r="C22" s="168">
        <f>A8</f>
        <v>7</v>
      </c>
      <c r="D22" s="166" t="str">
        <f>"Number of years for box "&amp;C19</f>
        <v>Number of years for box 6</v>
      </c>
      <c r="E22" s="167"/>
      <c r="F22" s="167"/>
      <c r="G22" s="455">
        <f>A12</f>
        <v>11</v>
      </c>
      <c r="H22" s="169" t="s">
        <v>1591</v>
      </c>
      <c r="I22" s="198"/>
      <c r="J22" s="183"/>
      <c r="K22" s="164"/>
      <c r="L22" s="164"/>
      <c r="M22" s="164"/>
    </row>
    <row r="23" spans="2:15" ht="12.75" customHeight="1" x14ac:dyDescent="0.35">
      <c r="B23" s="164"/>
      <c r="C23" s="182"/>
      <c r="D23" s="203"/>
      <c r="E23" s="167"/>
      <c r="F23" s="167"/>
      <c r="G23" s="174"/>
      <c r="H23" s="203"/>
      <c r="I23" s="198"/>
      <c r="J23" s="183"/>
      <c r="K23" s="164"/>
      <c r="L23" s="164"/>
      <c r="M23" s="164"/>
      <c r="N23" s="165"/>
      <c r="O23" s="165"/>
    </row>
    <row r="24" spans="2:15" ht="6" customHeight="1" x14ac:dyDescent="0.35">
      <c r="B24" s="164"/>
      <c r="C24" s="187"/>
      <c r="D24" s="188"/>
      <c r="E24" s="188"/>
      <c r="F24" s="188"/>
      <c r="G24" s="188"/>
      <c r="H24" s="188"/>
      <c r="I24" s="188"/>
      <c r="J24" s="189"/>
      <c r="K24" s="164"/>
      <c r="L24" s="164"/>
      <c r="M24" s="164"/>
      <c r="N24" s="165"/>
      <c r="O24" s="165"/>
    </row>
    <row r="25" spans="2:15" ht="9" customHeight="1" x14ac:dyDescent="0.35">
      <c r="B25" s="164"/>
      <c r="C25" s="164"/>
      <c r="D25" s="164"/>
      <c r="E25" s="164"/>
      <c r="F25" s="164"/>
      <c r="G25" s="164"/>
      <c r="H25" s="164"/>
      <c r="I25" s="164"/>
      <c r="J25" s="164"/>
      <c r="K25" s="164"/>
      <c r="L25" s="164"/>
      <c r="M25" s="164"/>
      <c r="N25" s="165"/>
      <c r="O25" s="165"/>
    </row>
    <row r="26" spans="2:15" x14ac:dyDescent="0.35">
      <c r="B26" s="164"/>
      <c r="C26" s="179" t="s">
        <v>3573</v>
      </c>
      <c r="D26" s="180"/>
      <c r="E26" s="180"/>
      <c r="F26" s="180"/>
      <c r="G26" s="180"/>
      <c r="H26" s="180"/>
      <c r="I26" s="202"/>
      <c r="J26" s="373" t="s">
        <v>3570</v>
      </c>
      <c r="K26" s="164"/>
      <c r="L26" s="164"/>
      <c r="M26" s="164"/>
      <c r="N26" s="165"/>
      <c r="O26" s="165"/>
    </row>
    <row r="27" spans="2:15" x14ac:dyDescent="0.35">
      <c r="B27" s="164"/>
      <c r="C27" s="182"/>
      <c r="D27" s="166"/>
      <c r="E27" s="166"/>
      <c r="F27" s="227"/>
      <c r="G27" s="174"/>
      <c r="H27" s="1519" t="s">
        <v>6236</v>
      </c>
      <c r="I27" s="1520"/>
      <c r="J27" s="1464"/>
      <c r="K27" s="164"/>
      <c r="L27" s="164"/>
      <c r="M27" s="164"/>
      <c r="N27" s="165"/>
      <c r="O27" s="165"/>
    </row>
    <row r="28" spans="2:15" x14ac:dyDescent="0.35">
      <c r="B28" s="164"/>
      <c r="C28" s="168">
        <f>A13</f>
        <v>12</v>
      </c>
      <c r="D28" s="290" t="s">
        <v>6235</v>
      </c>
      <c r="E28" s="1140"/>
      <c r="F28" s="1800"/>
      <c r="G28" s="168">
        <f>A14</f>
        <v>13</v>
      </c>
      <c r="H28" s="1519" t="s">
        <v>6237</v>
      </c>
      <c r="I28" s="1520"/>
      <c r="J28" s="1464"/>
      <c r="K28" s="164"/>
      <c r="L28" s="164"/>
      <c r="M28" s="164"/>
      <c r="N28" s="165"/>
      <c r="O28" s="165"/>
    </row>
    <row r="29" spans="2:15" x14ac:dyDescent="0.35">
      <c r="B29" s="164"/>
      <c r="C29" s="182"/>
      <c r="D29" s="173"/>
      <c r="E29" s="166"/>
      <c r="F29" s="227"/>
      <c r="G29" s="227"/>
      <c r="H29" s="173"/>
      <c r="I29" s="198"/>
      <c r="J29" s="183"/>
      <c r="K29" s="164"/>
      <c r="L29" s="164"/>
      <c r="M29" s="164"/>
      <c r="N29" s="165"/>
      <c r="O29" s="165"/>
    </row>
    <row r="30" spans="2:15" ht="6" customHeight="1" x14ac:dyDescent="0.35">
      <c r="B30" s="164"/>
      <c r="C30" s="187"/>
      <c r="D30" s="188"/>
      <c r="E30" s="188"/>
      <c r="F30" s="188"/>
      <c r="G30" s="188"/>
      <c r="H30" s="188"/>
      <c r="I30" s="188"/>
      <c r="J30" s="189"/>
      <c r="K30" s="164"/>
      <c r="L30" s="164"/>
      <c r="M30" s="164"/>
    </row>
    <row r="31" spans="2:15" x14ac:dyDescent="0.35">
      <c r="B31" s="164"/>
      <c r="C31" s="164"/>
      <c r="D31" s="164"/>
      <c r="E31" s="164"/>
      <c r="F31" s="164"/>
      <c r="G31" s="164"/>
      <c r="H31" s="164"/>
      <c r="I31" s="164"/>
      <c r="J31" s="164"/>
      <c r="K31" s="164"/>
      <c r="L31" s="164"/>
      <c r="M31" s="164"/>
    </row>
    <row r="32" spans="2:15" x14ac:dyDescent="0.35">
      <c r="B32" s="164"/>
      <c r="C32" s="164"/>
      <c r="D32" s="164"/>
      <c r="E32" s="164"/>
      <c r="F32" s="164"/>
      <c r="G32" s="164"/>
      <c r="H32" s="164"/>
      <c r="I32" s="164"/>
      <c r="J32" s="164"/>
      <c r="K32" s="164"/>
      <c r="L32" s="164"/>
      <c r="M32" s="164"/>
    </row>
    <row r="33" spans="2:13" x14ac:dyDescent="0.35">
      <c r="B33" s="164"/>
      <c r="C33" s="164"/>
      <c r="D33" s="164"/>
      <c r="E33" s="164"/>
      <c r="F33" s="164"/>
      <c r="G33" s="164"/>
      <c r="H33" s="164"/>
      <c r="I33" s="164"/>
      <c r="J33" s="164"/>
      <c r="K33" s="164"/>
      <c r="L33" s="164"/>
      <c r="M33" s="164"/>
    </row>
    <row r="34" spans="2:13" x14ac:dyDescent="0.35">
      <c r="B34" s="164"/>
      <c r="C34" s="164"/>
      <c r="D34" s="164"/>
      <c r="E34" s="164"/>
      <c r="F34" s="164"/>
      <c r="G34" s="164"/>
      <c r="H34" s="164"/>
      <c r="I34" s="164"/>
      <c r="J34" s="164"/>
      <c r="K34" s="164"/>
      <c r="L34" s="164"/>
      <c r="M34" s="164"/>
    </row>
    <row r="35" spans="2:13" x14ac:dyDescent="0.35">
      <c r="B35" s="164"/>
      <c r="C35" s="164"/>
      <c r="D35" s="164"/>
      <c r="E35" s="164"/>
      <c r="F35" s="164"/>
      <c r="G35" s="164"/>
      <c r="H35" s="164"/>
      <c r="I35" s="164"/>
      <c r="J35" s="164"/>
      <c r="K35" s="164"/>
      <c r="L35" s="164"/>
      <c r="M35" s="164"/>
    </row>
  </sheetData>
  <sheetProtection sheet="1" objects="1" scenarios="1"/>
  <phoneticPr fontId="68" type="noConversion"/>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_multi_gains">
                <anchor moveWithCells="1" sizeWithCells="1">
                  <from>
                    <xdr:col>8</xdr:col>
                    <xdr:colOff>485775</xdr:colOff>
                    <xdr:row>11</xdr:row>
                    <xdr:rowOff>76200</xdr:rowOff>
                  </from>
                  <to>
                    <xdr:col>9</xdr:col>
                    <xdr:colOff>19050</xdr:colOff>
                    <xdr:row>13</xdr:row>
                    <xdr:rowOff>47625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W33"/>
  <sheetViews>
    <sheetView showGridLines="0" showRowColHeaders="0" workbookViewId="0">
      <selection activeCell="F20" sqref="F20"/>
    </sheetView>
  </sheetViews>
  <sheetFormatPr defaultRowHeight="12.75" x14ac:dyDescent="0.35"/>
  <cols>
    <col min="1" max="1" width="16.73046875" customWidth="1"/>
    <col min="2" max="2" width="5.3984375" customWidth="1"/>
    <col min="3" max="3" width="6.265625" customWidth="1"/>
    <col min="4" max="4" width="8.265625" customWidth="1"/>
    <col min="5" max="5" width="5.3984375" customWidth="1"/>
    <col min="6" max="6" width="13.59765625" customWidth="1"/>
    <col min="7" max="7" width="6.86328125" customWidth="1"/>
    <col min="8" max="8" width="3" customWidth="1"/>
    <col min="9" max="9" width="4" customWidth="1"/>
    <col min="10" max="10" width="6.265625" customWidth="1"/>
    <col min="11" max="11" width="7.86328125" customWidth="1"/>
    <col min="12" max="12" width="5.59765625" customWidth="1"/>
    <col min="13" max="13" width="14" customWidth="1"/>
    <col min="14" max="14" width="4.86328125" customWidth="1"/>
    <col min="15" max="15" width="18.59765625" customWidth="1"/>
    <col min="16" max="16" width="2.59765625" style="7" hidden="1" customWidth="1"/>
    <col min="17" max="17" width="11" hidden="1" customWidth="1"/>
    <col min="18" max="18" width="10.265625" hidden="1" customWidth="1"/>
    <col min="19" max="19" width="10" hidden="1" customWidth="1"/>
    <col min="20" max="20" width="2" hidden="1" customWidth="1"/>
    <col min="21" max="21" width="10.265625" hidden="1" customWidth="1"/>
    <col min="22" max="22" width="10.1328125" hidden="1" customWidth="1"/>
    <col min="23" max="23" width="10" hidden="1" customWidth="1"/>
    <col min="24" max="24" width="2.265625" customWidth="1"/>
  </cols>
  <sheetData>
    <row r="1" spans="1:23" ht="13.15" x14ac:dyDescent="0.4">
      <c r="A1" s="67"/>
      <c r="B1" s="75" t="s">
        <v>599</v>
      </c>
      <c r="C1" s="67"/>
      <c r="D1" s="67"/>
      <c r="E1" s="67"/>
      <c r="F1" s="67"/>
      <c r="G1" s="67"/>
      <c r="H1" s="67"/>
      <c r="I1" s="67"/>
      <c r="J1" s="67"/>
      <c r="K1" s="67"/>
      <c r="L1" s="67"/>
      <c r="M1" s="67"/>
      <c r="N1" s="67"/>
      <c r="O1" s="67"/>
    </row>
    <row r="2" spans="1:23" ht="9" customHeight="1" x14ac:dyDescent="0.35">
      <c r="A2" s="67"/>
      <c r="B2" s="67"/>
      <c r="C2" s="67"/>
      <c r="D2" s="67"/>
      <c r="E2" s="67"/>
      <c r="F2" s="67"/>
      <c r="G2" s="67"/>
      <c r="H2" s="69"/>
      <c r="I2" s="67"/>
      <c r="J2" s="67"/>
      <c r="K2" s="67"/>
      <c r="L2" s="67"/>
      <c r="M2" s="67"/>
      <c r="N2" s="67"/>
      <c r="O2" s="67"/>
    </row>
    <row r="3" spans="1:23" x14ac:dyDescent="0.35">
      <c r="A3" s="67"/>
      <c r="B3" s="378" t="s">
        <v>3764</v>
      </c>
      <c r="C3" s="379"/>
      <c r="D3" s="379"/>
      <c r="E3" s="379"/>
      <c r="F3" s="379"/>
      <c r="G3" s="76"/>
      <c r="H3" s="69"/>
      <c r="I3" s="378" t="s">
        <v>3559</v>
      </c>
      <c r="J3" s="379"/>
      <c r="K3" s="379"/>
      <c r="L3" s="379"/>
      <c r="M3" s="379"/>
      <c r="N3" s="76"/>
      <c r="O3" s="67"/>
    </row>
    <row r="4" spans="1:23" x14ac:dyDescent="0.35">
      <c r="A4" s="67"/>
      <c r="B4" s="77"/>
      <c r="C4" s="380"/>
      <c r="D4" s="380"/>
      <c r="E4" s="380"/>
      <c r="F4" s="380"/>
      <c r="G4" s="78"/>
      <c r="H4" s="69"/>
      <c r="I4" s="77"/>
      <c r="J4" s="380"/>
      <c r="K4" s="380"/>
      <c r="L4" s="380"/>
      <c r="M4" s="380"/>
      <c r="N4" s="78"/>
      <c r="O4" s="67"/>
    </row>
    <row r="5" spans="1:23" ht="13.15" x14ac:dyDescent="0.4">
      <c r="A5" s="67"/>
      <c r="B5" s="77"/>
      <c r="C5" s="381" t="s">
        <v>3663</v>
      </c>
      <c r="D5" s="380"/>
      <c r="E5" s="380"/>
      <c r="F5" s="382" t="s">
        <v>1474</v>
      </c>
      <c r="G5" s="78"/>
      <c r="H5" s="69"/>
      <c r="I5" s="77"/>
      <c r="J5" s="381" t="s">
        <v>3663</v>
      </c>
      <c r="K5" s="380"/>
      <c r="L5" s="380"/>
      <c r="M5" s="382" t="s">
        <v>1474</v>
      </c>
      <c r="N5" s="78"/>
      <c r="O5" s="67"/>
      <c r="R5" s="5" t="s">
        <v>1094</v>
      </c>
      <c r="V5" s="5" t="s">
        <v>1095</v>
      </c>
    </row>
    <row r="6" spans="1:23" x14ac:dyDescent="0.35">
      <c r="A6" s="67"/>
      <c r="B6" s="77"/>
      <c r="C6" s="16"/>
      <c r="D6" s="383"/>
      <c r="E6" s="380"/>
      <c r="F6" s="16"/>
      <c r="G6" s="78"/>
      <c r="H6" s="69"/>
      <c r="I6" s="77"/>
      <c r="J6" s="16"/>
      <c r="K6" s="380"/>
      <c r="L6" s="380"/>
      <c r="M6" s="16"/>
      <c r="N6" s="78"/>
      <c r="O6" s="67"/>
      <c r="Q6" s="33" t="s">
        <v>1009</v>
      </c>
      <c r="R6" s="35" t="s">
        <v>1010</v>
      </c>
      <c r="S6" s="34" t="s">
        <v>1093</v>
      </c>
      <c r="U6" s="33" t="s">
        <v>1009</v>
      </c>
      <c r="V6" s="35" t="s">
        <v>1010</v>
      </c>
      <c r="W6" s="34" t="s">
        <v>1093</v>
      </c>
    </row>
    <row r="7" spans="1:23" x14ac:dyDescent="0.35">
      <c r="A7" s="67"/>
      <c r="B7" s="77"/>
      <c r="C7" s="16"/>
      <c r="D7" s="383"/>
      <c r="E7" s="380"/>
      <c r="F7" s="16"/>
      <c r="G7" s="78"/>
      <c r="H7" s="69"/>
      <c r="I7" s="77"/>
      <c r="J7" s="16"/>
      <c r="K7" s="380"/>
      <c r="L7" s="380"/>
      <c r="M7" s="16"/>
      <c r="N7" s="78"/>
      <c r="O7" s="67"/>
      <c r="Q7" s="36">
        <f t="shared" ref="Q7:Q16" si="0">IF(C6&gt;0,1,0)</f>
        <v>0</v>
      </c>
      <c r="R7" s="1">
        <f t="shared" ref="R7:R16" si="1">MAX(C6,1)</f>
        <v>1</v>
      </c>
      <c r="S7" s="37">
        <f t="shared" ref="S7:S16" si="2">TRUNC(F6/R7,0)</f>
        <v>0</v>
      </c>
      <c r="U7" s="36">
        <f t="shared" ref="U7:U21" si="3">IF(J6&gt;0,1,0)</f>
        <v>0</v>
      </c>
      <c r="V7" s="1">
        <f t="shared" ref="V7:V21" si="4">MAX(J6,1)</f>
        <v>1</v>
      </c>
      <c r="W7" s="37">
        <f t="shared" ref="W7:W21" si="5">TRUNC(M6/V7,0)</f>
        <v>0</v>
      </c>
    </row>
    <row r="8" spans="1:23" x14ac:dyDescent="0.35">
      <c r="A8" s="67"/>
      <c r="B8" s="77"/>
      <c r="C8" s="16"/>
      <c r="D8" s="383"/>
      <c r="E8" s="380"/>
      <c r="F8" s="16"/>
      <c r="G8" s="78"/>
      <c r="H8" s="69"/>
      <c r="I8" s="77"/>
      <c r="J8" s="16"/>
      <c r="K8" s="380"/>
      <c r="L8" s="380"/>
      <c r="M8" s="16"/>
      <c r="N8" s="78"/>
      <c r="O8" s="67"/>
      <c r="Q8" s="36">
        <f t="shared" si="0"/>
        <v>0</v>
      </c>
      <c r="R8" s="1">
        <f t="shared" si="1"/>
        <v>1</v>
      </c>
      <c r="S8" s="37">
        <f t="shared" si="2"/>
        <v>0</v>
      </c>
      <c r="U8" s="36">
        <f t="shared" si="3"/>
        <v>0</v>
      </c>
      <c r="V8" s="1">
        <f t="shared" si="4"/>
        <v>1</v>
      </c>
      <c r="W8" s="37">
        <f t="shared" si="5"/>
        <v>0</v>
      </c>
    </row>
    <row r="9" spans="1:23" x14ac:dyDescent="0.35">
      <c r="A9" s="67"/>
      <c r="B9" s="77"/>
      <c r="C9" s="16"/>
      <c r="D9" s="383"/>
      <c r="E9" s="380"/>
      <c r="F9" s="16"/>
      <c r="G9" s="78"/>
      <c r="H9" s="69"/>
      <c r="I9" s="77"/>
      <c r="J9" s="16"/>
      <c r="K9" s="380"/>
      <c r="L9" s="380"/>
      <c r="M9" s="16"/>
      <c r="N9" s="78"/>
      <c r="O9" s="67"/>
      <c r="Q9" s="36">
        <f t="shared" si="0"/>
        <v>0</v>
      </c>
      <c r="R9" s="1">
        <f t="shared" si="1"/>
        <v>1</v>
      </c>
      <c r="S9" s="37">
        <f t="shared" si="2"/>
        <v>0</v>
      </c>
      <c r="U9" s="36">
        <f t="shared" si="3"/>
        <v>0</v>
      </c>
      <c r="V9" s="1">
        <f t="shared" si="4"/>
        <v>1</v>
      </c>
      <c r="W9" s="37">
        <f t="shared" si="5"/>
        <v>0</v>
      </c>
    </row>
    <row r="10" spans="1:23" x14ac:dyDescent="0.35">
      <c r="A10" s="67"/>
      <c r="B10" s="77"/>
      <c r="C10" s="16"/>
      <c r="D10" s="383"/>
      <c r="E10" s="380"/>
      <c r="F10" s="16"/>
      <c r="G10" s="78"/>
      <c r="H10" s="69"/>
      <c r="I10" s="77"/>
      <c r="J10" s="16"/>
      <c r="K10" s="380"/>
      <c r="L10" s="380"/>
      <c r="M10" s="16"/>
      <c r="N10" s="78"/>
      <c r="O10" s="67"/>
      <c r="Q10" s="36">
        <f t="shared" si="0"/>
        <v>0</v>
      </c>
      <c r="R10" s="1">
        <f t="shared" si="1"/>
        <v>1</v>
      </c>
      <c r="S10" s="37">
        <f t="shared" si="2"/>
        <v>0</v>
      </c>
      <c r="U10" s="36">
        <f t="shared" si="3"/>
        <v>0</v>
      </c>
      <c r="V10" s="1">
        <f t="shared" si="4"/>
        <v>1</v>
      </c>
      <c r="W10" s="37">
        <f t="shared" si="5"/>
        <v>0</v>
      </c>
    </row>
    <row r="11" spans="1:23" x14ac:dyDescent="0.35">
      <c r="A11" s="67"/>
      <c r="B11" s="77"/>
      <c r="C11" s="16"/>
      <c r="D11" s="383"/>
      <c r="E11" s="380"/>
      <c r="F11" s="16"/>
      <c r="G11" s="78"/>
      <c r="H11" s="69"/>
      <c r="I11" s="77"/>
      <c r="J11" s="16"/>
      <c r="K11" s="380"/>
      <c r="L11" s="380"/>
      <c r="M11" s="16"/>
      <c r="N11" s="78"/>
      <c r="O11" s="67"/>
      <c r="Q11" s="36">
        <f>IF(C10&gt;0,1,0)</f>
        <v>0</v>
      </c>
      <c r="R11" s="1">
        <f>MAX(C10,1)</f>
        <v>1</v>
      </c>
      <c r="S11" s="37">
        <f>TRUNC(F10/R11,0)</f>
        <v>0</v>
      </c>
      <c r="U11" s="36">
        <f t="shared" si="3"/>
        <v>0</v>
      </c>
      <c r="V11" s="1">
        <f t="shared" si="4"/>
        <v>1</v>
      </c>
      <c r="W11" s="37">
        <f t="shared" si="5"/>
        <v>0</v>
      </c>
    </row>
    <row r="12" spans="1:23" x14ac:dyDescent="0.35">
      <c r="A12" s="67"/>
      <c r="B12" s="77"/>
      <c r="C12" s="16"/>
      <c r="D12" s="383"/>
      <c r="E12" s="380"/>
      <c r="F12" s="16"/>
      <c r="G12" s="78"/>
      <c r="H12" s="69"/>
      <c r="I12" s="77"/>
      <c r="J12" s="16"/>
      <c r="K12" s="380"/>
      <c r="L12" s="380"/>
      <c r="M12" s="16"/>
      <c r="N12" s="78"/>
      <c r="O12" s="67"/>
      <c r="Q12" s="36">
        <f>IF(C11&gt;0,1,0)</f>
        <v>0</v>
      </c>
      <c r="R12" s="1">
        <f>MAX(C11,1)</f>
        <v>1</v>
      </c>
      <c r="S12" s="37">
        <f>TRUNC(F11/R12,0)</f>
        <v>0</v>
      </c>
      <c r="U12" s="36">
        <f t="shared" si="3"/>
        <v>0</v>
      </c>
      <c r="V12" s="1">
        <f t="shared" si="4"/>
        <v>1</v>
      </c>
      <c r="W12" s="37">
        <f t="shared" si="5"/>
        <v>0</v>
      </c>
    </row>
    <row r="13" spans="1:23" x14ac:dyDescent="0.35">
      <c r="A13" s="67"/>
      <c r="B13" s="77"/>
      <c r="C13" s="16"/>
      <c r="D13" s="383"/>
      <c r="E13" s="380"/>
      <c r="F13" s="16"/>
      <c r="G13" s="78"/>
      <c r="H13" s="67"/>
      <c r="I13" s="77"/>
      <c r="J13" s="16"/>
      <c r="K13" s="380"/>
      <c r="L13" s="380"/>
      <c r="M13" s="16"/>
      <c r="N13" s="78"/>
      <c r="O13" s="67"/>
      <c r="Q13" s="36">
        <f>IF(C12&gt;0,1,0)</f>
        <v>0</v>
      </c>
      <c r="R13" s="1">
        <f>MAX(C12,1)</f>
        <v>1</v>
      </c>
      <c r="S13" s="37">
        <f>TRUNC(F12/R13,0)</f>
        <v>0</v>
      </c>
      <c r="U13" s="36">
        <f t="shared" si="3"/>
        <v>0</v>
      </c>
      <c r="V13" s="1">
        <f t="shared" si="4"/>
        <v>1</v>
      </c>
      <c r="W13" s="37">
        <f t="shared" si="5"/>
        <v>0</v>
      </c>
    </row>
    <row r="14" spans="1:23" x14ac:dyDescent="0.35">
      <c r="A14" s="67"/>
      <c r="B14" s="77"/>
      <c r="C14" s="16"/>
      <c r="D14" s="383"/>
      <c r="E14" s="380"/>
      <c r="F14" s="16"/>
      <c r="G14" s="78"/>
      <c r="H14" s="67"/>
      <c r="I14" s="77"/>
      <c r="J14" s="16"/>
      <c r="K14" s="380"/>
      <c r="L14" s="380"/>
      <c r="M14" s="16"/>
      <c r="N14" s="78"/>
      <c r="O14" s="67"/>
      <c r="Q14" s="36">
        <f t="shared" si="0"/>
        <v>0</v>
      </c>
      <c r="R14" s="1">
        <f t="shared" si="1"/>
        <v>1</v>
      </c>
      <c r="S14" s="37">
        <f t="shared" si="2"/>
        <v>0</v>
      </c>
      <c r="U14" s="36">
        <f t="shared" si="3"/>
        <v>0</v>
      </c>
      <c r="V14" s="1">
        <f t="shared" si="4"/>
        <v>1</v>
      </c>
      <c r="W14" s="37">
        <f t="shared" si="5"/>
        <v>0</v>
      </c>
    </row>
    <row r="15" spans="1:23" x14ac:dyDescent="0.35">
      <c r="A15" s="67"/>
      <c r="B15" s="77"/>
      <c r="C15" s="16"/>
      <c r="D15" s="383"/>
      <c r="E15" s="380"/>
      <c r="F15" s="16"/>
      <c r="G15" s="78"/>
      <c r="H15" s="67"/>
      <c r="I15" s="77"/>
      <c r="J15" s="16"/>
      <c r="K15" s="380"/>
      <c r="L15" s="380"/>
      <c r="M15" s="16"/>
      <c r="N15" s="78"/>
      <c r="O15" s="67"/>
      <c r="Q15" s="36">
        <f t="shared" si="0"/>
        <v>0</v>
      </c>
      <c r="R15" s="1">
        <f t="shared" si="1"/>
        <v>1</v>
      </c>
      <c r="S15" s="37">
        <f t="shared" si="2"/>
        <v>0</v>
      </c>
      <c r="U15" s="36">
        <f t="shared" si="3"/>
        <v>0</v>
      </c>
      <c r="V15" s="1">
        <f t="shared" si="4"/>
        <v>1</v>
      </c>
      <c r="W15" s="37">
        <f t="shared" si="5"/>
        <v>0</v>
      </c>
    </row>
    <row r="16" spans="1:23" ht="13.15" x14ac:dyDescent="0.4">
      <c r="A16" s="67"/>
      <c r="B16" s="77"/>
      <c r="C16" s="380"/>
      <c r="D16" s="380"/>
      <c r="E16" s="201">
        <f>AOI!C19</f>
        <v>6</v>
      </c>
      <c r="F16" s="46">
        <f>SUM(F6:F15)</f>
        <v>0</v>
      </c>
      <c r="G16" s="78"/>
      <c r="H16" s="67"/>
      <c r="I16" s="77"/>
      <c r="J16" s="16"/>
      <c r="K16" s="380"/>
      <c r="L16" s="380"/>
      <c r="M16" s="16"/>
      <c r="N16" s="78"/>
      <c r="O16" s="67"/>
      <c r="Q16" s="36">
        <f t="shared" si="0"/>
        <v>0</v>
      </c>
      <c r="R16" s="1">
        <f t="shared" si="1"/>
        <v>1</v>
      </c>
      <c r="S16" s="37">
        <f t="shared" si="2"/>
        <v>0</v>
      </c>
      <c r="U16" s="36">
        <f t="shared" si="3"/>
        <v>0</v>
      </c>
      <c r="V16" s="1">
        <f t="shared" si="4"/>
        <v>1</v>
      </c>
      <c r="W16" s="37">
        <f t="shared" si="5"/>
        <v>0</v>
      </c>
    </row>
    <row r="17" spans="1:23" x14ac:dyDescent="0.35">
      <c r="A17" s="67"/>
      <c r="B17" s="79"/>
      <c r="C17" s="384"/>
      <c r="D17" s="384"/>
      <c r="E17" s="384"/>
      <c r="F17" s="384"/>
      <c r="G17" s="80"/>
      <c r="H17" s="67"/>
      <c r="I17" s="77"/>
      <c r="J17" s="16"/>
      <c r="K17" s="380"/>
      <c r="L17" s="380"/>
      <c r="M17" s="16"/>
      <c r="N17" s="78"/>
      <c r="O17" s="67"/>
      <c r="Q17" s="3">
        <f>SUM(Q7:Q16)</f>
        <v>0</v>
      </c>
      <c r="R17" s="3">
        <f>SUM(C6:C15)</f>
        <v>0</v>
      </c>
      <c r="S17" s="3">
        <f>SUM(S7:S16)</f>
        <v>0</v>
      </c>
      <c r="U17" s="36">
        <f t="shared" si="3"/>
        <v>0</v>
      </c>
      <c r="V17" s="1">
        <f t="shared" si="4"/>
        <v>1</v>
      </c>
      <c r="W17" s="37">
        <f t="shared" si="5"/>
        <v>0</v>
      </c>
    </row>
    <row r="18" spans="1:23" x14ac:dyDescent="0.35">
      <c r="A18" s="67"/>
      <c r="B18" s="67"/>
      <c r="C18" s="67"/>
      <c r="D18" s="67"/>
      <c r="E18" s="67"/>
      <c r="F18" s="67"/>
      <c r="G18" s="67"/>
      <c r="H18" s="67"/>
      <c r="I18" s="77"/>
      <c r="J18" s="16"/>
      <c r="K18" s="380"/>
      <c r="L18" s="380"/>
      <c r="M18" s="16"/>
      <c r="N18" s="78"/>
      <c r="O18" s="67"/>
      <c r="U18" s="36">
        <f t="shared" si="3"/>
        <v>0</v>
      </c>
      <c r="V18" s="1">
        <f t="shared" si="4"/>
        <v>1</v>
      </c>
      <c r="W18" s="37">
        <f t="shared" si="5"/>
        <v>0</v>
      </c>
    </row>
    <row r="19" spans="1:23" x14ac:dyDescent="0.35">
      <c r="A19" s="67"/>
      <c r="B19" s="67"/>
      <c r="C19" s="67"/>
      <c r="D19" s="67"/>
      <c r="E19" s="67"/>
      <c r="F19" s="67"/>
      <c r="G19" s="67"/>
      <c r="H19" s="67"/>
      <c r="I19" s="77"/>
      <c r="J19" s="16"/>
      <c r="K19" s="380"/>
      <c r="L19" s="380"/>
      <c r="M19" s="16"/>
      <c r="N19" s="78"/>
      <c r="O19" s="67"/>
      <c r="U19" s="36">
        <f t="shared" si="3"/>
        <v>0</v>
      </c>
      <c r="V19" s="1">
        <f t="shared" si="4"/>
        <v>1</v>
      </c>
      <c r="W19" s="37">
        <f t="shared" si="5"/>
        <v>0</v>
      </c>
    </row>
    <row r="20" spans="1:23" ht="13.15" x14ac:dyDescent="0.4">
      <c r="A20" s="67"/>
      <c r="B20" s="67"/>
      <c r="C20" s="67"/>
      <c r="D20" s="74" t="s">
        <v>2505</v>
      </c>
      <c r="E20" s="201" t="s">
        <v>2663</v>
      </c>
      <c r="F20" s="47" t="str">
        <f>IF(total_all_gains,'TSR (c17)'!M95,"")</f>
        <v/>
      </c>
      <c r="G20" s="67"/>
      <c r="H20" s="67"/>
      <c r="I20" s="77"/>
      <c r="J20" s="16"/>
      <c r="K20" s="380"/>
      <c r="L20" s="380"/>
      <c r="M20" s="16"/>
      <c r="N20" s="78"/>
      <c r="O20" s="67"/>
      <c r="Q20" t="b">
        <f>OR(Q17&gt;1,U22&gt;1,No_of_for_gains&gt;1)</f>
        <v>0</v>
      </c>
      <c r="U20" s="36">
        <f t="shared" si="3"/>
        <v>0</v>
      </c>
      <c r="V20" s="1">
        <f t="shared" si="4"/>
        <v>1</v>
      </c>
      <c r="W20" s="37">
        <f t="shared" si="5"/>
        <v>0</v>
      </c>
    </row>
    <row r="21" spans="1:23" ht="13.15" x14ac:dyDescent="0.4">
      <c r="A21" s="67"/>
      <c r="B21" s="67"/>
      <c r="C21" s="67"/>
      <c r="D21" s="67"/>
      <c r="E21" s="67"/>
      <c r="F21" s="67"/>
      <c r="G21" s="67"/>
      <c r="H21" s="67"/>
      <c r="I21" s="77"/>
      <c r="J21" s="380"/>
      <c r="K21" s="380"/>
      <c r="L21" s="201">
        <f>AOI!C13</f>
        <v>4</v>
      </c>
      <c r="M21" s="46">
        <f>SUM(M6:M20)</f>
        <v>0</v>
      </c>
      <c r="N21" s="78"/>
      <c r="O21" s="67"/>
      <c r="U21" s="36">
        <f t="shared" si="3"/>
        <v>0</v>
      </c>
      <c r="V21" s="1">
        <f t="shared" si="4"/>
        <v>1</v>
      </c>
      <c r="W21" s="37">
        <f t="shared" si="5"/>
        <v>0</v>
      </c>
    </row>
    <row r="22" spans="1:23" x14ac:dyDescent="0.35">
      <c r="A22" s="67"/>
      <c r="B22" s="67"/>
      <c r="C22" s="67"/>
      <c r="D22" s="67"/>
      <c r="E22" s="67"/>
      <c r="F22" s="67"/>
      <c r="G22" s="67"/>
      <c r="H22" s="67"/>
      <c r="I22" s="79"/>
      <c r="J22" s="384"/>
      <c r="K22" s="384"/>
      <c r="L22" s="384"/>
      <c r="M22" s="384"/>
      <c r="N22" s="80"/>
      <c r="O22" s="67"/>
      <c r="U22" s="3">
        <f>SUM(U7:U21)</f>
        <v>0</v>
      </c>
      <c r="V22" s="3">
        <f>SUM(J6:J20)</f>
        <v>0</v>
      </c>
      <c r="W22" s="3">
        <f>SUM(W7:W21)</f>
        <v>0</v>
      </c>
    </row>
    <row r="23" spans="1:23" x14ac:dyDescent="0.35">
      <c r="A23" s="544" t="s">
        <v>1964</v>
      </c>
      <c r="B23" s="76"/>
      <c r="C23" s="67"/>
      <c r="D23" s="67"/>
      <c r="E23" s="67"/>
      <c r="F23" s="67"/>
      <c r="G23" s="67"/>
      <c r="H23" s="67"/>
      <c r="I23" s="67"/>
      <c r="J23" s="67"/>
      <c r="K23" s="67"/>
      <c r="L23" s="67"/>
      <c r="M23" s="67"/>
      <c r="N23" s="67"/>
      <c r="O23" s="67"/>
    </row>
    <row r="24" spans="1:23" x14ac:dyDescent="0.35">
      <c r="A24" s="545" t="s">
        <v>1965</v>
      </c>
      <c r="B24" s="78"/>
      <c r="C24" s="67"/>
      <c r="D24" s="67"/>
      <c r="E24" s="67"/>
      <c r="F24" s="67"/>
      <c r="G24" s="67"/>
      <c r="H24" s="67"/>
      <c r="I24" s="67"/>
      <c r="J24" s="67"/>
      <c r="K24" s="67"/>
      <c r="L24" s="72"/>
      <c r="M24" s="71"/>
      <c r="N24" s="67"/>
      <c r="O24" s="67"/>
    </row>
    <row r="25" spans="1:23" x14ac:dyDescent="0.35">
      <c r="A25" s="545" t="s">
        <v>1966</v>
      </c>
      <c r="B25" s="78"/>
      <c r="C25" s="67"/>
      <c r="D25" s="67"/>
      <c r="E25" s="67"/>
      <c r="F25" s="67"/>
      <c r="G25" s="67"/>
      <c r="H25" s="67"/>
      <c r="I25" s="67"/>
      <c r="J25" s="67"/>
      <c r="K25" s="67"/>
      <c r="L25" s="67"/>
      <c r="M25" s="67"/>
      <c r="N25" s="67"/>
      <c r="O25" s="67"/>
    </row>
    <row r="26" spans="1:23" x14ac:dyDescent="0.35">
      <c r="A26" s="546" t="s">
        <v>1967</v>
      </c>
      <c r="B26" s="80"/>
      <c r="C26" s="67"/>
      <c r="D26" s="67"/>
      <c r="E26" s="67"/>
      <c r="F26" s="67"/>
      <c r="G26" s="67"/>
      <c r="H26" s="67"/>
      <c r="I26" s="67"/>
      <c r="J26" s="67"/>
      <c r="K26" s="67"/>
      <c r="L26" s="72"/>
      <c r="M26" s="71"/>
      <c r="N26" s="67"/>
      <c r="O26" s="67"/>
    </row>
    <row r="27" spans="1:23" x14ac:dyDescent="0.35">
      <c r="A27" s="67"/>
      <c r="B27" s="67"/>
      <c r="C27" s="67"/>
      <c r="D27" s="67"/>
      <c r="E27" s="67"/>
      <c r="F27" s="67"/>
      <c r="G27" s="67"/>
      <c r="H27" s="67"/>
      <c r="I27" s="67"/>
      <c r="J27" s="67"/>
      <c r="K27" s="67"/>
      <c r="L27" s="67"/>
      <c r="M27" s="67"/>
      <c r="N27" s="67"/>
      <c r="O27" s="67"/>
    </row>
    <row r="28" spans="1:23" x14ac:dyDescent="0.35">
      <c r="A28" s="67"/>
      <c r="B28" s="67"/>
      <c r="C28" s="67"/>
      <c r="D28" s="67"/>
      <c r="E28" s="67"/>
      <c r="F28" s="67"/>
      <c r="G28" s="67"/>
      <c r="H28" s="67"/>
      <c r="I28" s="67"/>
      <c r="J28" s="67"/>
      <c r="K28" s="67"/>
      <c r="L28" s="72"/>
      <c r="M28" s="71"/>
      <c r="N28" s="67"/>
      <c r="O28" s="67"/>
    </row>
    <row r="29" spans="1:23" x14ac:dyDescent="0.35">
      <c r="A29" s="67"/>
      <c r="B29" s="67"/>
      <c r="C29" s="67"/>
      <c r="D29" s="67"/>
      <c r="E29" s="67"/>
      <c r="F29" s="67"/>
      <c r="G29" s="67"/>
      <c r="H29" s="67"/>
      <c r="I29" s="67"/>
      <c r="J29" s="67"/>
      <c r="K29" s="67"/>
      <c r="L29" s="72"/>
      <c r="M29" s="71"/>
      <c r="N29" s="67"/>
      <c r="O29" s="67"/>
    </row>
    <row r="30" spans="1:23" x14ac:dyDescent="0.35">
      <c r="A30" s="67"/>
      <c r="B30" s="67"/>
      <c r="C30" s="67"/>
      <c r="D30" s="67"/>
      <c r="E30" s="67"/>
      <c r="F30" s="67"/>
      <c r="G30" s="67"/>
      <c r="H30" s="67"/>
      <c r="I30" s="67"/>
      <c r="J30" s="67"/>
      <c r="K30" s="67"/>
      <c r="L30" s="72"/>
      <c r="M30" s="71"/>
      <c r="N30" s="67"/>
      <c r="O30" s="67"/>
    </row>
    <row r="31" spans="1:23" x14ac:dyDescent="0.35">
      <c r="A31" s="67"/>
      <c r="B31" s="67"/>
      <c r="C31" s="67"/>
      <c r="D31" s="67"/>
      <c r="E31" s="67"/>
      <c r="F31" s="67"/>
      <c r="G31" s="67"/>
      <c r="H31" s="67"/>
      <c r="I31" s="67"/>
      <c r="J31" s="67"/>
      <c r="K31" s="67"/>
      <c r="L31" s="72"/>
      <c r="M31" s="71"/>
      <c r="N31" s="67"/>
      <c r="O31" s="67"/>
    </row>
    <row r="32" spans="1:23" x14ac:dyDescent="0.35">
      <c r="A32" s="67"/>
      <c r="B32" s="67"/>
      <c r="C32" s="67"/>
      <c r="D32" s="67"/>
      <c r="E32" s="67"/>
      <c r="F32" s="67"/>
      <c r="G32" s="67"/>
      <c r="H32" s="67"/>
      <c r="I32" s="67"/>
      <c r="J32" s="67"/>
      <c r="K32" s="67"/>
      <c r="L32" s="72"/>
      <c r="M32" s="71"/>
      <c r="N32" s="67"/>
      <c r="O32" s="67"/>
    </row>
    <row r="33" spans="1:15" x14ac:dyDescent="0.35">
      <c r="A33" s="67"/>
      <c r="B33" s="67"/>
      <c r="C33" s="67"/>
      <c r="D33" s="67"/>
      <c r="E33" s="67"/>
      <c r="F33" s="67"/>
      <c r="G33" s="67"/>
      <c r="H33" s="67"/>
      <c r="I33" s="67"/>
      <c r="J33" s="67"/>
      <c r="K33" s="67"/>
      <c r="L33" s="72"/>
      <c r="M33" s="71"/>
      <c r="N33" s="67"/>
      <c r="O33" s="67"/>
    </row>
  </sheetData>
  <sheetProtection sheet="1" objects="1" scenarios="1"/>
  <phoneticPr fontId="68" type="noConversion"/>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ulti_UK_Gains">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K30"/>
  <sheetViews>
    <sheetView showGridLines="0" showRowColHeaders="0" topLeftCell="B1" workbookViewId="0">
      <selection activeCell="F19" sqref="F19"/>
    </sheetView>
  </sheetViews>
  <sheetFormatPr defaultColWidth="9.1328125" defaultRowHeight="11.65" x14ac:dyDescent="0.35"/>
  <cols>
    <col min="1" max="1" width="10" style="206" hidden="1" customWidth="1"/>
    <col min="2" max="2" width="12.59765625" style="206" customWidth="1"/>
    <col min="3" max="3" width="4.59765625" style="40" customWidth="1"/>
    <col min="4" max="4" width="12.73046875" style="206" customWidth="1"/>
    <col min="5" max="5" width="9.1328125" style="206"/>
    <col min="6" max="6" width="16.73046875" style="206" customWidth="1"/>
    <col min="7" max="7" width="5" style="222" customWidth="1"/>
    <col min="8" max="8" width="12.73046875" style="206" customWidth="1"/>
    <col min="9" max="9" width="26.3984375" style="206" customWidth="1"/>
    <col min="10" max="10" width="3.265625" style="206" customWidth="1"/>
    <col min="11" max="11" width="27.3984375" style="206" customWidth="1"/>
    <col min="12" max="16384" width="9.1328125" style="206"/>
  </cols>
  <sheetData>
    <row r="1" spans="1:11" ht="13.15" x14ac:dyDescent="0.4">
      <c r="A1" s="206" t="s">
        <v>6</v>
      </c>
      <c r="B1" s="164"/>
      <c r="C1" s="68" t="s">
        <v>2625</v>
      </c>
      <c r="D1" s="164"/>
      <c r="E1" s="164"/>
      <c r="F1" s="164"/>
      <c r="G1" s="218"/>
      <c r="H1" s="164"/>
      <c r="I1" s="164"/>
      <c r="J1" s="164"/>
      <c r="K1" s="164"/>
    </row>
    <row r="2" spans="1:11" ht="14.25" customHeight="1" x14ac:dyDescent="0.35">
      <c r="B2" s="164"/>
      <c r="C2" s="85"/>
      <c r="D2" s="164"/>
      <c r="E2" s="164"/>
      <c r="F2" s="164"/>
      <c r="G2" s="218"/>
      <c r="H2" s="164"/>
      <c r="I2" s="164"/>
      <c r="J2" s="164"/>
      <c r="K2" s="164"/>
    </row>
    <row r="3" spans="1:11" x14ac:dyDescent="0.35">
      <c r="A3" s="206">
        <v>1</v>
      </c>
      <c r="B3" s="164"/>
      <c r="C3" s="211" t="s">
        <v>7</v>
      </c>
      <c r="D3" s="180"/>
      <c r="E3" s="180"/>
      <c r="F3" s="180"/>
      <c r="G3" s="219"/>
      <c r="H3" s="180"/>
      <c r="I3" s="180"/>
      <c r="J3" s="456" t="s">
        <v>6</v>
      </c>
      <c r="K3" s="164"/>
    </row>
    <row r="4" spans="1:11" x14ac:dyDescent="0.35">
      <c r="A4" s="206">
        <v>2</v>
      </c>
      <c r="B4" s="164"/>
      <c r="C4" s="208"/>
      <c r="D4" s="199"/>
      <c r="E4" s="166"/>
      <c r="F4" s="166"/>
      <c r="G4" s="220"/>
      <c r="H4" s="166"/>
      <c r="I4" s="198"/>
      <c r="J4" s="183"/>
      <c r="K4" s="164"/>
    </row>
    <row r="5" spans="1:11" x14ac:dyDescent="0.35">
      <c r="A5" s="206">
        <v>3</v>
      </c>
      <c r="B5" s="164"/>
      <c r="C5" s="190">
        <f>A3</f>
        <v>1</v>
      </c>
      <c r="D5" s="166" t="s">
        <v>666</v>
      </c>
      <c r="E5" s="166"/>
      <c r="F5" s="166"/>
      <c r="G5" s="220"/>
      <c r="H5" s="166"/>
      <c r="I5" s="198"/>
      <c r="J5" s="183"/>
      <c r="K5" s="164"/>
    </row>
    <row r="6" spans="1:11" ht="12.75" x14ac:dyDescent="0.35">
      <c r="A6" s="206">
        <v>4</v>
      </c>
      <c r="B6" s="164"/>
      <c r="C6" s="208"/>
      <c r="D6" s="209"/>
      <c r="E6" s="166"/>
      <c r="F6" s="166"/>
      <c r="G6" s="220"/>
      <c r="H6" s="166"/>
      <c r="I6" s="198"/>
      <c r="J6" s="183"/>
      <c r="K6" s="164"/>
    </row>
    <row r="7" spans="1:11" x14ac:dyDescent="0.35">
      <c r="A7" s="206">
        <v>5</v>
      </c>
      <c r="B7" s="164"/>
      <c r="C7" s="208"/>
      <c r="D7" s="199"/>
      <c r="E7" s="166"/>
      <c r="F7" s="166"/>
      <c r="G7" s="220"/>
      <c r="H7" s="166"/>
      <c r="I7" s="198"/>
      <c r="J7" s="183"/>
      <c r="K7" s="164"/>
    </row>
    <row r="8" spans="1:11" x14ac:dyDescent="0.35">
      <c r="A8" s="206">
        <v>6</v>
      </c>
      <c r="B8" s="164"/>
      <c r="C8" s="454">
        <f>A5</f>
        <v>3</v>
      </c>
      <c r="D8" s="207" t="s">
        <v>1422</v>
      </c>
      <c r="E8" s="166"/>
      <c r="F8" s="166"/>
      <c r="G8" s="220"/>
      <c r="H8" s="166"/>
      <c r="I8" s="198"/>
      <c r="J8" s="183"/>
      <c r="K8" s="164"/>
    </row>
    <row r="9" spans="1:11" x14ac:dyDescent="0.35">
      <c r="A9" s="206">
        <v>7</v>
      </c>
      <c r="B9" s="164"/>
      <c r="C9" s="457"/>
      <c r="D9" s="191"/>
      <c r="E9" s="166"/>
      <c r="F9" s="166"/>
      <c r="G9" s="220"/>
      <c r="H9" s="166"/>
      <c r="I9" s="198"/>
      <c r="J9" s="183"/>
      <c r="K9" s="164"/>
    </row>
    <row r="10" spans="1:11" x14ac:dyDescent="0.35">
      <c r="A10" s="206">
        <v>8</v>
      </c>
      <c r="B10" s="164"/>
      <c r="C10" s="457"/>
      <c r="D10" s="199"/>
      <c r="E10" s="166"/>
      <c r="F10" s="166"/>
      <c r="G10" s="220"/>
      <c r="H10" s="166"/>
      <c r="I10" s="198"/>
      <c r="J10" s="183"/>
      <c r="K10" s="164"/>
    </row>
    <row r="11" spans="1:11" x14ac:dyDescent="0.35">
      <c r="A11" s="206">
        <v>9</v>
      </c>
      <c r="B11" s="164"/>
      <c r="C11" s="454">
        <f>A6</f>
        <v>4</v>
      </c>
      <c r="D11" s="207" t="s">
        <v>667</v>
      </c>
      <c r="E11" s="166"/>
      <c r="F11" s="166"/>
      <c r="G11" s="223">
        <f>A13</f>
        <v>11</v>
      </c>
      <c r="H11" s="215" t="s">
        <v>3531</v>
      </c>
      <c r="I11" s="198"/>
      <c r="J11" s="183"/>
      <c r="K11" s="164"/>
    </row>
    <row r="12" spans="1:11" x14ac:dyDescent="0.35">
      <c r="A12" s="206">
        <v>10</v>
      </c>
      <c r="B12" s="164"/>
      <c r="C12" s="457"/>
      <c r="D12" s="191"/>
      <c r="E12" s="166"/>
      <c r="F12" s="166"/>
      <c r="G12" s="220"/>
      <c r="H12" s="224"/>
      <c r="I12" s="198"/>
      <c r="J12" s="183"/>
      <c r="K12" s="164"/>
    </row>
    <row r="13" spans="1:11" x14ac:dyDescent="0.35">
      <c r="A13" s="206">
        <v>11</v>
      </c>
      <c r="B13" s="164"/>
      <c r="C13" s="457"/>
      <c r="D13" s="199"/>
      <c r="E13" s="166"/>
      <c r="F13" s="166"/>
      <c r="G13" s="220"/>
      <c r="H13" s="166"/>
      <c r="I13" s="198"/>
      <c r="J13" s="183"/>
      <c r="K13" s="164"/>
    </row>
    <row r="14" spans="1:11" x14ac:dyDescent="0.35">
      <c r="A14" s="206">
        <v>12</v>
      </c>
      <c r="B14" s="164"/>
      <c r="C14" s="454">
        <f>A7</f>
        <v>5</v>
      </c>
      <c r="D14" s="207" t="s">
        <v>1421</v>
      </c>
      <c r="E14" s="166"/>
      <c r="F14" s="216"/>
      <c r="G14" s="223">
        <f>A14</f>
        <v>12</v>
      </c>
      <c r="H14" s="217" t="s">
        <v>3530</v>
      </c>
      <c r="I14" s="198"/>
      <c r="J14" s="183"/>
      <c r="K14" s="164"/>
    </row>
    <row r="15" spans="1:11" x14ac:dyDescent="0.35">
      <c r="A15" s="206">
        <v>13</v>
      </c>
      <c r="B15" s="164"/>
      <c r="C15" s="457"/>
      <c r="D15" s="191"/>
      <c r="E15" s="166"/>
      <c r="F15" s="166"/>
      <c r="G15" s="220"/>
      <c r="H15" s="224"/>
      <c r="I15" s="198"/>
      <c r="J15" s="183"/>
      <c r="K15" s="164"/>
    </row>
    <row r="16" spans="1:11" x14ac:dyDescent="0.35">
      <c r="A16" s="206">
        <v>14</v>
      </c>
      <c r="B16" s="164"/>
      <c r="C16" s="457"/>
      <c r="D16" s="199"/>
      <c r="E16" s="166"/>
      <c r="F16" s="166"/>
      <c r="G16" s="220"/>
      <c r="H16" s="166"/>
      <c r="I16" s="198"/>
      <c r="J16" s="183"/>
      <c r="K16" s="164"/>
    </row>
    <row r="17" spans="1:11" x14ac:dyDescent="0.35">
      <c r="A17" s="206">
        <v>15</v>
      </c>
      <c r="B17" s="164"/>
      <c r="C17" s="454">
        <f>A8</f>
        <v>6</v>
      </c>
      <c r="D17" s="166" t="str">
        <f>"Tax taken off boxes "&amp;C8&amp;" to "&amp;C14</f>
        <v>Tax taken off boxes 3 to 5</v>
      </c>
      <c r="E17" s="166"/>
      <c r="F17" s="166"/>
      <c r="G17" s="223">
        <f>A15</f>
        <v>13</v>
      </c>
      <c r="H17" s="217" t="s">
        <v>587</v>
      </c>
      <c r="I17" s="198"/>
      <c r="J17" s="183"/>
      <c r="K17" s="164"/>
    </row>
    <row r="18" spans="1:11" x14ac:dyDescent="0.35">
      <c r="B18" s="164"/>
      <c r="C18" s="208"/>
      <c r="D18" s="210"/>
      <c r="E18" s="166"/>
      <c r="F18" s="166"/>
      <c r="G18" s="220"/>
      <c r="H18" s="224"/>
      <c r="I18" s="198"/>
      <c r="J18" s="183"/>
      <c r="K18" s="164"/>
    </row>
    <row r="19" spans="1:11" x14ac:dyDescent="0.35">
      <c r="B19" s="164"/>
      <c r="C19" s="208"/>
      <c r="D19" s="166"/>
      <c r="E19" s="166"/>
      <c r="F19" s="166"/>
      <c r="G19" s="166"/>
      <c r="H19" s="166"/>
      <c r="I19" s="198"/>
      <c r="J19" s="183"/>
      <c r="K19" s="164"/>
    </row>
    <row r="20" spans="1:11" x14ac:dyDescent="0.35">
      <c r="B20" s="164"/>
      <c r="C20" s="208"/>
      <c r="D20" s="166"/>
      <c r="E20" s="166"/>
      <c r="F20" s="166"/>
      <c r="G20" s="223">
        <f>A17</f>
        <v>15</v>
      </c>
      <c r="H20" s="217" t="s">
        <v>737</v>
      </c>
      <c r="I20" s="198"/>
      <c r="J20" s="183"/>
      <c r="K20" s="164"/>
    </row>
    <row r="21" spans="1:11" x14ac:dyDescent="0.35">
      <c r="B21" s="164"/>
      <c r="C21" s="208"/>
      <c r="D21" s="166"/>
      <c r="E21" s="166"/>
      <c r="F21" s="166"/>
      <c r="G21" s="220"/>
      <c r="H21" s="224"/>
      <c r="I21" s="198"/>
      <c r="J21" s="183"/>
      <c r="K21" s="164"/>
    </row>
    <row r="22" spans="1:11" x14ac:dyDescent="0.35">
      <c r="B22" s="164"/>
      <c r="C22" s="212"/>
      <c r="D22" s="213"/>
      <c r="E22" s="188"/>
      <c r="F22" s="188"/>
      <c r="G22" s="221"/>
      <c r="H22" s="188"/>
      <c r="I22" s="214"/>
      <c r="J22" s="189"/>
      <c r="K22" s="164"/>
    </row>
    <row r="23" spans="1:11" x14ac:dyDescent="0.35">
      <c r="B23" s="164"/>
      <c r="C23" s="164"/>
      <c r="D23" s="164"/>
      <c r="E23" s="164"/>
      <c r="F23" s="164"/>
      <c r="G23" s="164"/>
      <c r="H23" s="164"/>
      <c r="I23" s="164"/>
      <c r="J23" s="164"/>
      <c r="K23" s="164"/>
    </row>
    <row r="24" spans="1:11" x14ac:dyDescent="0.35">
      <c r="B24" s="164"/>
      <c r="C24" s="85"/>
      <c r="D24" s="164"/>
      <c r="E24" s="164"/>
      <c r="F24" s="164"/>
      <c r="G24" s="218"/>
      <c r="H24" s="164"/>
      <c r="I24" s="164"/>
      <c r="J24" s="164"/>
      <c r="K24" s="164"/>
    </row>
    <row r="25" spans="1:11" x14ac:dyDescent="0.35">
      <c r="B25" s="164"/>
      <c r="C25" s="85"/>
      <c r="D25" s="164"/>
      <c r="E25" s="164"/>
      <c r="F25" s="164"/>
      <c r="G25" s="218"/>
      <c r="H25" s="164"/>
      <c r="I25" s="164"/>
      <c r="J25" s="164"/>
      <c r="K25" s="164"/>
    </row>
    <row r="26" spans="1:11" x14ac:dyDescent="0.35">
      <c r="B26" s="164"/>
      <c r="C26" s="85"/>
      <c r="D26" s="164"/>
      <c r="E26" s="164"/>
      <c r="F26" s="164"/>
      <c r="G26" s="218"/>
      <c r="H26" s="164"/>
      <c r="I26" s="164"/>
      <c r="J26" s="164"/>
      <c r="K26" s="164"/>
    </row>
    <row r="27" spans="1:11" x14ac:dyDescent="0.35">
      <c r="B27" s="164"/>
      <c r="C27" s="85"/>
      <c r="D27" s="164"/>
      <c r="E27" s="164"/>
      <c r="F27" s="164"/>
      <c r="G27" s="218"/>
      <c r="H27" s="164"/>
      <c r="I27" s="164"/>
      <c r="J27" s="164"/>
      <c r="K27" s="164"/>
    </row>
    <row r="28" spans="1:11" x14ac:dyDescent="0.35">
      <c r="B28" s="164"/>
      <c r="C28" s="85"/>
      <c r="D28" s="164"/>
      <c r="E28" s="164"/>
      <c r="F28" s="164"/>
      <c r="G28" s="218"/>
      <c r="H28" s="164"/>
      <c r="I28" s="164"/>
      <c r="J28" s="164"/>
      <c r="K28" s="164"/>
    </row>
    <row r="29" spans="1:11" x14ac:dyDescent="0.35">
      <c r="B29" s="164"/>
      <c r="C29" s="85"/>
      <c r="D29" s="164"/>
      <c r="E29" s="164"/>
      <c r="F29" s="164"/>
      <c r="G29" s="218"/>
      <c r="H29" s="164"/>
      <c r="I29" s="164"/>
      <c r="J29" s="164"/>
      <c r="K29" s="164"/>
    </row>
    <row r="30" spans="1:11" x14ac:dyDescent="0.35">
      <c r="B30" s="164"/>
      <c r="C30" s="85"/>
      <c r="D30" s="164"/>
      <c r="E30" s="164"/>
      <c r="F30" s="164"/>
      <c r="G30" s="218"/>
      <c r="H30" s="164"/>
      <c r="I30" s="164"/>
      <c r="J30" s="164"/>
      <c r="K30" s="164"/>
    </row>
  </sheetData>
  <sheetProtection sheet="1" objects="1" scenarios="1"/>
  <phoneticPr fontId="68" type="noConversion"/>
  <pageMargins left="0.75" right="0.75" top="1" bottom="1" header="0.5" footer="0.5"/>
  <pageSetup paperSize="9" orientation="landscape" horizontalDpi="1200" verticalDpi="1200"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3"/>
  <sheetViews>
    <sheetView showGridLines="0" showRowColHeaders="0" topLeftCell="B1" workbookViewId="0">
      <selection activeCell="M7" sqref="M7"/>
    </sheetView>
  </sheetViews>
  <sheetFormatPr defaultColWidth="9.1328125" defaultRowHeight="11.65" x14ac:dyDescent="0.35"/>
  <cols>
    <col min="1" max="1" width="4.59765625" style="163" hidden="1" customWidth="1"/>
    <col min="2" max="2" width="12.3984375" style="163" customWidth="1"/>
    <col min="3" max="3" width="5.3984375" style="163" customWidth="1"/>
    <col min="4" max="4" width="15.73046875" style="163" customWidth="1"/>
    <col min="5" max="6" width="13.1328125" style="163" customWidth="1"/>
    <col min="7" max="7" width="5" style="163" customWidth="1"/>
    <col min="8" max="8" width="13.73046875" style="163" customWidth="1"/>
    <col min="9" max="9" width="9.73046875" style="163" customWidth="1"/>
    <col min="10" max="10" width="18.59765625" style="163" customWidth="1"/>
    <col min="11" max="11" width="26.86328125" style="163" customWidth="1"/>
    <col min="12" max="12" width="7.73046875" style="163" customWidth="1"/>
    <col min="13" max="13" width="9.1328125" style="163"/>
    <col min="14" max="14" width="4.59765625" style="163" customWidth="1"/>
    <col min="15" max="16" width="5.1328125" style="163" customWidth="1"/>
    <col min="17" max="17" width="10.3984375" style="163" customWidth="1"/>
    <col min="18" max="18" width="3.1328125" style="163" customWidth="1"/>
    <col min="19" max="19" width="2.265625" style="163" customWidth="1"/>
    <col min="20" max="20" width="15.86328125" style="163" hidden="1" customWidth="1"/>
    <col min="21" max="21" width="5" style="163" hidden="1" customWidth="1"/>
    <col min="22" max="22" width="7.265625" style="163" hidden="1" customWidth="1"/>
    <col min="23" max="16384" width="9.1328125" style="163"/>
  </cols>
  <sheetData>
    <row r="1" spans="1:22" ht="13.15" x14ac:dyDescent="0.4">
      <c r="A1" s="163" t="s">
        <v>4112</v>
      </c>
      <c r="B1" s="164"/>
      <c r="C1" s="68" t="s">
        <v>2626</v>
      </c>
      <c r="D1" s="228"/>
      <c r="E1" s="228"/>
      <c r="F1" s="228"/>
      <c r="G1" s="228"/>
      <c r="H1" s="228"/>
      <c r="I1" s="228"/>
      <c r="J1" s="228"/>
      <c r="K1" s="164"/>
    </row>
    <row r="2" spans="1:22" ht="18" customHeight="1" x14ac:dyDescent="0.35">
      <c r="A2" s="163">
        <v>1</v>
      </c>
      <c r="B2" s="164"/>
      <c r="C2" s="164"/>
      <c r="D2" s="228"/>
      <c r="E2" s="228"/>
      <c r="F2" s="228"/>
      <c r="G2" s="228"/>
      <c r="H2" s="228"/>
      <c r="I2" s="228"/>
      <c r="J2" s="228"/>
      <c r="K2" s="164"/>
      <c r="L2" s="165"/>
      <c r="M2" s="165"/>
      <c r="N2" s="165"/>
      <c r="O2" s="165"/>
      <c r="P2" s="165"/>
      <c r="Q2" s="165"/>
    </row>
    <row r="3" spans="1:22" ht="12.75" customHeight="1" x14ac:dyDescent="0.4">
      <c r="A3" s="163">
        <v>2</v>
      </c>
      <c r="B3" s="164"/>
      <c r="C3" s="231" t="s">
        <v>4113</v>
      </c>
      <c r="D3" s="180"/>
      <c r="E3" s="180"/>
      <c r="F3" s="180"/>
      <c r="G3" s="180"/>
      <c r="H3" s="180"/>
      <c r="I3" s="180"/>
      <c r="J3" s="456" t="s">
        <v>4112</v>
      </c>
      <c r="K3" s="164"/>
      <c r="L3" s="165"/>
      <c r="M3" s="165"/>
      <c r="N3" s="165"/>
      <c r="O3" s="165"/>
      <c r="P3" s="165"/>
      <c r="Q3" s="165"/>
      <c r="T3" s="163" t="s">
        <v>3446</v>
      </c>
      <c r="U3" s="163">
        <v>2</v>
      </c>
      <c r="V3" s="163" t="b">
        <f>U3=1</f>
        <v>0</v>
      </c>
    </row>
    <row r="4" spans="1:22" ht="12.75" customHeight="1" x14ac:dyDescent="0.35">
      <c r="A4" s="163">
        <v>3</v>
      </c>
      <c r="B4" s="164"/>
      <c r="C4" s="182"/>
      <c r="D4" s="166"/>
      <c r="E4" s="169"/>
      <c r="F4" s="169"/>
      <c r="G4" s="166"/>
      <c r="H4" s="166"/>
      <c r="I4" s="166"/>
      <c r="J4" s="183"/>
      <c r="K4" s="164"/>
      <c r="L4" s="165"/>
      <c r="M4" s="165"/>
      <c r="N4" s="165"/>
      <c r="O4" s="165"/>
      <c r="P4" s="165"/>
      <c r="Q4" s="165"/>
      <c r="T4" s="163" t="s">
        <v>1872</v>
      </c>
    </row>
    <row r="5" spans="1:22" ht="12.75" customHeight="1" x14ac:dyDescent="0.35">
      <c r="A5" s="163">
        <v>4</v>
      </c>
      <c r="B5" s="164"/>
      <c r="C5" s="455">
        <f>A2</f>
        <v>1</v>
      </c>
      <c r="D5" s="229" t="s">
        <v>588</v>
      </c>
      <c r="E5" s="226"/>
      <c r="F5" s="226"/>
      <c r="G5" s="455">
        <f>A8</f>
        <v>7</v>
      </c>
      <c r="H5" s="229" t="s">
        <v>1109</v>
      </c>
      <c r="I5" s="166"/>
      <c r="J5" s="183"/>
      <c r="K5" s="164"/>
      <c r="L5" s="165"/>
      <c r="M5" s="165"/>
      <c r="N5" s="165"/>
      <c r="O5" s="165"/>
      <c r="P5" s="165"/>
      <c r="Q5" s="165"/>
    </row>
    <row r="6" spans="1:22" ht="12.75" customHeight="1" x14ac:dyDescent="0.35">
      <c r="A6" s="163">
        <v>5</v>
      </c>
      <c r="B6" s="164"/>
      <c r="C6" s="232"/>
      <c r="D6" s="172"/>
      <c r="E6" s="166"/>
      <c r="F6" s="166"/>
      <c r="G6" s="220"/>
      <c r="H6" s="172"/>
      <c r="I6" s="166"/>
      <c r="J6" s="183"/>
      <c r="K6" s="164"/>
      <c r="L6" s="165"/>
      <c r="M6" s="165"/>
      <c r="N6" s="165"/>
      <c r="O6" s="165"/>
      <c r="P6" s="165"/>
      <c r="Q6" s="165"/>
      <c r="T6" s="163" t="s">
        <v>2437</v>
      </c>
      <c r="U6" s="163">
        <v>2</v>
      </c>
      <c r="V6" s="163" t="b">
        <f>U6=1</f>
        <v>0</v>
      </c>
    </row>
    <row r="7" spans="1:22" ht="12.75" customHeight="1" x14ac:dyDescent="0.35">
      <c r="A7" s="163">
        <v>6</v>
      </c>
      <c r="B7" s="164"/>
      <c r="C7" s="182"/>
      <c r="D7" s="200"/>
      <c r="E7" s="226"/>
      <c r="F7" s="226"/>
      <c r="G7" s="166"/>
      <c r="H7" s="166"/>
      <c r="I7" s="166"/>
      <c r="J7" s="183"/>
      <c r="K7" s="164"/>
      <c r="L7" s="165"/>
      <c r="M7" s="225"/>
      <c r="N7" s="165"/>
      <c r="O7" s="165"/>
      <c r="P7" s="165"/>
      <c r="Q7" s="165"/>
      <c r="T7" s="163" t="s">
        <v>2438</v>
      </c>
    </row>
    <row r="8" spans="1:22" ht="12.75" customHeight="1" x14ac:dyDescent="0.35">
      <c r="A8" s="163">
        <v>7</v>
      </c>
      <c r="B8" s="164"/>
      <c r="C8" s="455">
        <f>A3</f>
        <v>2</v>
      </c>
      <c r="D8" s="200" t="s">
        <v>1107</v>
      </c>
      <c r="E8" s="166"/>
      <c r="F8" s="166"/>
      <c r="G8" s="170">
        <f>A9</f>
        <v>8</v>
      </c>
      <c r="H8" s="169" t="s">
        <v>1670</v>
      </c>
      <c r="I8" s="166"/>
      <c r="J8" s="183"/>
      <c r="K8" s="164"/>
      <c r="L8" s="165"/>
      <c r="N8" s="165"/>
      <c r="O8" s="165"/>
      <c r="P8" s="165"/>
      <c r="Q8" s="165"/>
    </row>
    <row r="9" spans="1:22" ht="12.75" customHeight="1" x14ac:dyDescent="0.35">
      <c r="A9" s="163">
        <v>8</v>
      </c>
      <c r="B9" s="164"/>
      <c r="C9" s="233"/>
      <c r="D9" s="172"/>
      <c r="E9" s="226"/>
      <c r="F9" s="226"/>
      <c r="G9" s="227"/>
      <c r="H9" s="172"/>
      <c r="I9" s="166"/>
      <c r="J9" s="183"/>
      <c r="K9" s="164"/>
      <c r="L9" s="165"/>
      <c r="M9" s="165"/>
      <c r="N9" s="165"/>
      <c r="O9" s="165"/>
      <c r="P9" s="165"/>
      <c r="Q9" s="165"/>
      <c r="T9" s="163" t="s">
        <v>2579</v>
      </c>
      <c r="U9" s="163">
        <v>2</v>
      </c>
      <c r="V9" s="163" t="b">
        <f>U9=1</f>
        <v>0</v>
      </c>
    </row>
    <row r="10" spans="1:22" ht="12.75" customHeight="1" x14ac:dyDescent="0.35">
      <c r="A10" s="163">
        <v>9</v>
      </c>
      <c r="B10" s="164"/>
      <c r="C10" s="182"/>
      <c r="D10" s="166"/>
      <c r="E10" s="166"/>
      <c r="F10" s="166"/>
      <c r="G10" s="220"/>
      <c r="H10" s="220"/>
      <c r="I10" s="166"/>
      <c r="J10" s="183"/>
      <c r="K10" s="164"/>
      <c r="L10" s="165"/>
      <c r="M10" s="165"/>
      <c r="N10" s="165"/>
      <c r="O10" s="165"/>
      <c r="P10" s="165"/>
      <c r="Q10" s="165"/>
      <c r="T10" s="163" t="s">
        <v>2580</v>
      </c>
    </row>
    <row r="11" spans="1:22" ht="12.75" customHeight="1" x14ac:dyDescent="0.35">
      <c r="A11" s="163">
        <v>10</v>
      </c>
      <c r="B11" s="164"/>
      <c r="C11" s="168">
        <f>A4</f>
        <v>3</v>
      </c>
      <c r="D11" s="166" t="s">
        <v>1561</v>
      </c>
      <c r="E11" s="226"/>
      <c r="F11" s="226"/>
      <c r="G11" s="455">
        <f>A10</f>
        <v>9</v>
      </c>
      <c r="H11" s="166" t="s">
        <v>55</v>
      </c>
      <c r="I11" s="166"/>
      <c r="J11" s="183"/>
      <c r="K11" s="164"/>
      <c r="L11" s="165"/>
      <c r="M11" s="165"/>
      <c r="N11" s="165"/>
      <c r="O11" s="165"/>
      <c r="P11" s="165"/>
      <c r="Q11" s="165"/>
    </row>
    <row r="12" spans="1:22" ht="12.75" customHeight="1" x14ac:dyDescent="0.35">
      <c r="A12" s="163">
        <v>11</v>
      </c>
      <c r="B12" s="164"/>
      <c r="C12" s="234"/>
      <c r="D12" s="172"/>
      <c r="E12" s="220"/>
      <c r="F12" s="220"/>
      <c r="G12" s="166"/>
      <c r="H12" s="172"/>
      <c r="I12" s="166"/>
      <c r="J12" s="183"/>
      <c r="K12" s="164"/>
      <c r="L12" s="165"/>
      <c r="M12" s="165"/>
      <c r="N12" s="165"/>
      <c r="O12" s="165"/>
      <c r="P12" s="165"/>
      <c r="Q12" s="165"/>
    </row>
    <row r="13" spans="1:22" ht="12.75" customHeight="1" x14ac:dyDescent="0.35">
      <c r="A13" s="163">
        <v>12</v>
      </c>
      <c r="B13" s="164"/>
      <c r="C13" s="182"/>
      <c r="D13" s="166"/>
      <c r="E13" s="226"/>
      <c r="F13" s="226"/>
      <c r="G13" s="166"/>
      <c r="H13" s="166"/>
      <c r="I13" s="166"/>
      <c r="J13" s="183"/>
      <c r="K13" s="164"/>
      <c r="L13" s="165"/>
      <c r="M13" s="165"/>
      <c r="N13" s="165"/>
      <c r="O13" s="165"/>
      <c r="P13" s="165"/>
      <c r="Q13" s="165"/>
    </row>
    <row r="14" spans="1:22" ht="12.75" customHeight="1" x14ac:dyDescent="0.35">
      <c r="B14" s="164"/>
      <c r="C14" s="168">
        <f>A5</f>
        <v>4</v>
      </c>
      <c r="D14" s="169" t="s">
        <v>1587</v>
      </c>
      <c r="E14" s="200"/>
      <c r="F14" s="200"/>
      <c r="G14" s="455">
        <f>A11</f>
        <v>10</v>
      </c>
      <c r="H14" s="200" t="s">
        <v>2447</v>
      </c>
      <c r="I14" s="166"/>
      <c r="J14" s="183"/>
      <c r="K14" s="164"/>
      <c r="L14" s="165"/>
      <c r="M14" s="165"/>
      <c r="N14" s="165"/>
      <c r="O14" s="165"/>
      <c r="P14" s="165"/>
      <c r="Q14" s="165"/>
    </row>
    <row r="15" spans="1:22" ht="12.75" customHeight="1" x14ac:dyDescent="0.35">
      <c r="B15" s="164"/>
      <c r="C15" s="235"/>
      <c r="D15" s="172"/>
      <c r="E15" s="226"/>
      <c r="F15" s="226"/>
      <c r="G15" s="226"/>
      <c r="H15" s="172"/>
      <c r="I15" s="166"/>
      <c r="J15" s="183"/>
      <c r="K15" s="164"/>
      <c r="L15" s="165"/>
      <c r="M15" s="165"/>
      <c r="N15" s="165"/>
      <c r="O15" s="165"/>
      <c r="P15" s="165"/>
      <c r="Q15" s="165"/>
    </row>
    <row r="16" spans="1:22" ht="12.75" customHeight="1" x14ac:dyDescent="0.35">
      <c r="B16" s="164"/>
      <c r="C16" s="182"/>
      <c r="D16" s="166"/>
      <c r="E16" s="169"/>
      <c r="F16" s="169"/>
      <c r="G16" s="169"/>
      <c r="H16" s="169"/>
      <c r="I16" s="166"/>
      <c r="J16" s="183"/>
      <c r="K16" s="164"/>
      <c r="L16" s="165"/>
      <c r="M16" s="165"/>
      <c r="N16" s="165"/>
      <c r="O16" s="165"/>
      <c r="P16" s="165"/>
      <c r="Q16" s="165"/>
    </row>
    <row r="17" spans="2:17" ht="12.75" customHeight="1" x14ac:dyDescent="0.35">
      <c r="B17" s="164"/>
      <c r="C17" s="230">
        <f>A6</f>
        <v>5</v>
      </c>
      <c r="D17" s="200" t="s">
        <v>1108</v>
      </c>
      <c r="E17" s="226"/>
      <c r="F17" s="226"/>
      <c r="G17" s="455">
        <f>A12</f>
        <v>11</v>
      </c>
      <c r="H17" s="1086" t="s">
        <v>1558</v>
      </c>
      <c r="I17" s="166"/>
      <c r="J17" s="183"/>
      <c r="K17" s="164"/>
      <c r="L17" s="165"/>
      <c r="M17" s="165"/>
      <c r="N17" s="165"/>
      <c r="O17" s="165"/>
      <c r="P17" s="165"/>
      <c r="Q17" s="165"/>
    </row>
    <row r="18" spans="2:17" ht="12.75" customHeight="1" x14ac:dyDescent="0.35">
      <c r="B18" s="164"/>
      <c r="C18" s="232"/>
      <c r="D18" s="172"/>
      <c r="E18" s="169"/>
      <c r="F18" s="169"/>
      <c r="G18" s="169"/>
      <c r="H18" s="172"/>
      <c r="I18" s="166"/>
      <c r="J18" s="183"/>
      <c r="K18" s="164"/>
      <c r="L18" s="165"/>
      <c r="M18" s="165"/>
      <c r="N18" s="165"/>
      <c r="O18" s="165"/>
      <c r="P18" s="165"/>
      <c r="Q18" s="165"/>
    </row>
    <row r="19" spans="2:17" ht="12.75" customHeight="1" x14ac:dyDescent="0.35">
      <c r="B19" s="164"/>
      <c r="C19" s="232"/>
      <c r="D19" s="200"/>
      <c r="E19" s="226"/>
      <c r="F19" s="169"/>
      <c r="G19" s="169"/>
      <c r="H19" s="169"/>
      <c r="I19" s="169"/>
      <c r="J19" s="183"/>
      <c r="K19" s="164"/>
      <c r="L19" s="165"/>
      <c r="M19" s="165"/>
      <c r="N19" s="165"/>
      <c r="O19" s="165"/>
      <c r="P19" s="165"/>
      <c r="Q19" s="165"/>
    </row>
    <row r="20" spans="2:17" ht="12.75" customHeight="1" x14ac:dyDescent="0.35">
      <c r="B20" s="164"/>
      <c r="C20" s="168">
        <f>A7</f>
        <v>6</v>
      </c>
      <c r="D20" s="200" t="s">
        <v>1988</v>
      </c>
      <c r="E20" s="226"/>
      <c r="F20" s="169"/>
      <c r="G20" s="169"/>
      <c r="H20" s="169"/>
      <c r="I20" s="169"/>
      <c r="J20" s="183"/>
      <c r="K20" s="164"/>
      <c r="L20" s="165"/>
      <c r="M20" s="165"/>
      <c r="N20" s="165"/>
      <c r="O20" s="165"/>
      <c r="P20" s="165"/>
      <c r="Q20" s="165"/>
    </row>
    <row r="21" spans="2:17" ht="12.75" customHeight="1" x14ac:dyDescent="0.35">
      <c r="B21" s="164"/>
      <c r="C21" s="232"/>
      <c r="D21" s="172"/>
      <c r="E21" s="169"/>
      <c r="F21" s="169"/>
      <c r="G21" s="169"/>
      <c r="H21" s="169"/>
      <c r="I21" s="169"/>
      <c r="J21" s="183"/>
      <c r="K21" s="164"/>
      <c r="L21" s="165"/>
      <c r="M21" s="165"/>
      <c r="N21" s="165"/>
      <c r="O21" s="165"/>
      <c r="P21" s="165"/>
      <c r="Q21" s="165"/>
    </row>
    <row r="22" spans="2:17" ht="12.75" customHeight="1" x14ac:dyDescent="0.35">
      <c r="B22" s="164"/>
      <c r="C22" s="187"/>
      <c r="D22" s="188"/>
      <c r="E22" s="236"/>
      <c r="F22" s="236"/>
      <c r="G22" s="237"/>
      <c r="H22" s="237"/>
      <c r="I22" s="188"/>
      <c r="J22" s="238"/>
      <c r="K22" s="164"/>
      <c r="L22" s="165"/>
      <c r="M22" s="165"/>
      <c r="N22" s="165"/>
      <c r="O22" s="165"/>
      <c r="P22" s="165"/>
      <c r="Q22" s="165"/>
    </row>
    <row r="23" spans="2:17" ht="12.75" customHeight="1" x14ac:dyDescent="0.35">
      <c r="B23" s="164"/>
      <c r="C23" s="164"/>
      <c r="D23" s="164"/>
      <c r="E23" s="164"/>
      <c r="F23" s="164"/>
      <c r="G23" s="164"/>
      <c r="H23" s="164"/>
      <c r="I23" s="164"/>
      <c r="J23" s="164"/>
      <c r="K23" s="164"/>
      <c r="L23" s="165"/>
      <c r="M23" s="165"/>
      <c r="N23" s="165"/>
      <c r="O23" s="165"/>
      <c r="P23" s="165"/>
      <c r="Q23" s="165"/>
    </row>
    <row r="24" spans="2:17" ht="12.75" customHeight="1" x14ac:dyDescent="0.35">
      <c r="B24" s="164"/>
      <c r="C24" s="164"/>
      <c r="D24" s="164"/>
      <c r="E24" s="164"/>
      <c r="F24" s="164"/>
      <c r="G24" s="164"/>
      <c r="H24" s="164"/>
      <c r="I24" s="164"/>
      <c r="J24" s="164"/>
      <c r="K24" s="164"/>
      <c r="L24" s="165"/>
      <c r="M24" s="165"/>
      <c r="N24" s="165"/>
      <c r="O24" s="165"/>
      <c r="P24" s="165"/>
      <c r="Q24" s="165"/>
    </row>
    <row r="25" spans="2:17" ht="12.75" customHeight="1" x14ac:dyDescent="0.35">
      <c r="B25" s="164"/>
      <c r="C25" s="164"/>
      <c r="D25" s="164"/>
      <c r="E25" s="164"/>
      <c r="F25" s="164"/>
      <c r="G25" s="164"/>
      <c r="H25" s="164"/>
      <c r="I25" s="164"/>
      <c r="J25" s="164"/>
      <c r="K25" s="164"/>
      <c r="L25" s="165"/>
      <c r="M25" s="165"/>
      <c r="N25" s="165"/>
      <c r="O25" s="165"/>
      <c r="P25" s="165"/>
      <c r="Q25" s="165"/>
    </row>
    <row r="26" spans="2:17" ht="12.75" customHeight="1" x14ac:dyDescent="0.35">
      <c r="B26" s="164"/>
      <c r="C26" s="164"/>
      <c r="D26" s="164"/>
      <c r="E26" s="164"/>
      <c r="F26" s="164"/>
      <c r="G26" s="178"/>
      <c r="H26" s="164"/>
      <c r="I26" s="164"/>
      <c r="J26" s="164"/>
      <c r="K26" s="164"/>
      <c r="L26" s="165"/>
      <c r="M26" s="165"/>
      <c r="N26" s="165"/>
      <c r="O26" s="165"/>
      <c r="P26" s="165"/>
      <c r="Q26" s="165"/>
    </row>
    <row r="27" spans="2:17" ht="12.75" customHeight="1" x14ac:dyDescent="0.35">
      <c r="B27" s="164"/>
      <c r="C27" s="164"/>
      <c r="D27" s="164"/>
      <c r="E27" s="164"/>
      <c r="F27" s="164"/>
      <c r="G27" s="164"/>
      <c r="H27" s="164"/>
      <c r="I27" s="164"/>
      <c r="J27" s="164"/>
      <c r="K27" s="164"/>
      <c r="L27" s="165"/>
      <c r="M27" s="165"/>
      <c r="N27" s="165"/>
      <c r="O27" s="165"/>
      <c r="P27" s="165"/>
      <c r="Q27" s="165"/>
    </row>
    <row r="28" spans="2:17" ht="12.75" customHeight="1" x14ac:dyDescent="0.35">
      <c r="B28" s="164"/>
      <c r="C28" s="164"/>
      <c r="D28" s="164"/>
      <c r="E28" s="164"/>
      <c r="F28" s="164"/>
      <c r="G28" s="178"/>
      <c r="H28" s="164"/>
      <c r="I28" s="164"/>
      <c r="J28" s="164"/>
      <c r="K28" s="164"/>
      <c r="L28" s="165"/>
      <c r="M28" s="165"/>
      <c r="N28" s="165"/>
      <c r="O28" s="165"/>
      <c r="P28" s="165"/>
      <c r="Q28" s="165"/>
    </row>
    <row r="29" spans="2:17" ht="12.75" customHeight="1" x14ac:dyDescent="0.35">
      <c r="B29" s="164"/>
      <c r="C29" s="164"/>
      <c r="D29" s="164"/>
      <c r="E29" s="164"/>
      <c r="F29" s="164"/>
      <c r="G29" s="164"/>
      <c r="H29" s="164"/>
      <c r="I29" s="164"/>
      <c r="J29" s="164"/>
      <c r="K29" s="164"/>
      <c r="L29" s="165"/>
      <c r="M29" s="165"/>
      <c r="N29" s="165"/>
      <c r="O29" s="165"/>
      <c r="P29" s="165"/>
      <c r="Q29" s="165"/>
    </row>
    <row r="30" spans="2:17" ht="12.75" customHeight="1" x14ac:dyDescent="0.35">
      <c r="B30" s="164"/>
      <c r="C30" s="164"/>
      <c r="D30" s="164"/>
      <c r="E30" s="164"/>
      <c r="F30" s="164"/>
      <c r="G30" s="178"/>
      <c r="H30" s="164"/>
      <c r="I30" s="164"/>
      <c r="J30" s="164"/>
      <c r="K30" s="164"/>
    </row>
    <row r="31" spans="2:17" x14ac:dyDescent="0.35">
      <c r="B31" s="164"/>
      <c r="C31" s="164"/>
      <c r="D31" s="164"/>
      <c r="E31" s="164"/>
      <c r="F31" s="164"/>
      <c r="G31" s="164"/>
      <c r="H31" s="164"/>
      <c r="I31" s="164"/>
      <c r="J31" s="164"/>
      <c r="K31" s="164"/>
    </row>
    <row r="32" spans="2:17" x14ac:dyDescent="0.35">
      <c r="B32" s="164"/>
      <c r="C32" s="164"/>
      <c r="D32" s="164"/>
      <c r="E32" s="164"/>
      <c r="F32" s="164"/>
      <c r="G32" s="164"/>
      <c r="H32" s="164"/>
      <c r="I32" s="164"/>
      <c r="J32" s="164"/>
      <c r="K32" s="164"/>
    </row>
    <row r="33" spans="2:11" x14ac:dyDescent="0.35">
      <c r="B33" s="164"/>
      <c r="C33" s="164"/>
      <c r="D33" s="164"/>
      <c r="E33" s="164"/>
      <c r="F33" s="164"/>
      <c r="G33" s="164"/>
      <c r="H33" s="164"/>
      <c r="I33" s="164"/>
      <c r="J33" s="164"/>
      <c r="K33" s="164"/>
    </row>
  </sheetData>
  <sheetProtection sheet="1" objects="1" scenarios="1"/>
  <phoneticPr fontId="68" type="noConversion"/>
  <pageMargins left="0.75" right="0.75" top="1" bottom="1" header="0.5" footer="0.5"/>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3"/>
  <sheetViews>
    <sheetView showGridLines="0" showRowColHeaders="0" topLeftCell="B1" workbookViewId="0">
      <selection activeCell="C5" sqref="C5"/>
    </sheetView>
  </sheetViews>
  <sheetFormatPr defaultColWidth="9.1328125" defaultRowHeight="11.65" x14ac:dyDescent="0.35"/>
  <cols>
    <col min="1" max="1" width="17.73046875" style="206" hidden="1" customWidth="1"/>
    <col min="2" max="2" width="20.265625" style="206" customWidth="1"/>
    <col min="3" max="3" width="4.86328125" style="222" customWidth="1"/>
    <col min="4" max="4" width="14.265625" style="206" customWidth="1"/>
    <col min="5" max="5" width="26.265625" style="206" customWidth="1"/>
    <col min="6" max="6" width="3.59765625" style="206" customWidth="1"/>
    <col min="7" max="7" width="37.265625" style="206" customWidth="1"/>
    <col min="8" max="8" width="44" style="206" customWidth="1"/>
    <col min="9" max="9" width="15.265625" style="206" customWidth="1"/>
    <col min="10" max="10" width="7" style="206" customWidth="1"/>
    <col min="11" max="11" width="9.59765625" style="206" customWidth="1"/>
    <col min="12" max="12" width="8.86328125" style="206" customWidth="1"/>
    <col min="13" max="13" width="9.3984375" style="206" customWidth="1"/>
    <col min="14" max="16384" width="9.1328125" style="206"/>
  </cols>
  <sheetData>
    <row r="1" spans="1:12" ht="12" customHeight="1" x14ac:dyDescent="0.35">
      <c r="A1" s="206" t="s">
        <v>627</v>
      </c>
      <c r="B1" s="164"/>
      <c r="C1" s="218"/>
      <c r="D1" s="164"/>
      <c r="E1" s="164"/>
      <c r="F1" s="164"/>
      <c r="G1" s="164"/>
      <c r="H1" s="164"/>
    </row>
    <row r="2" spans="1:12" ht="12" customHeight="1" x14ac:dyDescent="0.35">
      <c r="A2" s="206">
        <v>1</v>
      </c>
      <c r="B2" s="164"/>
      <c r="C2" s="459" t="s">
        <v>2542</v>
      </c>
      <c r="D2" s="180"/>
      <c r="E2" s="386"/>
      <c r="F2" s="997" t="s">
        <v>1824</v>
      </c>
      <c r="G2" s="1001" t="s">
        <v>627</v>
      </c>
      <c r="H2" s="164"/>
      <c r="I2" s="1002"/>
    </row>
    <row r="3" spans="1:12" ht="12" customHeight="1" x14ac:dyDescent="0.35">
      <c r="A3" s="206">
        <v>2</v>
      </c>
      <c r="B3" s="164"/>
      <c r="C3" s="235"/>
      <c r="D3" s="166"/>
      <c r="E3" s="166"/>
      <c r="F3" s="998" t="s">
        <v>1606</v>
      </c>
      <c r="G3" s="183"/>
      <c r="H3" s="164"/>
      <c r="I3" s="1003"/>
    </row>
    <row r="4" spans="1:12" ht="12" customHeight="1" x14ac:dyDescent="0.35">
      <c r="A4" s="206">
        <v>3</v>
      </c>
      <c r="B4" s="164"/>
      <c r="C4" s="332">
        <f>A2</f>
        <v>1</v>
      </c>
      <c r="D4" s="166" t="s">
        <v>2410</v>
      </c>
      <c r="E4" s="166"/>
      <c r="F4" s="166"/>
      <c r="G4" s="1004" t="s">
        <v>1607</v>
      </c>
      <c r="H4" s="164"/>
      <c r="I4" s="1002"/>
    </row>
    <row r="5" spans="1:12" ht="12" customHeight="1" x14ac:dyDescent="0.35">
      <c r="A5" s="206">
        <v>4</v>
      </c>
      <c r="B5" s="164"/>
      <c r="C5" s="332">
        <f>A9</f>
        <v>8</v>
      </c>
      <c r="D5" s="199"/>
      <c r="E5" s="166"/>
      <c r="F5" s="1005">
        <v>1</v>
      </c>
      <c r="G5" s="1004" t="s">
        <v>2901</v>
      </c>
      <c r="H5" s="164"/>
      <c r="I5" s="1002"/>
    </row>
    <row r="6" spans="1:12" ht="12" customHeight="1" x14ac:dyDescent="0.35">
      <c r="A6" s="206">
        <v>5</v>
      </c>
      <c r="B6" s="164"/>
      <c r="C6" s="235"/>
      <c r="D6" s="166"/>
      <c r="E6" s="166"/>
      <c r="F6" s="166"/>
      <c r="G6" s="1004" t="s">
        <v>2902</v>
      </c>
      <c r="H6" s="164"/>
      <c r="K6" s="163"/>
    </row>
    <row r="7" spans="1:12" ht="12" customHeight="1" x14ac:dyDescent="0.35">
      <c r="A7" s="206">
        <v>6</v>
      </c>
      <c r="B7" s="164"/>
      <c r="C7" s="235"/>
      <c r="D7" s="166"/>
      <c r="E7" s="166"/>
      <c r="F7" s="166"/>
      <c r="G7" s="183"/>
      <c r="H7" s="164"/>
      <c r="K7" s="163"/>
    </row>
    <row r="8" spans="1:12" ht="12" customHeight="1" x14ac:dyDescent="0.35">
      <c r="A8" s="206">
        <v>7</v>
      </c>
      <c r="B8" s="164"/>
      <c r="C8" s="332">
        <f>A3</f>
        <v>2</v>
      </c>
      <c r="D8" s="377" t="s">
        <v>2903</v>
      </c>
      <c r="E8" s="166"/>
      <c r="F8" s="166"/>
      <c r="G8" s="183"/>
      <c r="H8" s="164"/>
    </row>
    <row r="9" spans="1:12" ht="12" customHeight="1" x14ac:dyDescent="0.35">
      <c r="A9" s="206">
        <v>8</v>
      </c>
      <c r="B9" s="164"/>
      <c r="C9" s="332">
        <f>A6</f>
        <v>5</v>
      </c>
      <c r="D9" s="166"/>
      <c r="E9" s="166"/>
      <c r="F9" s="1006">
        <v>2</v>
      </c>
      <c r="G9" s="1004" t="s">
        <v>2904</v>
      </c>
      <c r="H9" s="164"/>
    </row>
    <row r="10" spans="1:12" ht="12" customHeight="1" x14ac:dyDescent="0.35">
      <c r="A10" s="206">
        <v>9</v>
      </c>
      <c r="B10" s="164"/>
      <c r="C10" s="235"/>
      <c r="D10" s="166"/>
      <c r="E10" s="199"/>
      <c r="F10" s="199"/>
      <c r="G10" s="1004" t="s">
        <v>2905</v>
      </c>
      <c r="H10" s="164"/>
      <c r="K10" s="163"/>
    </row>
    <row r="11" spans="1:12" ht="12" customHeight="1" x14ac:dyDescent="0.35">
      <c r="A11" s="206">
        <v>10</v>
      </c>
      <c r="B11" s="164"/>
      <c r="C11" s="235"/>
      <c r="D11" s="166"/>
      <c r="E11" s="166"/>
      <c r="F11" s="166"/>
      <c r="G11" s="183"/>
      <c r="H11" s="164"/>
      <c r="L11" s="163"/>
    </row>
    <row r="12" spans="1:12" ht="12" customHeight="1" x14ac:dyDescent="0.35">
      <c r="A12" s="206">
        <v>11</v>
      </c>
      <c r="B12" s="164"/>
      <c r="C12" s="332">
        <f>IF(MCA_claim=3,A7,A4)</f>
        <v>3</v>
      </c>
      <c r="D12" s="166" t="s">
        <v>2906</v>
      </c>
      <c r="E12" s="166"/>
      <c r="F12" s="166"/>
      <c r="G12" s="1004" t="s">
        <v>2907</v>
      </c>
      <c r="H12" s="164"/>
    </row>
    <row r="13" spans="1:12" ht="12" customHeight="1" x14ac:dyDescent="0.35">
      <c r="B13" s="164"/>
      <c r="C13" s="332">
        <f>IF(MCA_claim=3,A8,A5)</f>
        <v>4</v>
      </c>
      <c r="D13" s="166"/>
      <c r="E13" s="166"/>
      <c r="F13" s="1006">
        <v>1</v>
      </c>
      <c r="G13" s="1004" t="s">
        <v>2908</v>
      </c>
      <c r="H13" s="164"/>
    </row>
    <row r="14" spans="1:12" ht="12" customHeight="1" x14ac:dyDescent="0.35">
      <c r="B14" s="164"/>
      <c r="C14" s="235"/>
      <c r="D14" s="166"/>
      <c r="E14" s="166"/>
      <c r="F14" s="166"/>
      <c r="G14" s="1004" t="s">
        <v>2909</v>
      </c>
      <c r="H14" s="164"/>
      <c r="L14" s="163"/>
    </row>
    <row r="15" spans="1:12" ht="12" customHeight="1" x14ac:dyDescent="0.35">
      <c r="B15" s="164"/>
      <c r="C15" s="235"/>
      <c r="D15" s="166"/>
      <c r="E15" s="166"/>
      <c r="F15" s="166"/>
      <c r="G15" s="183"/>
      <c r="H15" s="164"/>
    </row>
    <row r="16" spans="1:12" ht="12" customHeight="1" x14ac:dyDescent="0.35">
      <c r="B16" s="164"/>
      <c r="C16" s="332">
        <f>A10</f>
        <v>9</v>
      </c>
      <c r="D16" s="166" t="str">
        <f>"Date of marriage / civil partnership (if after 5 April "&amp;Tax_year_start&amp;")"</f>
        <v>Date of marriage / civil partnership (if after 5 April 2017)</v>
      </c>
      <c r="E16" s="166"/>
      <c r="F16" s="166"/>
      <c r="G16" s="1004" t="str">
        <f>data!C178</f>
        <v/>
      </c>
      <c r="H16" s="164"/>
    </row>
    <row r="17" spans="2:8" ht="12" customHeight="1" x14ac:dyDescent="0.35">
      <c r="B17" s="164"/>
      <c r="C17" s="235"/>
      <c r="D17" s="166"/>
      <c r="E17" s="166"/>
      <c r="F17" s="1007">
        <v>1</v>
      </c>
      <c r="G17" s="1004" t="str">
        <f>data!C179</f>
        <v/>
      </c>
      <c r="H17" s="164"/>
    </row>
    <row r="18" spans="2:8" ht="12" customHeight="1" x14ac:dyDescent="0.35">
      <c r="B18" s="164"/>
      <c r="C18" s="235"/>
      <c r="D18" s="166"/>
      <c r="E18" s="166"/>
      <c r="F18" s="166"/>
      <c r="G18" s="1004" t="str">
        <f>data!C180</f>
        <v/>
      </c>
      <c r="H18" s="164"/>
    </row>
    <row r="19" spans="2:8" ht="12" customHeight="1" x14ac:dyDescent="0.35">
      <c r="B19" s="164"/>
      <c r="C19" s="235"/>
      <c r="D19" s="174"/>
      <c r="E19" s="166"/>
      <c r="F19" s="166"/>
      <c r="G19" s="1004" t="str">
        <f>data!C181</f>
        <v/>
      </c>
      <c r="H19" s="164"/>
    </row>
    <row r="20" spans="2:8" ht="12" customHeight="1" x14ac:dyDescent="0.35">
      <c r="B20" s="164"/>
      <c r="C20" s="235"/>
      <c r="D20" s="166"/>
      <c r="E20" s="166"/>
      <c r="F20" s="166"/>
      <c r="G20" s="1004" t="str">
        <f>data!C182</f>
        <v/>
      </c>
      <c r="H20" s="164"/>
    </row>
    <row r="21" spans="2:8" ht="12" customHeight="1" x14ac:dyDescent="0.35">
      <c r="B21" s="164"/>
      <c r="C21" s="235"/>
      <c r="D21" s="166"/>
      <c r="E21" s="166"/>
      <c r="F21" s="166"/>
      <c r="G21" s="1004" t="str">
        <f>data!C183</f>
        <v/>
      </c>
      <c r="H21" s="164"/>
    </row>
    <row r="22" spans="2:8" ht="12" customHeight="1" x14ac:dyDescent="0.35">
      <c r="B22" s="164"/>
      <c r="C22" s="235"/>
      <c r="D22" s="166"/>
      <c r="E22" s="166"/>
      <c r="F22" s="166"/>
      <c r="G22" s="1004" t="str">
        <f>data!C184</f>
        <v/>
      </c>
      <c r="H22" s="164"/>
    </row>
    <row r="23" spans="2:8" ht="12" customHeight="1" x14ac:dyDescent="0.35">
      <c r="B23" s="164"/>
      <c r="C23" s="235"/>
      <c r="D23" s="166"/>
      <c r="E23" s="166"/>
      <c r="F23" s="166"/>
      <c r="G23" s="1004" t="str">
        <f>data!C185</f>
        <v/>
      </c>
      <c r="H23" s="164"/>
    </row>
    <row r="24" spans="2:8" ht="12" customHeight="1" x14ac:dyDescent="0.35">
      <c r="B24" s="164"/>
      <c r="C24" s="235"/>
      <c r="D24" s="166"/>
      <c r="E24" s="166"/>
      <c r="F24" s="166"/>
      <c r="G24" s="1004" t="str">
        <f>data!C186</f>
        <v/>
      </c>
      <c r="H24" s="164"/>
    </row>
    <row r="25" spans="2:8" ht="12" customHeight="1" x14ac:dyDescent="0.35">
      <c r="B25" s="164"/>
      <c r="C25" s="235"/>
      <c r="D25" s="166"/>
      <c r="E25" s="166"/>
      <c r="F25" s="166"/>
      <c r="G25" s="1004" t="str">
        <f>data!C187</f>
        <v/>
      </c>
      <c r="H25" s="164"/>
    </row>
    <row r="26" spans="2:8" ht="12" customHeight="1" x14ac:dyDescent="0.35">
      <c r="B26" s="164"/>
      <c r="C26" s="235"/>
      <c r="D26" s="166"/>
      <c r="E26" s="166"/>
      <c r="F26" s="166"/>
      <c r="G26" s="1004" t="str">
        <f>data!C188</f>
        <v/>
      </c>
      <c r="H26" s="164"/>
    </row>
    <row r="27" spans="2:8" ht="12" customHeight="1" x14ac:dyDescent="0.35">
      <c r="B27" s="164"/>
      <c r="C27" s="235"/>
      <c r="D27" s="166"/>
      <c r="E27" s="166"/>
      <c r="F27" s="166"/>
      <c r="G27" s="1004" t="str">
        <f>data!C189</f>
        <v/>
      </c>
      <c r="H27" s="164"/>
    </row>
    <row r="28" spans="2:8" x14ac:dyDescent="0.35">
      <c r="B28" s="164"/>
      <c r="C28" s="235"/>
      <c r="D28" s="166"/>
      <c r="E28" s="166"/>
      <c r="F28" s="166"/>
      <c r="G28" s="1004" t="str">
        <f>data!C190</f>
        <v/>
      </c>
      <c r="H28" s="164"/>
    </row>
    <row r="29" spans="2:8" x14ac:dyDescent="0.35">
      <c r="B29" s="164"/>
      <c r="C29" s="458"/>
      <c r="D29" s="188"/>
      <c r="E29" s="188"/>
      <c r="F29" s="188"/>
      <c r="G29" s="189"/>
      <c r="H29" s="164"/>
    </row>
    <row r="30" spans="2:8" x14ac:dyDescent="0.35">
      <c r="B30" s="164"/>
      <c r="C30" s="164"/>
      <c r="D30" s="164"/>
      <c r="E30" s="164"/>
      <c r="F30" s="164"/>
      <c r="G30" s="164"/>
      <c r="H30" s="164"/>
    </row>
    <row r="31" spans="2:8" x14ac:dyDescent="0.35">
      <c r="B31" s="164"/>
      <c r="C31" s="218"/>
      <c r="D31" s="164"/>
      <c r="E31" s="178"/>
      <c r="F31" s="178"/>
      <c r="G31" s="164"/>
      <c r="H31" s="164"/>
    </row>
    <row r="32" spans="2:8" x14ac:dyDescent="0.35">
      <c r="B32" s="164"/>
      <c r="C32" s="218"/>
      <c r="D32" s="164"/>
      <c r="E32" s="178"/>
      <c r="F32" s="178"/>
      <c r="G32" s="164"/>
      <c r="H32" s="164"/>
    </row>
    <row r="33" spans="2:8" x14ac:dyDescent="0.35">
      <c r="B33" s="164"/>
      <c r="C33" s="218"/>
      <c r="D33" s="164"/>
      <c r="E33" s="178"/>
      <c r="F33" s="178"/>
      <c r="G33" s="164"/>
      <c r="H33" s="164"/>
    </row>
  </sheetData>
  <sheetProtection sheet="1" objects="1" scenarios="1"/>
  <phoneticPr fontId="68" type="noConversion"/>
  <dataValidations count="4">
    <dataValidation type="whole" allowBlank="1" showInputMessage="1" showErrorMessage="1" errorTitle="MCA claimed by" error="Must be in range 1-3" sqref="F5">
      <formula1>1</formula1>
      <formula2>3</formula2>
    </dataValidation>
    <dataValidation type="whole" allowBlank="1" showInputMessage="1" showErrorMessage="1" errorTitle="Date of marriage" error="Must be in range 1 - 13" sqref="F17">
      <formula1>1</formula1>
      <formula2>13</formula2>
    </dataValidation>
    <dataValidation type="whole" allowBlank="1" showInputMessage="1" showErrorMessage="1" errorTitle="Date of birth of older spouse" error="Must be in range 1 - 2" sqref="F9">
      <formula1>1</formula1>
      <formula2>2</formula2>
    </dataValidation>
    <dataValidation type="whole" allowBlank="1" showInputMessage="1" showErrorMessage="1" errorTitle="Amount allocated to spouse" error="Must be in range 1 - 3_x000a_" sqref="F13">
      <formula1>1</formula1>
      <formula2>3</formula2>
    </dataValidation>
  </dataValidation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0177" r:id="rId3" name="Drop Down 1">
              <controlPr defaultSize="0" autoLine="0" autoPict="0" altText="MCA Claim">
                <anchor moveWithCells="1">
                  <from>
                    <xdr:col>3</xdr:col>
                    <xdr:colOff>9525</xdr:colOff>
                    <xdr:row>4</xdr:row>
                    <xdr:rowOff>0</xdr:rowOff>
                  </from>
                  <to>
                    <xdr:col>4</xdr:col>
                    <xdr:colOff>1704975</xdr:colOff>
                    <xdr:row>5</xdr:row>
                    <xdr:rowOff>47625</xdr:rowOff>
                  </to>
                </anchor>
              </controlPr>
            </control>
          </mc:Choice>
        </mc:AlternateContent>
        <mc:AlternateContent xmlns:mc="http://schemas.openxmlformats.org/markup-compatibility/2006">
          <mc:Choice Requires="x14">
            <control shapeId="50178" r:id="rId4" name="Drop Down 2">
              <controlPr defaultSize="0" autoLine="0" autoPict="0" altText="Date of birth of older spouse">
                <anchor moveWithCells="1">
                  <from>
                    <xdr:col>3</xdr:col>
                    <xdr:colOff>0</xdr:colOff>
                    <xdr:row>8</xdr:row>
                    <xdr:rowOff>0</xdr:rowOff>
                  </from>
                  <to>
                    <xdr:col>4</xdr:col>
                    <xdr:colOff>1695450</xdr:colOff>
                    <xdr:row>9</xdr:row>
                    <xdr:rowOff>47625</xdr:rowOff>
                  </to>
                </anchor>
              </controlPr>
            </control>
          </mc:Choice>
        </mc:AlternateContent>
        <mc:AlternateContent xmlns:mc="http://schemas.openxmlformats.org/markup-compatibility/2006">
          <mc:Choice Requires="x14">
            <control shapeId="50179" r:id="rId5" name="Drop Down 3">
              <controlPr defaultSize="0" autoLine="0" autoPict="0" altText="Amount allocated to lower income partner_x000a_">
                <anchor moveWithCells="1">
                  <from>
                    <xdr:col>3</xdr:col>
                    <xdr:colOff>0</xdr:colOff>
                    <xdr:row>12</xdr:row>
                    <xdr:rowOff>9525</xdr:rowOff>
                  </from>
                  <to>
                    <xdr:col>4</xdr:col>
                    <xdr:colOff>1695450</xdr:colOff>
                    <xdr:row>13</xdr:row>
                    <xdr:rowOff>57150</xdr:rowOff>
                  </to>
                </anchor>
              </controlPr>
            </control>
          </mc:Choice>
        </mc:AlternateContent>
        <mc:AlternateContent xmlns:mc="http://schemas.openxmlformats.org/markup-compatibility/2006">
          <mc:Choice Requires="x14">
            <control shapeId="50180" r:id="rId6" name="Drop Down 4">
              <controlPr defaultSize="0" autoLine="0" autoPict="0" altText="Number of months married_x000a_">
                <anchor moveWithCells="1">
                  <from>
                    <xdr:col>3</xdr:col>
                    <xdr:colOff>9525</xdr:colOff>
                    <xdr:row>16</xdr:row>
                    <xdr:rowOff>9525</xdr:rowOff>
                  </from>
                  <to>
                    <xdr:col>4</xdr:col>
                    <xdr:colOff>1704975</xdr:colOff>
                    <xdr:row>17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rgb="FFFFFF99"/>
  </sheetPr>
  <dimension ref="A1:K32"/>
  <sheetViews>
    <sheetView showGridLines="0" showRowColHeaders="0" topLeftCell="B1" workbookViewId="0">
      <selection activeCell="H24" sqref="H24"/>
    </sheetView>
  </sheetViews>
  <sheetFormatPr defaultRowHeight="12.75" x14ac:dyDescent="0.35"/>
  <cols>
    <col min="1" max="1" width="3.86328125" hidden="1" customWidth="1"/>
    <col min="2" max="2" width="6.59765625" customWidth="1"/>
    <col min="3" max="3" width="5.1328125" customWidth="1"/>
    <col min="4" max="4" width="14.265625" customWidth="1"/>
    <col min="5" max="5" width="28.73046875" customWidth="1"/>
    <col min="6" max="6" width="3.73046875" customWidth="1"/>
    <col min="7" max="7" width="5.265625" customWidth="1"/>
    <col min="8" max="8" width="14.1328125" customWidth="1"/>
    <col min="9" max="9" width="12.3984375" customWidth="1"/>
    <col min="10" max="10" width="23.3984375" customWidth="1"/>
    <col min="11" max="11" width="29.59765625" customWidth="1"/>
    <col min="12" max="12" width="23.3984375" customWidth="1"/>
  </cols>
  <sheetData>
    <row r="1" spans="1:11" ht="9" customHeight="1" x14ac:dyDescent="0.35">
      <c r="A1" t="s">
        <v>4114</v>
      </c>
      <c r="B1" s="67"/>
      <c r="C1" s="67"/>
      <c r="D1" s="67"/>
      <c r="E1" s="67"/>
      <c r="F1" s="67"/>
      <c r="G1" s="67"/>
      <c r="H1" s="67"/>
      <c r="I1" s="67"/>
      <c r="J1" s="67"/>
      <c r="K1" s="67"/>
    </row>
    <row r="2" spans="1:11" ht="9" customHeight="1" x14ac:dyDescent="0.35">
      <c r="B2" s="67"/>
      <c r="C2" s="67"/>
      <c r="D2" s="67"/>
      <c r="E2" s="67"/>
      <c r="F2" s="67"/>
      <c r="G2" s="67"/>
      <c r="H2" s="67"/>
      <c r="I2" s="67"/>
      <c r="J2" s="67"/>
      <c r="K2" s="67"/>
    </row>
    <row r="3" spans="1:11" ht="12.75" customHeight="1" x14ac:dyDescent="0.4">
      <c r="A3" s="163">
        <v>1</v>
      </c>
      <c r="B3" s="67"/>
      <c r="C3" s="231" t="s">
        <v>578</v>
      </c>
      <c r="D3" s="180"/>
      <c r="E3" s="180"/>
      <c r="F3" s="180"/>
      <c r="G3" s="180"/>
      <c r="H3" s="180"/>
      <c r="I3" s="180"/>
      <c r="J3" s="456" t="str">
        <f>AIL</f>
        <v>AIL</v>
      </c>
      <c r="K3" s="67"/>
    </row>
    <row r="4" spans="1:11" ht="9" customHeight="1" x14ac:dyDescent="0.35">
      <c r="A4" s="163">
        <v>2</v>
      </c>
      <c r="B4" s="67"/>
      <c r="C4" s="182"/>
      <c r="D4" s="166"/>
      <c r="E4" s="169"/>
      <c r="F4" s="169"/>
      <c r="G4" s="166"/>
      <c r="H4" s="169"/>
      <c r="I4" s="169"/>
      <c r="J4" s="183"/>
      <c r="K4" s="67"/>
    </row>
    <row r="5" spans="1:11" ht="12.75" customHeight="1" x14ac:dyDescent="0.35">
      <c r="A5" s="163">
        <v>3</v>
      </c>
      <c r="B5" s="67"/>
      <c r="C5" s="190">
        <f>AIL!A3</f>
        <v>1</v>
      </c>
      <c r="D5" s="166" t="str">
        <f>"Earlier years losses - set against certain "&amp;tax_year&amp;" income"</f>
        <v>Earlier years losses - set against certain 2017-18 income</v>
      </c>
      <c r="E5" s="169"/>
      <c r="F5" s="169"/>
      <c r="G5" s="455">
        <f>A8</f>
        <v>6</v>
      </c>
      <c r="H5" s="200" t="s">
        <v>3584</v>
      </c>
      <c r="I5" s="169"/>
      <c r="J5" s="183"/>
      <c r="K5" s="67"/>
    </row>
    <row r="6" spans="1:11" ht="12.75" customHeight="1" x14ac:dyDescent="0.35">
      <c r="A6" s="163">
        <v>4</v>
      </c>
      <c r="B6" s="67"/>
      <c r="C6" s="182"/>
      <c r="D6" s="193"/>
      <c r="E6" s="169"/>
      <c r="F6" s="169"/>
      <c r="G6" s="169"/>
      <c r="H6" s="172"/>
      <c r="I6" s="169"/>
      <c r="J6" s="183"/>
      <c r="K6" s="67"/>
    </row>
    <row r="7" spans="1:11" ht="9" customHeight="1" x14ac:dyDescent="0.35">
      <c r="A7" s="163">
        <v>5</v>
      </c>
      <c r="B7" s="67"/>
      <c r="C7" s="187"/>
      <c r="D7" s="188"/>
      <c r="E7" s="236"/>
      <c r="F7" s="236"/>
      <c r="G7" s="237"/>
      <c r="H7" s="237"/>
      <c r="I7" s="188"/>
      <c r="J7" s="238"/>
      <c r="K7" s="67"/>
    </row>
    <row r="8" spans="1:11" ht="12.75" customHeight="1" x14ac:dyDescent="0.35">
      <c r="A8" s="163">
        <v>6</v>
      </c>
      <c r="B8" s="67"/>
      <c r="C8" s="67"/>
      <c r="D8" s="67"/>
      <c r="E8" s="67"/>
      <c r="F8" s="67"/>
      <c r="G8" s="67"/>
      <c r="H8" s="67"/>
      <c r="I8" s="67"/>
      <c r="J8" s="67"/>
      <c r="K8" s="67"/>
    </row>
    <row r="9" spans="1:11" ht="12.75" customHeight="1" x14ac:dyDescent="0.35">
      <c r="A9" s="163">
        <v>7</v>
      </c>
      <c r="B9" s="67"/>
      <c r="C9" s="211" t="s">
        <v>851</v>
      </c>
      <c r="D9" s="249"/>
      <c r="E9" s="249"/>
      <c r="F9" s="249"/>
      <c r="G9" s="250"/>
      <c r="H9" s="251"/>
      <c r="I9" s="249"/>
      <c r="J9" s="456" t="str">
        <f>AIL</f>
        <v>AIL</v>
      </c>
      <c r="K9" s="67"/>
    </row>
    <row r="10" spans="1:11" ht="9" customHeight="1" x14ac:dyDescent="0.35">
      <c r="A10" s="163">
        <v>8</v>
      </c>
      <c r="B10" s="67"/>
      <c r="C10" s="252"/>
      <c r="D10" s="207"/>
      <c r="E10" s="207"/>
      <c r="F10" s="207"/>
      <c r="G10" s="239"/>
      <c r="H10" s="207"/>
      <c r="I10" s="207"/>
      <c r="J10" s="253"/>
      <c r="K10" s="67"/>
    </row>
    <row r="11" spans="1:11" ht="12.75" customHeight="1" x14ac:dyDescent="0.35">
      <c r="A11" s="163">
        <v>9</v>
      </c>
      <c r="B11" s="67"/>
      <c r="C11" s="247">
        <f>A9</f>
        <v>7</v>
      </c>
      <c r="D11" s="242" t="s">
        <v>1740</v>
      </c>
      <c r="E11" s="240"/>
      <c r="F11" s="240"/>
      <c r="G11" s="247">
        <f>A17</f>
        <v>13</v>
      </c>
      <c r="H11" s="244" t="s">
        <v>3668</v>
      </c>
      <c r="I11" s="243"/>
      <c r="J11" s="253"/>
      <c r="K11" s="67"/>
    </row>
    <row r="12" spans="1:11" ht="12.75" customHeight="1" x14ac:dyDescent="0.35">
      <c r="A12" s="163">
        <v>10</v>
      </c>
      <c r="B12" s="67"/>
      <c r="C12" s="252"/>
      <c r="D12" s="248"/>
      <c r="E12" s="207"/>
      <c r="F12" s="207"/>
      <c r="G12" s="239"/>
      <c r="H12" s="248"/>
      <c r="I12" s="207"/>
      <c r="J12" s="253"/>
      <c r="K12" s="67"/>
    </row>
    <row r="13" spans="1:11" ht="12.75" customHeight="1" x14ac:dyDescent="0.35">
      <c r="A13" s="163">
        <v>11</v>
      </c>
      <c r="B13" s="67"/>
      <c r="C13" s="252"/>
      <c r="D13" s="242"/>
      <c r="E13" s="242"/>
      <c r="F13" s="242"/>
      <c r="G13" s="239"/>
      <c r="H13" s="207"/>
      <c r="I13" s="243"/>
      <c r="J13" s="253"/>
      <c r="K13" s="67"/>
    </row>
    <row r="14" spans="1:11" ht="12.75" customHeight="1" x14ac:dyDescent="0.35">
      <c r="A14" s="115">
        <v>11.1</v>
      </c>
      <c r="B14" s="67"/>
      <c r="C14" s="247">
        <f>A10</f>
        <v>8</v>
      </c>
      <c r="D14" s="242" t="s">
        <v>1741</v>
      </c>
      <c r="E14" s="242"/>
      <c r="F14" s="242"/>
      <c r="G14" s="247">
        <f>A18</f>
        <v>14</v>
      </c>
      <c r="H14" s="244" t="s">
        <v>1748</v>
      </c>
      <c r="I14" s="243"/>
      <c r="J14" s="253"/>
      <c r="K14" s="67"/>
    </row>
    <row r="15" spans="1:11" ht="12.75" customHeight="1" x14ac:dyDescent="0.35">
      <c r="A15" s="115">
        <v>11.2</v>
      </c>
      <c r="B15" s="67"/>
      <c r="C15" s="252"/>
      <c r="D15" s="248"/>
      <c r="E15" s="246"/>
      <c r="F15" s="246"/>
      <c r="G15" s="239"/>
      <c r="H15" s="248"/>
      <c r="I15" s="207"/>
      <c r="J15" s="253"/>
      <c r="K15" s="67"/>
    </row>
    <row r="16" spans="1:11" ht="12.75" customHeight="1" x14ac:dyDescent="0.35">
      <c r="A16" s="163">
        <v>12</v>
      </c>
      <c r="B16" s="67"/>
      <c r="C16" s="252"/>
      <c r="D16" s="207"/>
      <c r="E16" s="207"/>
      <c r="F16" s="207"/>
      <c r="G16" s="239"/>
      <c r="H16" s="207"/>
      <c r="I16" s="243"/>
      <c r="J16" s="253"/>
      <c r="K16" s="67"/>
    </row>
    <row r="17" spans="1:11" ht="12.75" customHeight="1" x14ac:dyDescent="0.35">
      <c r="A17" s="163">
        <v>13</v>
      </c>
      <c r="B17" s="67"/>
      <c r="C17" s="247">
        <f>A11</f>
        <v>9</v>
      </c>
      <c r="D17" s="166" t="str">
        <f>"Tax taken off boxes "&amp;C11&amp;" and "&amp;C14</f>
        <v>Tax taken off boxes 7 and 8</v>
      </c>
      <c r="E17" s="242"/>
      <c r="F17" s="242"/>
      <c r="G17" s="247">
        <f>A19</f>
        <v>15</v>
      </c>
      <c r="H17" s="166" t="str">
        <f>"Foreign tax taken off boxes "&amp;G11&amp;" and "&amp;G14</f>
        <v>Foreign tax taken off boxes 13 and 14</v>
      </c>
      <c r="I17" s="243"/>
      <c r="J17" s="253"/>
      <c r="K17" s="67"/>
    </row>
    <row r="18" spans="1:11" ht="12.75" customHeight="1" x14ac:dyDescent="0.35">
      <c r="A18" s="163">
        <v>14</v>
      </c>
      <c r="B18" s="67"/>
      <c r="C18" s="252"/>
      <c r="D18" s="248"/>
      <c r="E18" s="207"/>
      <c r="F18" s="207"/>
      <c r="G18" s="239"/>
      <c r="H18" s="248"/>
      <c r="I18" s="207"/>
      <c r="J18" s="253"/>
      <c r="K18" s="67"/>
    </row>
    <row r="19" spans="1:11" x14ac:dyDescent="0.35">
      <c r="A19" s="163">
        <v>15</v>
      </c>
      <c r="B19" s="67"/>
      <c r="C19" s="252"/>
      <c r="D19" s="207"/>
      <c r="E19" s="242"/>
      <c r="F19" s="242"/>
      <c r="G19" s="239"/>
      <c r="H19" s="207"/>
      <c r="I19" s="207"/>
      <c r="J19" s="253"/>
      <c r="K19" s="67"/>
    </row>
    <row r="20" spans="1:11" x14ac:dyDescent="0.35">
      <c r="A20" s="163">
        <v>16</v>
      </c>
      <c r="B20" s="67"/>
      <c r="C20" s="223">
        <f>A12</f>
        <v>10</v>
      </c>
      <c r="D20" s="244" t="s">
        <v>1099</v>
      </c>
      <c r="E20" s="207"/>
      <c r="F20" s="207"/>
      <c r="G20" s="247">
        <f>A20</f>
        <v>16</v>
      </c>
      <c r="H20" s="242" t="s">
        <v>3503</v>
      </c>
      <c r="I20" s="207"/>
      <c r="J20" s="253"/>
      <c r="K20" s="67"/>
    </row>
    <row r="21" spans="1:11" x14ac:dyDescent="0.35">
      <c r="A21" s="163">
        <v>17</v>
      </c>
      <c r="B21" s="67"/>
      <c r="C21" s="252"/>
      <c r="D21" s="264"/>
      <c r="E21" s="207"/>
      <c r="F21" s="207"/>
      <c r="G21" s="239"/>
      <c r="H21" s="248"/>
      <c r="I21" s="207"/>
      <c r="J21" s="253"/>
      <c r="K21" s="67"/>
    </row>
    <row r="22" spans="1:11" x14ac:dyDescent="0.35">
      <c r="A22" s="163">
        <v>18</v>
      </c>
      <c r="B22" s="67"/>
      <c r="C22" s="252"/>
      <c r="D22" s="207"/>
      <c r="E22" s="207"/>
      <c r="F22" s="207"/>
      <c r="G22" s="239"/>
      <c r="H22" s="207"/>
      <c r="I22" s="207"/>
      <c r="J22" s="253"/>
      <c r="K22" s="67"/>
    </row>
    <row r="23" spans="1:11" x14ac:dyDescent="0.35">
      <c r="A23" s="163">
        <v>19</v>
      </c>
      <c r="B23" s="67"/>
      <c r="C23" s="223">
        <f>A13</f>
        <v>11</v>
      </c>
      <c r="D23" s="244" t="str">
        <f>"Tax paid by the pension scheme"</f>
        <v>Tax paid by the pension scheme</v>
      </c>
      <c r="E23" s="207"/>
      <c r="F23" s="207"/>
      <c r="G23" s="3337">
        <f>A21</f>
        <v>17</v>
      </c>
      <c r="H23" s="3338" t="s">
        <v>3813</v>
      </c>
      <c r="I23" s="3339"/>
      <c r="J23" s="3340"/>
      <c r="K23" s="67"/>
    </row>
    <row r="24" spans="1:11" ht="12.75" customHeight="1" x14ac:dyDescent="0.35">
      <c r="B24" s="67"/>
      <c r="C24" s="252"/>
      <c r="D24" s="264"/>
      <c r="E24" s="207"/>
      <c r="F24" s="207"/>
      <c r="G24" s="3341"/>
      <c r="H24" s="3342"/>
      <c r="I24" s="3339"/>
      <c r="J24" s="3343"/>
      <c r="K24" s="67"/>
    </row>
    <row r="25" spans="1:11" ht="12.75" customHeight="1" x14ac:dyDescent="0.35">
      <c r="B25" s="67"/>
      <c r="C25" s="252"/>
      <c r="D25" s="207"/>
      <c r="E25" s="207"/>
      <c r="F25" s="207"/>
      <c r="G25" s="241"/>
      <c r="H25" s="242"/>
      <c r="I25" s="245"/>
      <c r="J25" s="254"/>
      <c r="K25" s="67"/>
    </row>
    <row r="26" spans="1:11" x14ac:dyDescent="0.35">
      <c r="B26" s="67"/>
      <c r="C26" s="3364">
        <f>A14</f>
        <v>11.1</v>
      </c>
      <c r="D26" s="3365" t="s">
        <v>7940</v>
      </c>
      <c r="E26" s="2775"/>
      <c r="F26" s="207"/>
      <c r="G26" s="223">
        <f>A22</f>
        <v>18</v>
      </c>
      <c r="H26" s="166" t="str">
        <f>"Foreign tax taken off boxes "&amp;G20&amp;" and "&amp;G23</f>
        <v>Foreign tax taken off boxes 16 and 17</v>
      </c>
      <c r="I26" s="245"/>
      <c r="J26" s="254"/>
      <c r="K26" s="67"/>
    </row>
    <row r="27" spans="1:11" x14ac:dyDescent="0.35">
      <c r="B27" s="67"/>
      <c r="C27" s="252"/>
      <c r="D27" s="264"/>
      <c r="E27" s="2775" t="s">
        <v>7941</v>
      </c>
      <c r="F27" s="207"/>
      <c r="G27" s="207"/>
      <c r="H27" s="248"/>
      <c r="I27" s="245"/>
      <c r="J27" s="254"/>
      <c r="K27" s="67"/>
    </row>
    <row r="28" spans="1:11" x14ac:dyDescent="0.35">
      <c r="B28" s="67"/>
      <c r="C28" s="252"/>
      <c r="D28" s="207"/>
      <c r="E28" s="207"/>
      <c r="F28" s="207"/>
      <c r="G28" s="207"/>
      <c r="H28" s="207"/>
      <c r="I28" s="245"/>
      <c r="J28" s="254"/>
      <c r="K28" s="67"/>
    </row>
    <row r="29" spans="1:11" x14ac:dyDescent="0.35">
      <c r="B29" s="67"/>
      <c r="C29" s="3364">
        <f>A15</f>
        <v>11.2</v>
      </c>
      <c r="D29" s="3365" t="str">
        <f>"Tax paid by the pension scheme"</f>
        <v>Tax paid by the pension scheme</v>
      </c>
      <c r="E29" s="3366"/>
      <c r="F29" s="207"/>
      <c r="G29" s="207"/>
      <c r="H29" s="207"/>
      <c r="I29" s="245"/>
      <c r="J29" s="254"/>
      <c r="K29" s="67"/>
    </row>
    <row r="30" spans="1:11" x14ac:dyDescent="0.35">
      <c r="B30" s="67"/>
      <c r="C30" s="252"/>
      <c r="D30" s="264"/>
      <c r="E30" s="207"/>
      <c r="F30" s="207"/>
      <c r="G30" s="207"/>
      <c r="H30" s="207"/>
      <c r="I30" s="245"/>
      <c r="J30" s="254"/>
      <c r="K30" s="67"/>
    </row>
    <row r="31" spans="1:11" x14ac:dyDescent="0.35">
      <c r="B31" s="67"/>
      <c r="C31" s="255"/>
      <c r="D31" s="256"/>
      <c r="E31" s="256"/>
      <c r="F31" s="256"/>
      <c r="G31" s="256"/>
      <c r="H31" s="256"/>
      <c r="I31" s="256"/>
      <c r="J31" s="257"/>
      <c r="K31" s="67"/>
    </row>
    <row r="32" spans="1:11" x14ac:dyDescent="0.35">
      <c r="B32" s="67"/>
      <c r="C32" s="67"/>
      <c r="D32" s="67"/>
      <c r="E32" s="67"/>
      <c r="F32" s="67"/>
      <c r="G32" s="67"/>
      <c r="H32" s="67"/>
      <c r="I32" s="67"/>
      <c r="J32" s="67"/>
      <c r="K32" s="67"/>
    </row>
  </sheetData>
  <sheetProtection sheet="1" objects="1" scenarios="1"/>
  <phoneticPr fontId="68" type="noConversion"/>
  <pageMargins left="0.75" right="0.75" top="1" bottom="1" header="0.5" footer="0.5"/>
  <pageSetup paperSize="9" orientation="landscape" r:id="rId1"/>
  <headerFooter alignWithMargins="0"/>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T40"/>
  <sheetViews>
    <sheetView showGridLines="0" showRowColHeaders="0" topLeftCell="B1" workbookViewId="0">
      <selection activeCell="G7" sqref="G7"/>
    </sheetView>
  </sheetViews>
  <sheetFormatPr defaultColWidth="9.1328125" defaultRowHeight="11.65" x14ac:dyDescent="0.35"/>
  <cols>
    <col min="1" max="1" width="4.86328125" style="115" hidden="1" customWidth="1"/>
    <col min="2" max="2" width="7" style="115" customWidth="1"/>
    <col min="3" max="3" width="5.1328125" style="150" customWidth="1"/>
    <col min="4" max="4" width="14" style="115" customWidth="1"/>
    <col min="5" max="5" width="7.59765625" style="115" customWidth="1"/>
    <col min="6" max="6" width="4.265625" style="115" customWidth="1"/>
    <col min="7" max="7" width="5.1328125" style="115" customWidth="1"/>
    <col min="8" max="8" width="14" style="115" customWidth="1"/>
    <col min="9" max="9" width="6.265625" style="115" customWidth="1"/>
    <col min="10" max="10" width="4.3984375" style="115" customWidth="1"/>
    <col min="11" max="11" width="5.1328125" style="150" customWidth="1"/>
    <col min="12" max="12" width="14" style="115" customWidth="1"/>
    <col min="13" max="13" width="7.86328125" style="115" customWidth="1"/>
    <col min="14" max="14" width="4.1328125" style="115" customWidth="1"/>
    <col min="15" max="15" width="5.1328125" style="150" customWidth="1"/>
    <col min="16" max="16" width="14" style="115" customWidth="1"/>
    <col min="17" max="17" width="6.86328125" style="115" customWidth="1"/>
    <col min="18" max="18" width="37" style="115" customWidth="1"/>
    <col min="19" max="19" width="14.3984375" style="115" hidden="1" customWidth="1"/>
    <col min="20" max="20" width="26.86328125" style="115" hidden="1" customWidth="1"/>
    <col min="21" max="16384" width="9.1328125" style="115"/>
  </cols>
  <sheetData>
    <row r="1" spans="1:20" ht="6" customHeight="1" x14ac:dyDescent="0.35">
      <c r="A1" s="115" t="s">
        <v>4043</v>
      </c>
      <c r="B1" s="85"/>
      <c r="C1" s="149"/>
      <c r="D1" s="85"/>
      <c r="E1" s="85"/>
      <c r="F1" s="85"/>
      <c r="G1" s="85"/>
      <c r="H1" s="85"/>
      <c r="I1" s="85"/>
      <c r="J1" s="85"/>
      <c r="K1" s="149"/>
      <c r="L1" s="85"/>
      <c r="M1" s="85"/>
      <c r="N1" s="85"/>
      <c r="O1" s="149"/>
      <c r="P1" s="85"/>
      <c r="Q1" s="85"/>
      <c r="R1" s="85"/>
    </row>
    <row r="2" spans="1:20" ht="12.75" customHeight="1" x14ac:dyDescent="0.35">
      <c r="B2" s="85"/>
      <c r="C2" s="266" t="s">
        <v>1594</v>
      </c>
      <c r="D2" s="268"/>
      <c r="E2" s="268"/>
      <c r="F2" s="268"/>
      <c r="G2" s="268"/>
      <c r="H2" s="268"/>
      <c r="I2" s="460" t="s">
        <v>4043</v>
      </c>
      <c r="J2" s="85"/>
      <c r="K2" s="266" t="s">
        <v>3394</v>
      </c>
      <c r="L2" s="268"/>
      <c r="M2" s="267"/>
      <c r="N2" s="267"/>
      <c r="O2" s="279"/>
      <c r="P2" s="267"/>
      <c r="Q2" s="460" t="s">
        <v>4043</v>
      </c>
      <c r="R2" s="85"/>
    </row>
    <row r="3" spans="1:20" ht="8.1" customHeight="1" x14ac:dyDescent="0.35">
      <c r="A3" s="115">
        <v>1</v>
      </c>
      <c r="B3" s="73"/>
      <c r="C3" s="275"/>
      <c r="D3" s="261"/>
      <c r="E3" s="261"/>
      <c r="F3" s="261"/>
      <c r="G3" s="261"/>
      <c r="H3" s="261"/>
      <c r="I3" s="269"/>
      <c r="J3" s="85"/>
      <c r="K3" s="275"/>
      <c r="L3" s="262"/>
      <c r="M3" s="261"/>
      <c r="N3" s="261"/>
      <c r="O3" s="276"/>
      <c r="P3" s="261"/>
      <c r="Q3" s="269"/>
      <c r="R3" s="73"/>
      <c r="S3" s="115" t="s">
        <v>4627</v>
      </c>
    </row>
    <row r="4" spans="1:20" ht="12.75" customHeight="1" x14ac:dyDescent="0.35">
      <c r="A4" s="115">
        <v>2</v>
      </c>
      <c r="B4" s="73"/>
      <c r="C4" s="190">
        <f>A3</f>
        <v>1</v>
      </c>
      <c r="D4" s="261" t="s">
        <v>1592</v>
      </c>
      <c r="E4" s="261"/>
      <c r="F4" s="261"/>
      <c r="G4" s="261"/>
      <c r="H4" s="261"/>
      <c r="I4" s="269"/>
      <c r="J4" s="85"/>
      <c r="K4" s="190">
        <f>A3</f>
        <v>1</v>
      </c>
      <c r="L4" s="261" t="s">
        <v>1592</v>
      </c>
      <c r="M4" s="261"/>
      <c r="N4" s="261"/>
      <c r="O4" s="276"/>
      <c r="P4" s="261"/>
      <c r="Q4" s="269"/>
      <c r="R4" s="73"/>
      <c r="S4" s="151" t="s">
        <v>2621</v>
      </c>
      <c r="T4" s="152"/>
    </row>
    <row r="5" spans="1:20" ht="12.75" customHeight="1" x14ac:dyDescent="0.35">
      <c r="A5" s="115">
        <v>3</v>
      </c>
      <c r="B5" s="73"/>
      <c r="C5" s="275"/>
      <c r="D5" s="264"/>
      <c r="E5" s="261"/>
      <c r="F5" s="261"/>
      <c r="G5" s="261"/>
      <c r="H5" s="261"/>
      <c r="I5" s="269"/>
      <c r="J5" s="85"/>
      <c r="K5" s="389"/>
      <c r="L5" s="264"/>
      <c r="M5" s="261"/>
      <c r="N5" s="261"/>
      <c r="O5" s="276"/>
      <c r="P5" s="261"/>
      <c r="Q5" s="277"/>
      <c r="R5" s="73"/>
      <c r="S5" s="113">
        <f>TRUNC(D5+D11,0)</f>
        <v>0</v>
      </c>
      <c r="T5" s="113">
        <f>TRUNC(L5+L11,0)</f>
        <v>0</v>
      </c>
    </row>
    <row r="6" spans="1:20" ht="8.1" customHeight="1" x14ac:dyDescent="0.35">
      <c r="A6" s="115">
        <v>4</v>
      </c>
      <c r="B6" s="73"/>
      <c r="C6" s="275"/>
      <c r="D6" s="262"/>
      <c r="E6" s="262"/>
      <c r="F6" s="262"/>
      <c r="G6" s="262"/>
      <c r="H6" s="262"/>
      <c r="I6" s="270"/>
      <c r="J6" s="85"/>
      <c r="K6" s="389"/>
      <c r="L6" s="262"/>
      <c r="M6" s="262"/>
      <c r="N6" s="262"/>
      <c r="O6" s="276"/>
      <c r="P6" s="261"/>
      <c r="Q6" s="277"/>
      <c r="R6" s="73"/>
      <c r="S6" s="114"/>
      <c r="T6" s="114"/>
    </row>
    <row r="7" spans="1:20" ht="12.75" customHeight="1" x14ac:dyDescent="0.35">
      <c r="A7" s="115">
        <v>5</v>
      </c>
      <c r="B7" s="73"/>
      <c r="C7" s="190">
        <f>A4</f>
        <v>2</v>
      </c>
      <c r="D7" s="263" t="str">
        <f>"Tax taken off box "&amp;C4</f>
        <v>Tax taken off box 1</v>
      </c>
      <c r="E7" s="262"/>
      <c r="F7" s="262"/>
      <c r="G7" s="262"/>
      <c r="H7" s="262"/>
      <c r="I7" s="270"/>
      <c r="J7" s="85"/>
      <c r="K7" s="190">
        <f>A4</f>
        <v>2</v>
      </c>
      <c r="L7" s="263" t="str">
        <f>"Tax taken off box "&amp;K4</f>
        <v>Tax taken off box 1</v>
      </c>
      <c r="M7" s="262"/>
      <c r="N7" s="262"/>
      <c r="O7" s="276"/>
      <c r="P7" s="261"/>
      <c r="Q7" s="277"/>
      <c r="R7" s="73"/>
    </row>
    <row r="8" spans="1:20" ht="12.75" customHeight="1" x14ac:dyDescent="0.35">
      <c r="A8" s="115">
        <v>6</v>
      </c>
      <c r="B8" s="73"/>
      <c r="C8" s="275"/>
      <c r="D8" s="976"/>
      <c r="E8" s="261"/>
      <c r="F8" s="261"/>
      <c r="G8" s="261"/>
      <c r="H8" s="261"/>
      <c r="I8" s="269"/>
      <c r="J8" s="85"/>
      <c r="K8" s="389"/>
      <c r="L8" s="976"/>
      <c r="M8" s="261"/>
      <c r="N8" s="261"/>
      <c r="O8" s="276"/>
      <c r="P8" s="261"/>
      <c r="Q8" s="277"/>
      <c r="R8" s="73"/>
    </row>
    <row r="9" spans="1:20" ht="8.1" customHeight="1" x14ac:dyDescent="0.35">
      <c r="A9" s="115">
        <v>7</v>
      </c>
      <c r="B9" s="73"/>
      <c r="C9" s="275"/>
      <c r="D9" s="261"/>
      <c r="E9" s="261"/>
      <c r="F9" s="261"/>
      <c r="G9" s="261"/>
      <c r="H9" s="261"/>
      <c r="I9" s="269"/>
      <c r="J9" s="85"/>
      <c r="K9" s="389"/>
      <c r="L9" s="261"/>
      <c r="M9" s="261"/>
      <c r="N9" s="261"/>
      <c r="O9" s="276"/>
      <c r="P9" s="261"/>
      <c r="Q9" s="277"/>
      <c r="R9" s="73"/>
    </row>
    <row r="10" spans="1:20" ht="12.75" customHeight="1" x14ac:dyDescent="0.35">
      <c r="A10" s="115">
        <v>8</v>
      </c>
      <c r="B10" s="73"/>
      <c r="C10" s="190">
        <f>A5</f>
        <v>3</v>
      </c>
      <c r="D10" s="261" t="s">
        <v>1595</v>
      </c>
      <c r="E10" s="261"/>
      <c r="F10" s="261"/>
      <c r="G10" s="261"/>
      <c r="H10" s="261"/>
      <c r="I10" s="269"/>
      <c r="J10" s="85"/>
      <c r="K10" s="190">
        <f>A5</f>
        <v>3</v>
      </c>
      <c r="L10" s="261" t="s">
        <v>1595</v>
      </c>
      <c r="M10" s="261"/>
      <c r="N10" s="261"/>
      <c r="O10" s="276"/>
      <c r="P10" s="261"/>
      <c r="Q10" s="277"/>
      <c r="R10" s="73"/>
      <c r="S10" s="115" t="s">
        <v>4628</v>
      </c>
    </row>
    <row r="11" spans="1:20" ht="12.75" customHeight="1" x14ac:dyDescent="0.35">
      <c r="A11" s="115">
        <v>9</v>
      </c>
      <c r="B11" s="73"/>
      <c r="C11" s="275"/>
      <c r="D11" s="264"/>
      <c r="E11" s="262"/>
      <c r="F11" s="262"/>
      <c r="G11" s="190">
        <f>A10</f>
        <v>8</v>
      </c>
      <c r="H11" s="263"/>
      <c r="I11" s="270"/>
      <c r="J11" s="85"/>
      <c r="K11" s="389"/>
      <c r="L11" s="264"/>
      <c r="M11" s="262"/>
      <c r="N11" s="262"/>
      <c r="O11" s="190">
        <f>A10</f>
        <v>8</v>
      </c>
      <c r="P11" s="263"/>
      <c r="Q11" s="277"/>
      <c r="R11" s="73"/>
      <c r="S11" s="116" t="b">
        <v>0</v>
      </c>
      <c r="T11" s="116" t="b">
        <v>0</v>
      </c>
    </row>
    <row r="12" spans="1:20" ht="9" customHeight="1" x14ac:dyDescent="0.35">
      <c r="A12" s="115">
        <v>10</v>
      </c>
      <c r="B12" s="73"/>
      <c r="C12" s="275"/>
      <c r="D12" s="262"/>
      <c r="E12" s="262"/>
      <c r="F12" s="262"/>
      <c r="G12" s="262"/>
      <c r="H12" s="262"/>
      <c r="I12" s="273"/>
      <c r="J12" s="85"/>
      <c r="K12" s="389"/>
      <c r="L12" s="262"/>
      <c r="M12" s="262"/>
      <c r="N12" s="262"/>
      <c r="O12" s="391"/>
      <c r="P12" s="262"/>
      <c r="Q12" s="277"/>
      <c r="R12" s="73"/>
    </row>
    <row r="13" spans="1:20" ht="6" customHeight="1" x14ac:dyDescent="0.35">
      <c r="A13" s="115">
        <v>11</v>
      </c>
      <c r="B13" s="73"/>
      <c r="C13" s="282"/>
      <c r="D13" s="271"/>
      <c r="E13" s="271"/>
      <c r="F13" s="271"/>
      <c r="G13" s="271"/>
      <c r="H13" s="271"/>
      <c r="I13" s="272"/>
      <c r="J13" s="85"/>
      <c r="K13" s="390"/>
      <c r="L13" s="271"/>
      <c r="M13" s="271"/>
      <c r="N13" s="271"/>
      <c r="O13" s="392"/>
      <c r="P13" s="271"/>
      <c r="Q13" s="278"/>
      <c r="R13" s="73"/>
    </row>
    <row r="14" spans="1:20" ht="12.75" customHeight="1" x14ac:dyDescent="0.35">
      <c r="A14" s="115">
        <v>12</v>
      </c>
      <c r="B14" s="73"/>
      <c r="C14" s="266" t="s">
        <v>1593</v>
      </c>
      <c r="D14" s="267"/>
      <c r="E14" s="267"/>
      <c r="F14" s="267"/>
      <c r="G14" s="267"/>
      <c r="H14" s="267"/>
      <c r="I14" s="460" t="s">
        <v>4043</v>
      </c>
      <c r="J14" s="85"/>
      <c r="K14" s="266" t="s">
        <v>2550</v>
      </c>
      <c r="L14" s="267"/>
      <c r="M14" s="267"/>
      <c r="N14" s="267"/>
      <c r="O14" s="393"/>
      <c r="P14" s="267"/>
      <c r="Q14" s="460" t="s">
        <v>4043</v>
      </c>
      <c r="R14" s="73"/>
    </row>
    <row r="15" spans="1:20" ht="8.1" customHeight="1" x14ac:dyDescent="0.35">
      <c r="A15" s="115">
        <v>13</v>
      </c>
      <c r="B15" s="73"/>
      <c r="C15" s="275"/>
      <c r="D15" s="261"/>
      <c r="E15" s="261"/>
      <c r="F15" s="261"/>
      <c r="G15" s="261"/>
      <c r="H15" s="261"/>
      <c r="I15" s="269"/>
      <c r="J15" s="85"/>
      <c r="K15" s="389"/>
      <c r="L15" s="261"/>
      <c r="M15" s="261"/>
      <c r="N15" s="261"/>
      <c r="O15" s="391"/>
      <c r="P15" s="261"/>
      <c r="Q15" s="277"/>
      <c r="R15" s="73"/>
      <c r="S15" s="115" t="s">
        <v>4629</v>
      </c>
    </row>
    <row r="16" spans="1:20" ht="12.75" customHeight="1" x14ac:dyDescent="0.35">
      <c r="A16" s="115">
        <v>14</v>
      </c>
      <c r="B16" s="73"/>
      <c r="C16" s="190">
        <f>A11</f>
        <v>9</v>
      </c>
      <c r="D16" s="261" t="s">
        <v>3395</v>
      </c>
      <c r="E16" s="261"/>
      <c r="F16" s="261"/>
      <c r="G16" s="190">
        <f>A15</f>
        <v>13</v>
      </c>
      <c r="H16" s="261" t="s">
        <v>4053</v>
      </c>
      <c r="I16" s="269"/>
      <c r="J16" s="85"/>
      <c r="K16" s="190">
        <f>A11</f>
        <v>9</v>
      </c>
      <c r="L16" s="261" t="s">
        <v>3395</v>
      </c>
      <c r="M16" s="261"/>
      <c r="N16" s="261"/>
      <c r="O16" s="190">
        <f>A15</f>
        <v>13</v>
      </c>
      <c r="P16" s="261" t="s">
        <v>4053</v>
      </c>
      <c r="Q16" s="277"/>
      <c r="R16" s="85"/>
      <c r="S16" s="281" t="s">
        <v>949</v>
      </c>
    </row>
    <row r="17" spans="1:20" ht="12.75" customHeight="1" x14ac:dyDescent="0.35">
      <c r="A17" s="115">
        <v>15</v>
      </c>
      <c r="B17" s="85"/>
      <c r="C17" s="275"/>
      <c r="D17" s="264"/>
      <c r="E17" s="261"/>
      <c r="F17" s="261"/>
      <c r="G17" s="261"/>
      <c r="H17" s="264"/>
      <c r="I17" s="269"/>
      <c r="J17" s="85"/>
      <c r="K17" s="389"/>
      <c r="L17" s="265"/>
      <c r="M17" s="261"/>
      <c r="N17" s="261"/>
      <c r="O17" s="394"/>
      <c r="P17" s="264"/>
      <c r="Q17" s="269"/>
      <c r="R17" s="85"/>
      <c r="S17" s="113">
        <f>TRUNC(D17+D20+D23+D26+H17+H20+H23+H26,0)</f>
        <v>0</v>
      </c>
      <c r="T17" s="113">
        <f>TRUNC(L17+L20+L23+L26+P17+P20+P23+P26,0)</f>
        <v>0</v>
      </c>
    </row>
    <row r="18" spans="1:20" ht="8.1" customHeight="1" x14ac:dyDescent="0.35">
      <c r="A18" s="115">
        <v>16</v>
      </c>
      <c r="B18" s="85"/>
      <c r="C18" s="275"/>
      <c r="D18" s="261"/>
      <c r="E18" s="261"/>
      <c r="F18" s="261"/>
      <c r="G18" s="261"/>
      <c r="H18" s="261"/>
      <c r="I18" s="269"/>
      <c r="J18" s="85"/>
      <c r="K18" s="389"/>
      <c r="L18" s="261"/>
      <c r="M18" s="261"/>
      <c r="N18" s="261"/>
      <c r="O18" s="394"/>
      <c r="P18" s="261"/>
      <c r="Q18" s="269"/>
      <c r="R18" s="85"/>
    </row>
    <row r="19" spans="1:20" ht="12.75" customHeight="1" x14ac:dyDescent="0.35">
      <c r="A19" s="115">
        <v>17</v>
      </c>
      <c r="B19" s="85"/>
      <c r="C19" s="190">
        <f>A12</f>
        <v>10</v>
      </c>
      <c r="D19" s="261" t="s">
        <v>4050</v>
      </c>
      <c r="E19" s="261"/>
      <c r="F19" s="261"/>
      <c r="G19" s="190">
        <f>A16</f>
        <v>14</v>
      </c>
      <c r="H19" s="261" t="s">
        <v>4054</v>
      </c>
      <c r="I19" s="269"/>
      <c r="J19" s="85"/>
      <c r="K19" s="190">
        <f>A12</f>
        <v>10</v>
      </c>
      <c r="L19" s="261" t="s">
        <v>4050</v>
      </c>
      <c r="M19" s="261"/>
      <c r="N19" s="261"/>
      <c r="O19" s="190">
        <f>A16</f>
        <v>14</v>
      </c>
      <c r="P19" s="261" t="s">
        <v>4054</v>
      </c>
      <c r="Q19" s="269"/>
      <c r="R19" s="85"/>
    </row>
    <row r="20" spans="1:20" ht="12.75" customHeight="1" x14ac:dyDescent="0.35">
      <c r="A20" s="115">
        <v>18</v>
      </c>
      <c r="B20" s="85"/>
      <c r="C20" s="275"/>
      <c r="D20" s="264"/>
      <c r="E20" s="261"/>
      <c r="F20" s="261"/>
      <c r="G20" s="261"/>
      <c r="H20" s="264"/>
      <c r="I20" s="269"/>
      <c r="J20" s="85"/>
      <c r="K20" s="389"/>
      <c r="L20" s="264"/>
      <c r="M20" s="261"/>
      <c r="N20" s="261"/>
      <c r="O20" s="394"/>
      <c r="P20" s="264"/>
      <c r="Q20" s="269"/>
      <c r="R20" s="85"/>
    </row>
    <row r="21" spans="1:20" ht="8.1" customHeight="1" x14ac:dyDescent="0.35">
      <c r="A21" s="115">
        <v>19</v>
      </c>
      <c r="B21" s="85"/>
      <c r="C21" s="275"/>
      <c r="D21" s="261"/>
      <c r="E21" s="261"/>
      <c r="F21" s="261"/>
      <c r="G21" s="261"/>
      <c r="H21" s="261"/>
      <c r="I21" s="269"/>
      <c r="J21" s="85"/>
      <c r="K21" s="389"/>
      <c r="L21" s="261"/>
      <c r="M21" s="261"/>
      <c r="N21" s="261"/>
      <c r="O21" s="394"/>
      <c r="P21" s="261"/>
      <c r="Q21" s="269"/>
      <c r="R21" s="85"/>
    </row>
    <row r="22" spans="1:20" ht="12.75" customHeight="1" x14ac:dyDescent="0.35">
      <c r="A22" s="115">
        <v>20</v>
      </c>
      <c r="B22" s="85"/>
      <c r="C22" s="190">
        <f>A13</f>
        <v>11</v>
      </c>
      <c r="D22" s="261" t="s">
        <v>4051</v>
      </c>
      <c r="E22" s="261"/>
      <c r="F22" s="261"/>
      <c r="G22" s="190">
        <f>A17</f>
        <v>15</v>
      </c>
      <c r="H22" s="261" t="s">
        <v>1012</v>
      </c>
      <c r="I22" s="269"/>
      <c r="J22" s="85"/>
      <c r="K22" s="190">
        <f>A13</f>
        <v>11</v>
      </c>
      <c r="L22" s="261" t="s">
        <v>4051</v>
      </c>
      <c r="M22" s="261"/>
      <c r="N22" s="261"/>
      <c r="O22" s="190">
        <f>A17</f>
        <v>15</v>
      </c>
      <c r="P22" s="261" t="s">
        <v>1012</v>
      </c>
      <c r="Q22" s="269"/>
      <c r="R22" s="85"/>
    </row>
    <row r="23" spans="1:20" ht="12.75" customHeight="1" x14ac:dyDescent="0.35">
      <c r="B23" s="85"/>
      <c r="C23" s="275"/>
      <c r="D23" s="264"/>
      <c r="E23" s="261"/>
      <c r="F23" s="261"/>
      <c r="G23" s="261"/>
      <c r="H23" s="264"/>
      <c r="I23" s="269"/>
      <c r="J23" s="85"/>
      <c r="K23" s="389"/>
      <c r="L23" s="264"/>
      <c r="M23" s="261"/>
      <c r="N23" s="261"/>
      <c r="O23" s="394"/>
      <c r="P23" s="264"/>
      <c r="Q23" s="269"/>
      <c r="R23" s="85"/>
    </row>
    <row r="24" spans="1:20" ht="8.1" customHeight="1" x14ac:dyDescent="0.35">
      <c r="B24" s="85"/>
      <c r="C24" s="275"/>
      <c r="D24" s="261"/>
      <c r="E24" s="261"/>
      <c r="F24" s="261"/>
      <c r="G24" s="261"/>
      <c r="H24" s="261"/>
      <c r="I24" s="269"/>
      <c r="J24" s="85"/>
      <c r="K24" s="389"/>
      <c r="L24" s="261"/>
      <c r="M24" s="261"/>
      <c r="N24" s="261"/>
      <c r="O24" s="394"/>
      <c r="P24" s="261"/>
      <c r="Q24" s="269"/>
      <c r="R24" s="85"/>
    </row>
    <row r="25" spans="1:20" ht="12.75" customHeight="1" x14ac:dyDescent="0.35">
      <c r="B25" s="85"/>
      <c r="C25" s="190">
        <f>A14</f>
        <v>12</v>
      </c>
      <c r="D25" s="261" t="s">
        <v>4052</v>
      </c>
      <c r="E25" s="261"/>
      <c r="F25" s="261"/>
      <c r="G25" s="190">
        <f>A18</f>
        <v>16</v>
      </c>
      <c r="H25" s="261" t="s">
        <v>4055</v>
      </c>
      <c r="I25" s="269"/>
      <c r="J25" s="85"/>
      <c r="K25" s="190">
        <f>A14</f>
        <v>12</v>
      </c>
      <c r="L25" s="261" t="s">
        <v>4052</v>
      </c>
      <c r="M25" s="261"/>
      <c r="N25" s="261"/>
      <c r="O25" s="190">
        <f>A18</f>
        <v>16</v>
      </c>
      <c r="P25" s="261" t="s">
        <v>4055</v>
      </c>
      <c r="Q25" s="269"/>
      <c r="R25" s="85"/>
    </row>
    <row r="26" spans="1:20" ht="12.75" customHeight="1" x14ac:dyDescent="0.35">
      <c r="B26" s="85"/>
      <c r="C26" s="275"/>
      <c r="D26" s="264"/>
      <c r="E26" s="261"/>
      <c r="F26" s="261"/>
      <c r="G26" s="261"/>
      <c r="H26" s="264"/>
      <c r="I26" s="269"/>
      <c r="J26" s="85"/>
      <c r="K26" s="389"/>
      <c r="L26" s="264"/>
      <c r="M26" s="261"/>
      <c r="N26" s="261"/>
      <c r="O26" s="394"/>
      <c r="P26" s="264"/>
      <c r="Q26" s="269"/>
      <c r="R26" s="85"/>
    </row>
    <row r="27" spans="1:20" ht="6" customHeight="1" x14ac:dyDescent="0.35">
      <c r="B27" s="85"/>
      <c r="C27" s="282"/>
      <c r="D27" s="271"/>
      <c r="E27" s="271"/>
      <c r="F27" s="271"/>
      <c r="G27" s="271"/>
      <c r="H27" s="271"/>
      <c r="I27" s="272"/>
      <c r="J27" s="86"/>
      <c r="K27" s="390"/>
      <c r="L27" s="271"/>
      <c r="M27" s="271"/>
      <c r="N27" s="271"/>
      <c r="O27" s="395"/>
      <c r="P27" s="271"/>
      <c r="Q27" s="272"/>
      <c r="R27" s="85"/>
    </row>
    <row r="28" spans="1:20" x14ac:dyDescent="0.35">
      <c r="B28" s="85"/>
      <c r="C28" s="266" t="s">
        <v>4056</v>
      </c>
      <c r="D28" s="267"/>
      <c r="E28" s="267"/>
      <c r="F28" s="267"/>
      <c r="G28" s="267"/>
      <c r="H28" s="267"/>
      <c r="I28" s="460" t="s">
        <v>4043</v>
      </c>
      <c r="J28" s="86"/>
      <c r="K28" s="266" t="s">
        <v>1433</v>
      </c>
      <c r="L28" s="267"/>
      <c r="M28" s="267"/>
      <c r="N28" s="267"/>
      <c r="O28" s="396"/>
      <c r="P28" s="267"/>
      <c r="Q28" s="460" t="s">
        <v>4043</v>
      </c>
      <c r="R28" s="85"/>
    </row>
    <row r="29" spans="1:20" ht="8.1" customHeight="1" x14ac:dyDescent="0.35">
      <c r="B29" s="85"/>
      <c r="C29" s="275"/>
      <c r="D29" s="261"/>
      <c r="E29" s="261"/>
      <c r="F29" s="261"/>
      <c r="G29" s="261"/>
      <c r="H29" s="261"/>
      <c r="I29" s="269"/>
      <c r="J29" s="86"/>
      <c r="K29" s="389"/>
      <c r="L29" s="261"/>
      <c r="M29" s="261"/>
      <c r="N29" s="261"/>
      <c r="O29" s="394"/>
      <c r="P29" s="261"/>
      <c r="Q29" s="269"/>
      <c r="R29" s="85"/>
    </row>
    <row r="30" spans="1:20" x14ac:dyDescent="0.35">
      <c r="B30" s="85"/>
      <c r="C30" s="190">
        <f>A19</f>
        <v>17</v>
      </c>
      <c r="D30" s="261" t="s">
        <v>4058</v>
      </c>
      <c r="E30" s="261"/>
      <c r="F30" s="261"/>
      <c r="G30" s="190">
        <f>A21</f>
        <v>19</v>
      </c>
      <c r="H30" s="261" t="s">
        <v>4059</v>
      </c>
      <c r="I30" s="269"/>
      <c r="J30" s="86"/>
      <c r="K30" s="190">
        <f>A19</f>
        <v>17</v>
      </c>
      <c r="L30" s="261" t="s">
        <v>4058</v>
      </c>
      <c r="M30" s="261"/>
      <c r="N30" s="261"/>
      <c r="O30" s="190">
        <f>A21</f>
        <v>19</v>
      </c>
      <c r="P30" s="261" t="s">
        <v>4059</v>
      </c>
      <c r="Q30" s="269"/>
      <c r="R30" s="85"/>
      <c r="S30" s="151" t="s">
        <v>950</v>
      </c>
    </row>
    <row r="31" spans="1:20" x14ac:dyDescent="0.35">
      <c r="B31" s="85"/>
      <c r="C31" s="275"/>
      <c r="D31" s="264"/>
      <c r="E31" s="261"/>
      <c r="F31" s="261"/>
      <c r="G31" s="261"/>
      <c r="H31" s="264"/>
      <c r="I31" s="269"/>
      <c r="J31" s="86"/>
      <c r="K31" s="389"/>
      <c r="L31" s="264"/>
      <c r="M31" s="261"/>
      <c r="N31" s="261"/>
      <c r="O31" s="394"/>
      <c r="P31" s="264"/>
      <c r="Q31" s="269"/>
      <c r="R31" s="85"/>
      <c r="S31" s="113">
        <f>TRUNC((D31+D34+H31+H34)+0.99,0)</f>
        <v>0</v>
      </c>
      <c r="T31" s="113">
        <f>TRUNC((L31+L34+P31+P34)+0.99,0)</f>
        <v>0</v>
      </c>
    </row>
    <row r="32" spans="1:20" ht="8.1" customHeight="1" x14ac:dyDescent="0.35">
      <c r="B32" s="85"/>
      <c r="C32" s="275"/>
      <c r="D32" s="261"/>
      <c r="E32" s="261"/>
      <c r="F32" s="261"/>
      <c r="G32" s="261"/>
      <c r="H32" s="261"/>
      <c r="I32" s="269"/>
      <c r="J32" s="86"/>
      <c r="K32" s="389"/>
      <c r="L32" s="261"/>
      <c r="M32" s="261"/>
      <c r="N32" s="261"/>
      <c r="O32" s="394"/>
      <c r="P32" s="261"/>
      <c r="Q32" s="269"/>
      <c r="R32" s="85"/>
    </row>
    <row r="33" spans="2:20" x14ac:dyDescent="0.35">
      <c r="B33" s="85"/>
      <c r="C33" s="190">
        <f>A20</f>
        <v>18</v>
      </c>
      <c r="D33" s="261" t="s">
        <v>4057</v>
      </c>
      <c r="E33" s="261"/>
      <c r="F33" s="261"/>
      <c r="G33" s="190">
        <f>A22</f>
        <v>20</v>
      </c>
      <c r="H33" s="261" t="s">
        <v>1971</v>
      </c>
      <c r="I33" s="269"/>
      <c r="J33" s="86"/>
      <c r="K33" s="190">
        <f>A20</f>
        <v>18</v>
      </c>
      <c r="L33" s="261" t="s">
        <v>4057</v>
      </c>
      <c r="M33" s="261"/>
      <c r="N33" s="261"/>
      <c r="O33" s="190">
        <f>A22</f>
        <v>20</v>
      </c>
      <c r="P33" s="261" t="s">
        <v>1971</v>
      </c>
      <c r="Q33" s="269"/>
      <c r="R33" s="85"/>
      <c r="S33" s="499"/>
      <c r="T33" s="500"/>
    </row>
    <row r="34" spans="2:20" x14ac:dyDescent="0.35">
      <c r="B34" s="85"/>
      <c r="C34" s="275"/>
      <c r="D34" s="264"/>
      <c r="E34" s="261"/>
      <c r="F34" s="261"/>
      <c r="G34" s="261"/>
      <c r="H34" s="264"/>
      <c r="I34" s="269"/>
      <c r="J34" s="86"/>
      <c r="K34" s="275"/>
      <c r="L34" s="264"/>
      <c r="M34" s="261"/>
      <c r="N34" s="261"/>
      <c r="O34" s="261"/>
      <c r="P34" s="264"/>
      <c r="Q34" s="269"/>
      <c r="R34" s="85"/>
      <c r="S34" s="501"/>
      <c r="T34" s="501"/>
    </row>
    <row r="35" spans="2:20" ht="6" customHeight="1" x14ac:dyDescent="0.35">
      <c r="B35" s="85"/>
      <c r="C35" s="282"/>
      <c r="D35" s="271"/>
      <c r="E35" s="271"/>
      <c r="F35" s="271"/>
      <c r="G35" s="271"/>
      <c r="H35" s="271"/>
      <c r="I35" s="272"/>
      <c r="J35" s="86"/>
      <c r="K35" s="282"/>
      <c r="L35" s="271"/>
      <c r="M35" s="271"/>
      <c r="N35" s="271"/>
      <c r="O35" s="271"/>
      <c r="P35" s="271"/>
      <c r="Q35" s="272"/>
      <c r="R35" s="85"/>
      <c r="S35" s="500"/>
      <c r="T35" s="500"/>
    </row>
    <row r="36" spans="2:20" x14ac:dyDescent="0.35">
      <c r="B36" s="85"/>
      <c r="C36" s="149"/>
      <c r="D36" s="85"/>
      <c r="E36" s="86"/>
      <c r="F36" s="86"/>
      <c r="G36" s="86"/>
      <c r="H36" s="86"/>
      <c r="I36" s="86"/>
      <c r="J36" s="86"/>
      <c r="K36" s="149"/>
      <c r="L36" s="85"/>
      <c r="M36" s="85"/>
      <c r="N36" s="85"/>
      <c r="O36" s="149"/>
      <c r="P36" s="85"/>
      <c r="Q36" s="85"/>
      <c r="R36" s="85"/>
      <c r="T36" s="500"/>
    </row>
    <row r="37" spans="2:20" x14ac:dyDescent="0.35">
      <c r="B37" s="85"/>
      <c r="C37" s="149"/>
      <c r="D37" s="85"/>
      <c r="E37" s="86"/>
      <c r="F37" s="86"/>
      <c r="G37" s="86"/>
      <c r="H37" s="86"/>
      <c r="I37" s="86"/>
      <c r="J37" s="86"/>
      <c r="K37" s="149"/>
      <c r="L37" s="85"/>
      <c r="M37" s="85"/>
      <c r="N37" s="85"/>
      <c r="O37" s="149"/>
      <c r="P37" s="85"/>
      <c r="Q37" s="85"/>
      <c r="R37" s="85"/>
      <c r="S37" s="499"/>
      <c r="T37" s="500"/>
    </row>
    <row r="38" spans="2:20" x14ac:dyDescent="0.35">
      <c r="B38" s="85"/>
      <c r="C38" s="149"/>
      <c r="D38" s="85"/>
      <c r="E38" s="86"/>
      <c r="F38" s="86"/>
      <c r="G38" s="86"/>
      <c r="H38" s="86"/>
      <c r="I38" s="86"/>
      <c r="J38" s="86"/>
      <c r="K38" s="149"/>
      <c r="L38" s="85"/>
      <c r="M38" s="85"/>
      <c r="N38" s="85"/>
      <c r="O38" s="149"/>
      <c r="P38" s="85"/>
      <c r="Q38" s="85"/>
      <c r="R38" s="85"/>
      <c r="S38" s="501"/>
      <c r="T38" s="501"/>
    </row>
    <row r="39" spans="2:20" x14ac:dyDescent="0.35">
      <c r="B39" s="85"/>
      <c r="C39" s="149"/>
      <c r="D39" s="85"/>
      <c r="E39" s="86"/>
      <c r="F39" s="86"/>
      <c r="G39" s="86"/>
      <c r="H39" s="86"/>
      <c r="I39" s="86"/>
      <c r="J39" s="86"/>
      <c r="K39" s="149"/>
      <c r="L39" s="85"/>
      <c r="M39" s="85"/>
      <c r="N39" s="85"/>
      <c r="O39" s="149"/>
      <c r="P39" s="85"/>
      <c r="Q39" s="85"/>
      <c r="R39" s="85"/>
      <c r="S39" s="500"/>
      <c r="T39" s="500"/>
    </row>
    <row r="40" spans="2:20" ht="6" customHeight="1" x14ac:dyDescent="0.35">
      <c r="B40" s="85"/>
      <c r="C40" s="149"/>
      <c r="D40" s="85"/>
      <c r="E40" s="86"/>
      <c r="F40" s="86"/>
      <c r="G40" s="86"/>
      <c r="H40" s="86"/>
      <c r="I40" s="86"/>
      <c r="J40" s="86"/>
      <c r="K40" s="149"/>
      <c r="L40" s="85"/>
      <c r="M40" s="85"/>
      <c r="N40" s="85"/>
      <c r="O40" s="149"/>
      <c r="P40" s="85"/>
      <c r="Q40" s="85"/>
      <c r="R40" s="85"/>
    </row>
  </sheetData>
  <sheetProtection sheet="1" objects="1" scenarios="1"/>
  <phoneticPr fontId="68" type="noConversion"/>
  <pageMargins left="0.196850393700787" right="0.196850393700787" top="0.196850393700787" bottom="0.196850393700787" header="0" footer="0"/>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anchor moveWithCells="1">
                  <from>
                    <xdr:col>6</xdr:col>
                    <xdr:colOff>247650</xdr:colOff>
                    <xdr:row>10</xdr:row>
                    <xdr:rowOff>114300</xdr:rowOff>
                  </from>
                  <to>
                    <xdr:col>7</xdr:col>
                    <xdr:colOff>209550</xdr:colOff>
                    <xdr:row>12</xdr:row>
                    <xdr:rowOff>66675</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14</xdr:col>
                    <xdr:colOff>219075</xdr:colOff>
                    <xdr:row>10</xdr:row>
                    <xdr:rowOff>114300</xdr:rowOff>
                  </from>
                  <to>
                    <xdr:col>15</xdr:col>
                    <xdr:colOff>180975</xdr:colOff>
                    <xdr:row>12</xdr:row>
                    <xdr:rowOff>57150</xdr:rowOff>
                  </to>
                </anchor>
              </controlPr>
            </control>
          </mc:Choice>
        </mc:AlternateContent>
        <mc:AlternateContent xmlns:mc="http://schemas.openxmlformats.org/markup-compatibility/2006">
          <mc:Choice Requires="x14">
            <control shapeId="2052" r:id="rId6" name="Button 4">
              <controlPr defaultSize="0" autoFill="0" autoPict="0" macro="[0]!Show_Page_NI">
                <anchor>
                  <from>
                    <xdr:col>15</xdr:col>
                    <xdr:colOff>285750</xdr:colOff>
                    <xdr:row>35</xdr:row>
                    <xdr:rowOff>19050</xdr:rowOff>
                  </from>
                  <to>
                    <xdr:col>17</xdr:col>
                    <xdr:colOff>1333500</xdr:colOff>
                    <xdr:row>39</xdr:row>
                    <xdr:rowOff>66675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Q33"/>
  <sheetViews>
    <sheetView showGridLines="0" showRowColHeaders="0" topLeftCell="B1" workbookViewId="0">
      <selection activeCell="S3" sqref="S3"/>
    </sheetView>
  </sheetViews>
  <sheetFormatPr defaultColWidth="9.1328125" defaultRowHeight="11.65" x14ac:dyDescent="0.35"/>
  <cols>
    <col min="1" max="1" width="6.86328125" style="163" hidden="1" customWidth="1"/>
    <col min="2" max="2" width="23.86328125" style="163" customWidth="1"/>
    <col min="3" max="3" width="4.86328125" style="163" customWidth="1"/>
    <col min="4" max="4" width="12.59765625" style="163" customWidth="1"/>
    <col min="5" max="5" width="7" style="163" customWidth="1"/>
    <col min="6" max="6" width="13" style="163" customWidth="1"/>
    <col min="7" max="7" width="5.265625" style="163" customWidth="1"/>
    <col min="8" max="8" width="12" style="163" customWidth="1"/>
    <col min="9" max="9" width="15.3984375" style="163" customWidth="1"/>
    <col min="10" max="10" width="34.73046875" style="163" customWidth="1"/>
    <col min="11" max="11" width="12.3984375" style="163" customWidth="1"/>
    <col min="12" max="16384" width="9.1328125" style="163"/>
  </cols>
  <sheetData>
    <row r="1" spans="1:17" ht="12" customHeight="1" x14ac:dyDescent="0.35">
      <c r="A1" s="163" t="s">
        <v>2184</v>
      </c>
      <c r="B1" s="228"/>
      <c r="C1" s="228"/>
      <c r="D1" s="228"/>
      <c r="E1" s="228"/>
      <c r="F1" s="228"/>
      <c r="G1" s="228"/>
      <c r="H1" s="228"/>
      <c r="I1" s="228"/>
      <c r="J1" s="228"/>
      <c r="K1" s="165"/>
      <c r="L1" s="165"/>
      <c r="M1" s="165"/>
      <c r="N1" s="165"/>
      <c r="O1" s="165"/>
      <c r="P1" s="165"/>
      <c r="Q1" s="165"/>
    </row>
    <row r="2" spans="1:17" ht="12" customHeight="1" x14ac:dyDescent="0.35">
      <c r="B2" s="228"/>
      <c r="C2" s="228"/>
      <c r="D2" s="228"/>
      <c r="E2" s="228"/>
      <c r="F2" s="228"/>
      <c r="G2" s="228"/>
      <c r="H2" s="228"/>
      <c r="I2" s="228"/>
      <c r="J2" s="228"/>
      <c r="L2" s="165"/>
      <c r="M2" s="165"/>
      <c r="N2" s="165"/>
      <c r="O2" s="165"/>
      <c r="P2" s="165"/>
      <c r="Q2" s="165"/>
    </row>
    <row r="3" spans="1:17" ht="12" customHeight="1" x14ac:dyDescent="0.35">
      <c r="A3" s="163">
        <v>6</v>
      </c>
      <c r="B3" s="228"/>
      <c r="C3" s="228"/>
      <c r="D3" s="228"/>
      <c r="E3" s="228"/>
      <c r="F3" s="228"/>
      <c r="G3" s="228"/>
      <c r="H3" s="228"/>
      <c r="I3" s="228"/>
      <c r="J3" s="228"/>
      <c r="L3" s="165"/>
      <c r="M3" s="165"/>
      <c r="N3" s="165"/>
      <c r="O3" s="165"/>
      <c r="P3" s="165"/>
      <c r="Q3" s="165"/>
    </row>
    <row r="4" spans="1:17" ht="12" customHeight="1" x14ac:dyDescent="0.35">
      <c r="A4" s="163">
        <v>17</v>
      </c>
      <c r="B4" s="228"/>
      <c r="C4" s="228"/>
      <c r="D4" s="228"/>
      <c r="E4" s="228"/>
      <c r="F4" s="228"/>
      <c r="G4" s="228"/>
      <c r="H4" s="228"/>
      <c r="I4" s="228"/>
      <c r="J4" s="228"/>
      <c r="L4" s="165"/>
      <c r="M4" s="165"/>
      <c r="N4" s="165"/>
      <c r="O4" s="165"/>
      <c r="P4" s="165"/>
      <c r="Q4" s="165"/>
    </row>
    <row r="5" spans="1:17" ht="12" customHeight="1" x14ac:dyDescent="0.35">
      <c r="A5" s="163">
        <v>19</v>
      </c>
      <c r="B5" s="228"/>
      <c r="C5" s="266" t="s">
        <v>3627</v>
      </c>
      <c r="D5" s="279"/>
      <c r="E5" s="279"/>
      <c r="F5" s="279"/>
      <c r="G5" s="279"/>
      <c r="H5" s="279"/>
      <c r="I5" s="460" t="str">
        <f>MOR</f>
        <v>MOR</v>
      </c>
      <c r="J5" s="228"/>
      <c r="K5" s="165"/>
      <c r="L5" s="165"/>
      <c r="M5" s="165"/>
      <c r="N5" s="165"/>
      <c r="O5" s="165"/>
      <c r="P5" s="165"/>
      <c r="Q5" s="165"/>
    </row>
    <row r="6" spans="1:17" ht="12" customHeight="1" x14ac:dyDescent="0.35">
      <c r="A6" s="163">
        <v>38</v>
      </c>
      <c r="B6" s="228"/>
      <c r="C6" s="284"/>
      <c r="D6" s="276"/>
      <c r="E6" s="276"/>
      <c r="F6" s="276"/>
      <c r="G6" s="276"/>
      <c r="H6" s="276"/>
      <c r="I6" s="285"/>
      <c r="J6" s="228"/>
      <c r="K6" s="165"/>
      <c r="L6" s="165"/>
      <c r="M6" s="165"/>
      <c r="N6" s="165"/>
      <c r="O6" s="165"/>
      <c r="P6" s="165"/>
      <c r="Q6" s="165"/>
    </row>
    <row r="7" spans="1:17" ht="12" customHeight="1" x14ac:dyDescent="0.35">
      <c r="A7" s="163">
        <v>39</v>
      </c>
      <c r="B7" s="228"/>
      <c r="C7" s="275"/>
      <c r="D7" s="276"/>
      <c r="E7" s="276"/>
      <c r="F7" s="276"/>
      <c r="G7" s="276"/>
      <c r="H7" s="276"/>
      <c r="I7" s="285"/>
      <c r="J7" s="228"/>
      <c r="K7" s="165"/>
      <c r="L7" s="165"/>
      <c r="M7" s="165"/>
      <c r="N7" s="165"/>
      <c r="O7" s="165"/>
      <c r="P7" s="165"/>
      <c r="Q7" s="165"/>
    </row>
    <row r="8" spans="1:17" ht="12" customHeight="1" x14ac:dyDescent="0.35">
      <c r="B8" s="228"/>
      <c r="C8" s="168">
        <f>A3</f>
        <v>6</v>
      </c>
      <c r="D8" s="263" t="s">
        <v>4305</v>
      </c>
      <c r="E8" s="276"/>
      <c r="F8" s="276"/>
      <c r="G8" s="276"/>
      <c r="H8" s="276"/>
      <c r="I8" s="285"/>
      <c r="J8" s="228"/>
      <c r="K8" s="165"/>
      <c r="L8" s="165"/>
      <c r="M8" s="165"/>
      <c r="N8" s="165"/>
      <c r="O8" s="165"/>
      <c r="P8" s="165"/>
      <c r="Q8" s="165"/>
    </row>
    <row r="9" spans="1:17" ht="12" customHeight="1" x14ac:dyDescent="0.35">
      <c r="B9" s="228"/>
      <c r="C9" s="275"/>
      <c r="D9" s="173"/>
      <c r="E9" s="276"/>
      <c r="F9" s="276"/>
      <c r="G9" s="276"/>
      <c r="H9" s="276"/>
      <c r="I9" s="285"/>
      <c r="J9" s="228"/>
      <c r="K9" s="165"/>
      <c r="L9" s="165"/>
      <c r="M9" s="165"/>
      <c r="N9" s="165"/>
      <c r="O9" s="165"/>
      <c r="P9" s="165"/>
      <c r="Q9" s="165"/>
    </row>
    <row r="10" spans="1:17" ht="12" customHeight="1" x14ac:dyDescent="0.35">
      <c r="B10" s="228"/>
      <c r="C10" s="275"/>
      <c r="D10" s="276"/>
      <c r="E10" s="276"/>
      <c r="F10" s="276"/>
      <c r="G10" s="276"/>
      <c r="H10" s="276"/>
      <c r="I10" s="285"/>
      <c r="J10" s="228"/>
      <c r="K10" s="165"/>
      <c r="L10" s="165"/>
      <c r="M10" s="165"/>
      <c r="N10" s="165"/>
      <c r="O10" s="165"/>
      <c r="P10" s="165"/>
      <c r="Q10" s="165"/>
    </row>
    <row r="11" spans="1:17" ht="12" customHeight="1" x14ac:dyDescent="0.35">
      <c r="B11" s="228"/>
      <c r="C11" s="275"/>
      <c r="D11" s="276"/>
      <c r="E11" s="276"/>
      <c r="F11" s="276"/>
      <c r="G11" s="168">
        <f>A4</f>
        <v>17</v>
      </c>
      <c r="H11" s="263" t="s">
        <v>2953</v>
      </c>
      <c r="I11" s="285"/>
      <c r="J11" s="228"/>
      <c r="K11" s="165"/>
      <c r="L11" s="165"/>
      <c r="M11" s="165"/>
      <c r="N11" s="165"/>
      <c r="O11" s="165"/>
      <c r="P11" s="165"/>
      <c r="Q11" s="165"/>
    </row>
    <row r="12" spans="1:17" ht="12" customHeight="1" x14ac:dyDescent="0.35">
      <c r="B12" s="228"/>
      <c r="C12" s="275"/>
      <c r="D12" s="276"/>
      <c r="E12" s="276"/>
      <c r="F12" s="276"/>
      <c r="G12" s="276"/>
      <c r="H12" s="173"/>
      <c r="I12" s="285"/>
      <c r="J12" s="228"/>
      <c r="K12" s="165"/>
      <c r="L12" s="165"/>
      <c r="M12" s="165"/>
      <c r="N12" s="165"/>
      <c r="O12" s="165"/>
      <c r="P12" s="165"/>
      <c r="Q12" s="165"/>
    </row>
    <row r="13" spans="1:17" ht="12" customHeight="1" x14ac:dyDescent="0.35">
      <c r="B13" s="228"/>
      <c r="C13" s="275"/>
      <c r="D13" s="276"/>
      <c r="E13" s="276"/>
      <c r="F13" s="276"/>
      <c r="G13" s="276"/>
      <c r="H13" s="276"/>
      <c r="I13" s="285"/>
      <c r="J13" s="228"/>
      <c r="K13" s="165"/>
      <c r="L13" s="165"/>
      <c r="M13" s="165"/>
      <c r="N13" s="165"/>
      <c r="O13" s="165"/>
      <c r="P13" s="165"/>
      <c r="Q13" s="165"/>
    </row>
    <row r="14" spans="1:17" ht="12" customHeight="1" x14ac:dyDescent="0.35">
      <c r="B14" s="228"/>
      <c r="C14" s="275"/>
      <c r="D14" s="276"/>
      <c r="E14" s="276"/>
      <c r="F14" s="276"/>
      <c r="G14" s="276"/>
      <c r="H14" s="276"/>
      <c r="I14" s="285"/>
      <c r="J14" s="228"/>
      <c r="K14" s="165"/>
      <c r="L14" s="165"/>
      <c r="M14" s="165"/>
      <c r="N14" s="165"/>
      <c r="O14" s="165"/>
      <c r="P14" s="165"/>
      <c r="Q14" s="165"/>
    </row>
    <row r="15" spans="1:17" ht="12" customHeight="1" x14ac:dyDescent="0.35">
      <c r="B15" s="228"/>
      <c r="C15" s="275"/>
      <c r="D15" s="276"/>
      <c r="E15" s="276"/>
      <c r="F15" s="276"/>
      <c r="G15" s="168">
        <f>A5</f>
        <v>19</v>
      </c>
      <c r="H15" s="263" t="s">
        <v>991</v>
      </c>
      <c r="I15" s="285"/>
      <c r="J15" s="228"/>
      <c r="K15" s="165"/>
      <c r="L15" s="165"/>
      <c r="M15" s="165"/>
      <c r="N15" s="165"/>
      <c r="O15" s="165"/>
      <c r="P15" s="165"/>
      <c r="Q15" s="165"/>
    </row>
    <row r="16" spans="1:17" ht="12" customHeight="1" x14ac:dyDescent="0.35">
      <c r="B16" s="228"/>
      <c r="C16" s="275"/>
      <c r="D16" s="276"/>
      <c r="E16" s="276"/>
      <c r="F16" s="276"/>
      <c r="G16" s="276"/>
      <c r="H16" s="173"/>
      <c r="I16" s="285"/>
      <c r="J16" s="228"/>
      <c r="K16" s="165"/>
      <c r="L16" s="165"/>
      <c r="M16" s="165"/>
      <c r="N16" s="165"/>
      <c r="O16" s="165"/>
      <c r="P16" s="165"/>
      <c r="Q16" s="165"/>
    </row>
    <row r="17" spans="1:17" ht="12" customHeight="1" x14ac:dyDescent="0.35">
      <c r="B17" s="228"/>
      <c r="C17" s="275"/>
      <c r="D17" s="276"/>
      <c r="E17" s="276"/>
      <c r="F17" s="276"/>
      <c r="G17" s="276"/>
      <c r="H17" s="276"/>
      <c r="I17" s="285"/>
      <c r="J17" s="228"/>
      <c r="K17" s="165"/>
      <c r="L17" s="165"/>
      <c r="M17" s="165"/>
      <c r="N17" s="165"/>
      <c r="O17" s="165"/>
      <c r="P17" s="165"/>
      <c r="Q17" s="165"/>
    </row>
    <row r="18" spans="1:17" ht="12" customHeight="1" x14ac:dyDescent="0.35">
      <c r="B18" s="228"/>
      <c r="C18" s="275"/>
      <c r="D18" s="276"/>
      <c r="E18" s="276"/>
      <c r="F18" s="276"/>
      <c r="G18" s="276"/>
      <c r="H18" s="276"/>
      <c r="I18" s="285"/>
      <c r="J18" s="228"/>
      <c r="K18" s="165"/>
      <c r="L18" s="165"/>
      <c r="M18" s="165"/>
      <c r="N18" s="165"/>
      <c r="O18" s="165"/>
      <c r="P18" s="165"/>
      <c r="Q18" s="165"/>
    </row>
    <row r="19" spans="1:17" ht="12" customHeight="1" x14ac:dyDescent="0.35">
      <c r="B19" s="228"/>
      <c r="C19" s="168">
        <f>A6</f>
        <v>38</v>
      </c>
      <c r="D19" s="263" t="s">
        <v>4304</v>
      </c>
      <c r="E19" s="276"/>
      <c r="F19" s="276"/>
      <c r="G19" s="168">
        <f>A7</f>
        <v>39</v>
      </c>
      <c r="H19" s="263" t="s">
        <v>2946</v>
      </c>
      <c r="I19" s="285"/>
      <c r="J19" s="228"/>
      <c r="K19" s="165"/>
      <c r="L19" s="165"/>
      <c r="M19" s="165"/>
      <c r="N19" s="165"/>
      <c r="O19" s="165"/>
      <c r="P19" s="165"/>
      <c r="Q19" s="165"/>
    </row>
    <row r="20" spans="1:17" ht="12" customHeight="1" x14ac:dyDescent="0.35">
      <c r="B20" s="228"/>
      <c r="C20" s="275"/>
      <c r="D20" s="173"/>
      <c r="E20" s="276"/>
      <c r="F20" s="276"/>
      <c r="G20" s="276"/>
      <c r="H20" s="283"/>
      <c r="I20" s="285"/>
      <c r="J20" s="228"/>
      <c r="K20" s="165"/>
      <c r="L20" s="165"/>
      <c r="M20" s="165"/>
      <c r="N20" s="165"/>
      <c r="O20" s="165"/>
      <c r="P20" s="165"/>
      <c r="Q20" s="165"/>
    </row>
    <row r="21" spans="1:17" ht="12" customHeight="1" x14ac:dyDescent="0.35">
      <c r="B21" s="228"/>
      <c r="C21" s="286"/>
      <c r="D21" s="276"/>
      <c r="E21" s="276"/>
      <c r="F21" s="276"/>
      <c r="G21" s="276"/>
      <c r="H21" s="276"/>
      <c r="I21" s="285"/>
      <c r="J21" s="228"/>
      <c r="K21" s="165"/>
      <c r="L21" s="165"/>
      <c r="M21" s="165"/>
      <c r="N21" s="165"/>
      <c r="O21" s="165"/>
      <c r="P21" s="165"/>
      <c r="Q21" s="165"/>
    </row>
    <row r="22" spans="1:17" ht="12" customHeight="1" x14ac:dyDescent="0.35">
      <c r="B22" s="164"/>
      <c r="C22" s="287"/>
      <c r="D22" s="280"/>
      <c r="E22" s="280"/>
      <c r="F22" s="280"/>
      <c r="G22" s="280"/>
      <c r="H22" s="280"/>
      <c r="I22" s="288"/>
      <c r="J22" s="164"/>
      <c r="K22" s="165"/>
      <c r="L22" s="165"/>
      <c r="M22" s="165"/>
      <c r="N22" s="165"/>
      <c r="O22" s="165"/>
      <c r="P22" s="165"/>
      <c r="Q22" s="165"/>
    </row>
    <row r="23" spans="1:17" ht="12" customHeight="1" x14ac:dyDescent="0.35">
      <c r="B23" s="164"/>
      <c r="C23" s="164"/>
      <c r="D23" s="164"/>
      <c r="E23" s="164"/>
      <c r="F23" s="164"/>
      <c r="G23" s="164"/>
      <c r="H23" s="164"/>
      <c r="I23" s="164"/>
      <c r="J23" s="164"/>
      <c r="K23" s="165"/>
      <c r="L23" s="165"/>
      <c r="M23" s="165"/>
      <c r="N23" s="165"/>
      <c r="O23" s="165"/>
      <c r="P23" s="165"/>
      <c r="Q23" s="165"/>
    </row>
    <row r="24" spans="1:17" ht="12" customHeight="1" x14ac:dyDescent="0.35">
      <c r="B24" s="164"/>
      <c r="C24" s="164"/>
      <c r="D24" s="164"/>
      <c r="E24" s="178"/>
      <c r="F24" s="164"/>
      <c r="G24" s="164"/>
      <c r="H24" s="164"/>
      <c r="I24" s="164"/>
      <c r="J24" s="164"/>
      <c r="K24" s="165"/>
      <c r="L24" s="165"/>
      <c r="M24" s="165"/>
      <c r="N24" s="165"/>
      <c r="O24" s="165"/>
      <c r="P24" s="165"/>
      <c r="Q24" s="165"/>
    </row>
    <row r="25" spans="1:17" ht="12" customHeight="1" x14ac:dyDescent="0.35">
      <c r="B25" s="164"/>
      <c r="C25" s="164"/>
      <c r="D25" s="164"/>
      <c r="E25" s="178"/>
      <c r="F25" s="164"/>
      <c r="G25" s="164"/>
      <c r="H25" s="164"/>
      <c r="I25" s="164"/>
      <c r="J25" s="164"/>
      <c r="K25" s="165"/>
      <c r="L25" s="165"/>
      <c r="M25" s="165"/>
      <c r="N25" s="165"/>
      <c r="O25" s="165"/>
      <c r="P25" s="165"/>
      <c r="Q25" s="165"/>
    </row>
    <row r="26" spans="1:17" ht="12" customHeight="1" x14ac:dyDescent="0.35">
      <c r="B26" s="164"/>
      <c r="C26" s="164"/>
      <c r="D26" s="164"/>
      <c r="E26" s="178"/>
      <c r="F26" s="164"/>
      <c r="G26" s="164"/>
      <c r="H26" s="164"/>
      <c r="I26" s="164"/>
      <c r="J26" s="164"/>
      <c r="K26" s="165"/>
      <c r="L26" s="165"/>
      <c r="M26" s="165"/>
      <c r="N26" s="165"/>
      <c r="O26" s="165"/>
      <c r="P26" s="165"/>
      <c r="Q26" s="165"/>
    </row>
    <row r="27" spans="1:17" ht="12" customHeight="1" x14ac:dyDescent="0.35">
      <c r="B27" s="164"/>
      <c r="C27" s="164"/>
      <c r="D27" s="164"/>
      <c r="E27" s="178"/>
      <c r="F27" s="164"/>
      <c r="G27" s="164"/>
      <c r="H27" s="164"/>
      <c r="I27" s="164"/>
      <c r="J27" s="164"/>
      <c r="K27" s="165"/>
      <c r="L27" s="165"/>
      <c r="M27" s="165"/>
      <c r="N27" s="165"/>
      <c r="O27" s="165"/>
      <c r="P27" s="165"/>
      <c r="Q27" s="165"/>
    </row>
    <row r="28" spans="1:17" x14ac:dyDescent="0.35">
      <c r="B28" s="164"/>
      <c r="C28" s="164"/>
      <c r="D28" s="164"/>
      <c r="E28" s="178"/>
      <c r="F28" s="164"/>
      <c r="G28" s="164"/>
      <c r="H28" s="164"/>
      <c r="I28" s="164"/>
      <c r="J28" s="164"/>
      <c r="K28" s="165"/>
      <c r="L28" s="165"/>
      <c r="M28" s="165"/>
      <c r="N28" s="165"/>
      <c r="O28" s="165"/>
      <c r="P28" s="165"/>
      <c r="Q28" s="165"/>
    </row>
    <row r="29" spans="1:17" x14ac:dyDescent="0.35">
      <c r="B29" s="164"/>
      <c r="C29" s="164"/>
      <c r="D29" s="164"/>
      <c r="E29" s="178"/>
      <c r="F29" s="164"/>
      <c r="G29" s="164"/>
      <c r="H29" s="164"/>
      <c r="I29" s="164"/>
      <c r="J29" s="164"/>
      <c r="K29" s="165"/>
      <c r="L29" s="165"/>
      <c r="M29" s="165"/>
      <c r="N29" s="165"/>
      <c r="O29" s="165"/>
      <c r="P29" s="165"/>
      <c r="Q29" s="165"/>
    </row>
    <row r="30" spans="1:17" x14ac:dyDescent="0.35">
      <c r="A30" s="165"/>
      <c r="B30" s="165"/>
      <c r="C30" s="165"/>
      <c r="D30" s="165"/>
      <c r="E30" s="369"/>
      <c r="F30" s="165"/>
      <c r="G30" s="165"/>
      <c r="H30" s="165"/>
      <c r="I30" s="165"/>
      <c r="J30" s="165"/>
      <c r="K30" s="165"/>
      <c r="L30" s="165"/>
      <c r="M30" s="165"/>
      <c r="N30" s="165"/>
      <c r="O30" s="165"/>
      <c r="P30" s="165"/>
      <c r="Q30" s="165"/>
    </row>
    <row r="31" spans="1:17" x14ac:dyDescent="0.35">
      <c r="A31" s="165"/>
      <c r="B31" s="165"/>
      <c r="C31" s="165"/>
      <c r="D31" s="165"/>
      <c r="E31" s="369"/>
      <c r="F31" s="165"/>
      <c r="G31" s="165"/>
      <c r="H31" s="165"/>
      <c r="I31" s="165"/>
      <c r="J31" s="165"/>
      <c r="K31" s="165"/>
      <c r="L31" s="165"/>
      <c r="M31" s="165"/>
      <c r="N31" s="165"/>
      <c r="O31" s="165"/>
      <c r="P31" s="165"/>
      <c r="Q31" s="165"/>
    </row>
    <row r="32" spans="1:17" x14ac:dyDescent="0.35">
      <c r="A32" s="165"/>
      <c r="B32" s="165"/>
      <c r="C32" s="165"/>
      <c r="D32" s="165"/>
      <c r="E32" s="369"/>
      <c r="F32" s="165"/>
      <c r="G32" s="165"/>
      <c r="H32" s="165"/>
      <c r="I32" s="165"/>
      <c r="J32" s="165"/>
      <c r="K32" s="165"/>
      <c r="L32" s="165"/>
      <c r="M32" s="165"/>
      <c r="N32" s="165"/>
      <c r="O32" s="165"/>
      <c r="P32" s="165"/>
      <c r="Q32" s="165"/>
    </row>
    <row r="33" spans="1:10" x14ac:dyDescent="0.35">
      <c r="A33" s="165"/>
      <c r="B33" s="165"/>
      <c r="C33" s="165"/>
      <c r="D33" s="165"/>
      <c r="E33" s="369"/>
      <c r="F33" s="165"/>
      <c r="G33" s="165"/>
      <c r="H33" s="165"/>
      <c r="I33" s="165"/>
      <c r="J33" s="165"/>
    </row>
  </sheetData>
  <sheetProtection sheet="1" objects="1" scenarios="1"/>
  <phoneticPr fontId="68" type="noConversion"/>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autoFill="0" autoPict="0" macro="[0]!Show_Page_NI">
                <anchor>
                  <from>
                    <xdr:col>8</xdr:col>
                    <xdr:colOff>876300</xdr:colOff>
                    <xdr:row>24</xdr:row>
                    <xdr:rowOff>47625</xdr:rowOff>
                  </from>
                  <to>
                    <xdr:col>9</xdr:col>
                    <xdr:colOff>2286000</xdr:colOff>
                    <xdr:row>28</xdr:row>
                    <xdr:rowOff>95250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P41"/>
  <sheetViews>
    <sheetView showGridLines="0" showRowColHeaders="0" topLeftCell="B1" workbookViewId="0">
      <selection activeCell="G5" sqref="G5:I6"/>
    </sheetView>
  </sheetViews>
  <sheetFormatPr defaultColWidth="9.1328125" defaultRowHeight="11.65" x14ac:dyDescent="0.35"/>
  <cols>
    <col min="1" max="1" width="6.1328125" style="115" hidden="1" customWidth="1"/>
    <col min="2" max="2" width="15.73046875" style="115" customWidth="1"/>
    <col min="3" max="3" width="5.86328125" style="150" customWidth="1"/>
    <col min="4" max="4" width="17.3984375" style="115" customWidth="1"/>
    <col min="5" max="5" width="27.59765625" style="115" customWidth="1"/>
    <col min="6" max="6" width="9.86328125" style="115" customWidth="1"/>
    <col min="7" max="7" width="5.86328125" style="150" customWidth="1"/>
    <col min="8" max="8" width="17.3984375" style="115" customWidth="1"/>
    <col min="9" max="9" width="27.59765625" style="115" customWidth="1"/>
    <col min="10" max="10" width="34" style="115" customWidth="1"/>
    <col min="11" max="11" width="4.1328125" style="115" hidden="1" customWidth="1"/>
    <col min="12" max="12" width="5.73046875" style="115" hidden="1" customWidth="1"/>
    <col min="13" max="13" width="6" style="115" hidden="1" customWidth="1"/>
    <col min="14" max="14" width="10.73046875" style="115" customWidth="1"/>
    <col min="15" max="15" width="2.86328125" style="115" customWidth="1"/>
    <col min="16" max="16384" width="9.1328125" style="115"/>
  </cols>
  <sheetData>
    <row r="1" spans="1:16" ht="12" customHeight="1" x14ac:dyDescent="0.35">
      <c r="A1" s="115" t="s">
        <v>2185</v>
      </c>
      <c r="B1" s="85"/>
      <c r="C1" s="149"/>
      <c r="D1" s="85"/>
      <c r="E1" s="85"/>
      <c r="F1" s="85"/>
      <c r="G1" s="149"/>
      <c r="H1" s="85"/>
      <c r="I1" s="85"/>
      <c r="J1" s="85"/>
      <c r="K1" s="148"/>
      <c r="L1" s="148"/>
      <c r="M1" s="148"/>
      <c r="N1" s="148"/>
      <c r="O1" s="148"/>
      <c r="P1" s="148"/>
    </row>
    <row r="2" spans="1:16" ht="12" customHeight="1" x14ac:dyDescent="0.35">
      <c r="A2" s="115">
        <v>29</v>
      </c>
      <c r="B2" s="85"/>
      <c r="C2" s="292" t="s">
        <v>2186</v>
      </c>
      <c r="D2" s="249"/>
      <c r="E2" s="456" t="str">
        <f>SSE</f>
        <v>SSE</v>
      </c>
      <c r="F2" s="85"/>
      <c r="G2" s="292" t="s">
        <v>3926</v>
      </c>
      <c r="H2" s="249"/>
      <c r="I2" s="456" t="str">
        <f>FSE</f>
        <v>FSE</v>
      </c>
      <c r="J2" s="85"/>
      <c r="K2" s="148"/>
      <c r="L2" s="148"/>
      <c r="M2" s="148"/>
      <c r="N2" s="148"/>
      <c r="O2" s="148"/>
      <c r="P2" s="148"/>
    </row>
    <row r="3" spans="1:16" ht="9" customHeight="1" x14ac:dyDescent="0.35">
      <c r="A3" s="115">
        <v>31</v>
      </c>
      <c r="B3" s="85"/>
      <c r="C3" s="293"/>
      <c r="D3" s="207"/>
      <c r="E3" s="253"/>
      <c r="F3" s="85"/>
      <c r="G3" s="293"/>
      <c r="H3" s="207"/>
      <c r="I3" s="253"/>
      <c r="J3" s="85"/>
      <c r="K3" s="148"/>
      <c r="L3" s="148"/>
      <c r="M3" s="148"/>
      <c r="N3" s="148"/>
      <c r="O3" s="148"/>
      <c r="P3" s="148"/>
    </row>
    <row r="4" spans="1:16" ht="10.5" customHeight="1" x14ac:dyDescent="0.35">
      <c r="A4" s="115">
        <v>33</v>
      </c>
      <c r="B4" s="85"/>
      <c r="C4" s="374" t="s">
        <v>4759</v>
      </c>
      <c r="D4" s="207"/>
      <c r="E4" s="253"/>
      <c r="F4" s="85"/>
      <c r="G4" s="374" t="s">
        <v>4756</v>
      </c>
      <c r="H4" s="290"/>
      <c r="I4" s="253"/>
      <c r="J4" s="85"/>
      <c r="M4" s="148"/>
      <c r="N4" s="148"/>
      <c r="O4" s="148"/>
      <c r="P4" s="148"/>
    </row>
    <row r="5" spans="1:16" ht="12" customHeight="1" x14ac:dyDescent="0.35">
      <c r="A5" s="115">
        <v>36</v>
      </c>
      <c r="B5" s="85"/>
      <c r="C5" s="274">
        <f>A2</f>
        <v>29</v>
      </c>
      <c r="D5" s="207" t="s">
        <v>4498</v>
      </c>
      <c r="E5" s="253"/>
      <c r="F5" s="85"/>
      <c r="G5" s="3396">
        <f>A10</f>
        <v>54</v>
      </c>
      <c r="H5" s="3339" t="s">
        <v>3965</v>
      </c>
      <c r="I5" s="3340"/>
      <c r="J5" s="85"/>
      <c r="M5" s="148"/>
      <c r="N5" s="148"/>
      <c r="O5" s="148"/>
      <c r="P5" s="148"/>
    </row>
    <row r="6" spans="1:16" ht="12" customHeight="1" x14ac:dyDescent="0.35">
      <c r="A6" s="115">
        <v>37</v>
      </c>
      <c r="B6" s="85"/>
      <c r="C6" s="293"/>
      <c r="D6" s="264"/>
      <c r="E6" s="294"/>
      <c r="F6" s="85"/>
      <c r="G6" s="3397"/>
      <c r="H6" s="3398"/>
      <c r="I6" s="3340"/>
      <c r="J6" s="85"/>
      <c r="K6" s="148"/>
      <c r="L6" s="148"/>
      <c r="M6" s="148"/>
      <c r="N6" s="148"/>
      <c r="O6" s="148"/>
      <c r="P6" s="148"/>
    </row>
    <row r="7" spans="1:16" ht="10.5" customHeight="1" x14ac:dyDescent="0.35">
      <c r="A7" s="115">
        <v>38</v>
      </c>
      <c r="B7" s="85"/>
      <c r="C7" s="374" t="s">
        <v>4760</v>
      </c>
      <c r="D7" s="207"/>
      <c r="E7" s="253"/>
      <c r="F7" s="85"/>
      <c r="G7" s="374" t="s">
        <v>4757</v>
      </c>
      <c r="H7" s="290"/>
      <c r="I7" s="253"/>
      <c r="J7" s="85"/>
      <c r="K7" s="148"/>
      <c r="L7" s="148"/>
      <c r="M7" s="148"/>
      <c r="N7" s="148"/>
      <c r="O7" s="148"/>
      <c r="P7" s="148"/>
    </row>
    <row r="8" spans="1:16" ht="12" customHeight="1" x14ac:dyDescent="0.35">
      <c r="B8" s="85"/>
      <c r="C8" s="274">
        <f>A3</f>
        <v>31</v>
      </c>
      <c r="D8" s="207" t="s">
        <v>2947</v>
      </c>
      <c r="E8" s="253"/>
      <c r="F8" s="85"/>
      <c r="G8" s="297">
        <f>A11</f>
        <v>69</v>
      </c>
      <c r="H8" s="207" t="s">
        <v>3585</v>
      </c>
      <c r="I8" s="253"/>
      <c r="J8" s="85"/>
      <c r="K8" s="148"/>
      <c r="L8" s="148"/>
      <c r="M8" s="148"/>
      <c r="N8" s="148"/>
      <c r="O8" s="148"/>
      <c r="P8" s="148"/>
    </row>
    <row r="9" spans="1:16" ht="12" customHeight="1" x14ac:dyDescent="0.35">
      <c r="A9" s="115" t="s">
        <v>3925</v>
      </c>
      <c r="B9" s="85"/>
      <c r="C9" s="293"/>
      <c r="D9" s="264"/>
      <c r="E9" s="294"/>
      <c r="F9" s="85"/>
      <c r="G9" s="293"/>
      <c r="H9" s="264"/>
      <c r="I9" s="253"/>
      <c r="J9" s="85"/>
      <c r="K9" s="148"/>
      <c r="L9" s="148"/>
      <c r="M9" s="148"/>
      <c r="N9" s="148"/>
      <c r="O9" s="148"/>
      <c r="P9" s="148"/>
    </row>
    <row r="10" spans="1:16" ht="10.5" customHeight="1" x14ac:dyDescent="0.35">
      <c r="A10" s="115">
        <v>54</v>
      </c>
      <c r="B10" s="85"/>
      <c r="C10" s="374" t="s">
        <v>4191</v>
      </c>
      <c r="D10" s="207"/>
      <c r="E10" s="253"/>
      <c r="F10" s="85"/>
      <c r="G10" s="293"/>
      <c r="H10" s="290"/>
      <c r="I10" s="253"/>
      <c r="J10" s="85"/>
      <c r="K10" s="148"/>
      <c r="L10" s="148"/>
      <c r="M10" s="148"/>
      <c r="N10" s="148"/>
      <c r="O10" s="148"/>
      <c r="P10" s="148"/>
    </row>
    <row r="11" spans="1:16" ht="12" customHeight="1" x14ac:dyDescent="0.35">
      <c r="A11" s="115">
        <v>69</v>
      </c>
      <c r="B11" s="85"/>
      <c r="C11" s="274">
        <f>A4</f>
        <v>33</v>
      </c>
      <c r="D11" s="207" t="str">
        <f>"Loss set against "&amp;tax_year&amp;" income"</f>
        <v>Loss set against 2017-18 income</v>
      </c>
      <c r="E11" s="253"/>
      <c r="F11" s="85"/>
      <c r="G11" s="297">
        <f>A13</f>
        <v>74</v>
      </c>
      <c r="H11" s="207" t="s">
        <v>4498</v>
      </c>
      <c r="I11" s="253"/>
      <c r="J11" s="85"/>
      <c r="K11" s="148"/>
      <c r="L11" s="148"/>
      <c r="M11" s="148"/>
      <c r="N11" s="148"/>
      <c r="O11" s="148"/>
      <c r="P11" s="148"/>
    </row>
    <row r="12" spans="1:16" ht="12" customHeight="1" x14ac:dyDescent="0.35">
      <c r="A12" s="115">
        <v>71</v>
      </c>
      <c r="B12" s="85"/>
      <c r="C12" s="293"/>
      <c r="D12" s="264"/>
      <c r="E12" s="294"/>
      <c r="F12" s="85"/>
      <c r="G12" s="293"/>
      <c r="H12" s="264"/>
      <c r="I12" s="253"/>
      <c r="J12" s="85"/>
      <c r="K12" s="148"/>
      <c r="L12" s="148"/>
      <c r="M12" s="148"/>
      <c r="N12" s="148"/>
      <c r="O12" s="148"/>
      <c r="P12" s="148"/>
    </row>
    <row r="13" spans="1:16" ht="10.5" customHeight="1" x14ac:dyDescent="0.35">
      <c r="A13" s="115">
        <v>74</v>
      </c>
      <c r="B13" s="85"/>
      <c r="C13" s="374" t="s">
        <v>4661</v>
      </c>
      <c r="D13" s="207"/>
      <c r="E13" s="294"/>
      <c r="F13" s="85"/>
      <c r="G13" s="293"/>
      <c r="H13" s="290"/>
      <c r="I13" s="253"/>
      <c r="J13" s="85"/>
      <c r="K13" s="148"/>
      <c r="L13" s="148"/>
      <c r="M13" s="148"/>
      <c r="N13" s="148"/>
      <c r="O13" s="148"/>
      <c r="P13" s="148"/>
    </row>
    <row r="14" spans="1:16" ht="12" customHeight="1" x14ac:dyDescent="0.35">
      <c r="A14" s="115">
        <v>76</v>
      </c>
      <c r="B14" s="85"/>
      <c r="C14" s="274">
        <f>A5</f>
        <v>36</v>
      </c>
      <c r="D14" s="207" t="s">
        <v>4544</v>
      </c>
      <c r="E14" s="253"/>
      <c r="F14" s="85"/>
      <c r="G14" s="274">
        <f>A14</f>
        <v>76</v>
      </c>
      <c r="H14" s="207" t="s">
        <v>2947</v>
      </c>
      <c r="I14" s="253"/>
      <c r="J14" s="85"/>
      <c r="K14" s="148"/>
      <c r="L14" s="148"/>
      <c r="M14" s="148"/>
      <c r="N14" s="148"/>
      <c r="O14" s="148"/>
      <c r="P14" s="148"/>
    </row>
    <row r="15" spans="1:16" ht="12" customHeight="1" x14ac:dyDescent="0.35">
      <c r="A15" s="115">
        <v>78</v>
      </c>
      <c r="B15" s="85"/>
      <c r="C15" s="293"/>
      <c r="D15" s="207"/>
      <c r="E15" s="253"/>
      <c r="F15" s="85"/>
      <c r="G15" s="293"/>
      <c r="H15" s="264"/>
      <c r="I15" s="253"/>
      <c r="J15" s="85"/>
      <c r="K15" s="148"/>
      <c r="L15" s="148"/>
      <c r="M15" s="148"/>
      <c r="N15" s="148"/>
      <c r="O15" s="148"/>
      <c r="P15" s="148"/>
    </row>
    <row r="16" spans="1:16" ht="10.5" customHeight="1" x14ac:dyDescent="0.35">
      <c r="A16" s="115">
        <v>81</v>
      </c>
      <c r="B16" s="85"/>
      <c r="C16" s="293"/>
      <c r="D16" s="207"/>
      <c r="E16" s="253"/>
      <c r="F16" s="85"/>
      <c r="G16" s="374" t="s">
        <v>4191</v>
      </c>
      <c r="H16" s="291"/>
      <c r="I16" s="253"/>
      <c r="J16" s="85"/>
      <c r="K16" s="148"/>
      <c r="L16" s="148"/>
      <c r="M16" s="148"/>
      <c r="N16" s="148"/>
      <c r="O16" s="148"/>
      <c r="P16" s="148"/>
    </row>
    <row r="17" spans="1:16" ht="12" customHeight="1" x14ac:dyDescent="0.35">
      <c r="A17" s="115">
        <v>82</v>
      </c>
      <c r="B17" s="85"/>
      <c r="C17" s="274">
        <f>A6</f>
        <v>37</v>
      </c>
      <c r="D17" s="207"/>
      <c r="E17" s="253"/>
      <c r="F17" s="85"/>
      <c r="G17" s="274">
        <f>A15</f>
        <v>78</v>
      </c>
      <c r="H17" s="207" t="str">
        <f>"Loss set against "&amp;tax_year&amp;" income"</f>
        <v>Loss set against 2017-18 income</v>
      </c>
      <c r="I17" s="253"/>
      <c r="J17" s="85"/>
      <c r="K17" s="148"/>
      <c r="L17" s="148"/>
      <c r="M17" s="148"/>
      <c r="N17" s="148"/>
      <c r="O17" s="148"/>
      <c r="P17" s="148"/>
    </row>
    <row r="18" spans="1:16" ht="12" customHeight="1" x14ac:dyDescent="0.35">
      <c r="A18" s="115">
        <v>100</v>
      </c>
      <c r="B18" s="85"/>
      <c r="C18" s="293"/>
      <c r="D18" s="207"/>
      <c r="E18" s="253"/>
      <c r="F18" s="85"/>
      <c r="G18" s="293"/>
      <c r="H18" s="264"/>
      <c r="I18" s="253"/>
      <c r="J18" s="85"/>
      <c r="K18" s="148"/>
      <c r="L18" s="1146" t="s">
        <v>2185</v>
      </c>
      <c r="M18" s="1147" t="s">
        <v>3925</v>
      </c>
      <c r="N18" s="148"/>
      <c r="O18" s="148"/>
      <c r="P18" s="148"/>
    </row>
    <row r="19" spans="1:16" ht="10.5" customHeight="1" x14ac:dyDescent="0.35">
      <c r="A19" s="115">
        <v>101</v>
      </c>
      <c r="B19" s="85"/>
      <c r="C19" s="374" t="s">
        <v>4761</v>
      </c>
      <c r="D19" s="207"/>
      <c r="E19" s="253"/>
      <c r="F19" s="85"/>
      <c r="G19" s="374" t="s">
        <v>4758</v>
      </c>
      <c r="H19" s="291"/>
      <c r="I19" s="253"/>
      <c r="J19" s="85"/>
      <c r="N19" s="148"/>
      <c r="O19" s="148"/>
      <c r="P19" s="148"/>
    </row>
    <row r="20" spans="1:16" ht="12" customHeight="1" x14ac:dyDescent="0.35">
      <c r="A20" s="115">
        <v>102</v>
      </c>
      <c r="B20" s="85"/>
      <c r="C20" s="274">
        <f>A7</f>
        <v>38</v>
      </c>
      <c r="D20" s="207" t="s">
        <v>2820</v>
      </c>
      <c r="E20" s="253"/>
      <c r="F20" s="85"/>
      <c r="G20" s="274">
        <f>A16</f>
        <v>81</v>
      </c>
      <c r="H20" s="207" t="s">
        <v>2820</v>
      </c>
      <c r="I20" s="253"/>
      <c r="J20" s="85"/>
      <c r="K20" s="1147" t="s">
        <v>4953</v>
      </c>
      <c r="L20" s="289" t="b">
        <v>0</v>
      </c>
      <c r="M20" s="289" t="b">
        <v>0</v>
      </c>
      <c r="N20" s="148"/>
      <c r="O20" s="148"/>
      <c r="P20" s="148"/>
    </row>
    <row r="21" spans="1:16" ht="12" customHeight="1" x14ac:dyDescent="0.35">
      <c r="B21" s="85"/>
      <c r="C21" s="293"/>
      <c r="D21" s="976"/>
      <c r="E21" s="253"/>
      <c r="F21" s="85"/>
      <c r="G21" s="293"/>
      <c r="H21" s="210"/>
      <c r="I21" s="253"/>
      <c r="J21" s="85"/>
      <c r="K21" s="1146" t="s">
        <v>4630</v>
      </c>
      <c r="L21" s="289" t="b">
        <v>0</v>
      </c>
      <c r="M21" s="289" t="b">
        <v>0</v>
      </c>
      <c r="N21" s="148"/>
      <c r="O21" s="148"/>
      <c r="P21" s="148"/>
    </row>
    <row r="22" spans="1:16" ht="10.5" customHeight="1" x14ac:dyDescent="0.35">
      <c r="B22" s="85"/>
      <c r="C22" s="295"/>
      <c r="D22" s="296"/>
      <c r="E22" s="257"/>
      <c r="F22" s="85"/>
      <c r="G22" s="374"/>
      <c r="H22" s="246"/>
      <c r="I22" s="253"/>
      <c r="J22" s="85"/>
      <c r="K22" s="289"/>
      <c r="L22" s="289"/>
      <c r="M22" s="148"/>
      <c r="N22" s="148"/>
      <c r="O22" s="148"/>
      <c r="P22" s="148"/>
    </row>
    <row r="23" spans="1:16" x14ac:dyDescent="0.35">
      <c r="B23" s="1163"/>
      <c r="C23" s="1236"/>
      <c r="D23" s="1163"/>
      <c r="E23" s="1163"/>
      <c r="F23" s="85"/>
      <c r="G23" s="274">
        <f>A17</f>
        <v>82</v>
      </c>
      <c r="H23" s="207" t="s">
        <v>4919</v>
      </c>
      <c r="I23" s="253"/>
      <c r="J23" s="85"/>
      <c r="K23" s="148"/>
      <c r="L23" s="148"/>
      <c r="M23" s="148"/>
      <c r="N23" s="148"/>
      <c r="O23" s="148"/>
    </row>
    <row r="24" spans="1:16" x14ac:dyDescent="0.35">
      <c r="B24" s="1163"/>
      <c r="C24" s="1236"/>
      <c r="D24" s="1163"/>
      <c r="E24" s="1163"/>
      <c r="F24" s="85"/>
      <c r="G24" s="293"/>
      <c r="H24" s="976"/>
      <c r="I24" s="253"/>
      <c r="J24" s="85"/>
      <c r="K24" s="148"/>
      <c r="L24" s="148"/>
      <c r="M24" s="148"/>
      <c r="N24" s="148"/>
      <c r="O24" s="148"/>
    </row>
    <row r="25" spans="1:16" ht="10.5" customHeight="1" x14ac:dyDescent="0.35">
      <c r="B25" s="1163"/>
      <c r="C25" s="1236"/>
      <c r="D25" s="1163"/>
      <c r="E25" s="1163"/>
      <c r="F25" s="85"/>
      <c r="G25" s="374" t="s">
        <v>4661</v>
      </c>
      <c r="H25" s="207"/>
      <c r="I25" s="253"/>
      <c r="J25" s="85"/>
      <c r="K25" s="148"/>
      <c r="L25" s="148"/>
      <c r="M25" s="148"/>
      <c r="N25" s="148"/>
      <c r="O25" s="148"/>
    </row>
    <row r="26" spans="1:16" x14ac:dyDescent="0.35">
      <c r="B26" s="85"/>
      <c r="C26" s="149"/>
      <c r="D26" s="85"/>
      <c r="E26" s="85"/>
      <c r="F26" s="85"/>
      <c r="G26" s="274">
        <f>A18</f>
        <v>100</v>
      </c>
      <c r="H26" s="207" t="s">
        <v>4544</v>
      </c>
      <c r="I26" s="253"/>
      <c r="J26" s="85"/>
      <c r="K26" s="148"/>
      <c r="L26" s="148"/>
      <c r="M26" s="148"/>
      <c r="N26" s="148"/>
      <c r="O26" s="148"/>
    </row>
    <row r="27" spans="1:16" x14ac:dyDescent="0.35">
      <c r="B27" s="85"/>
      <c r="C27" s="149"/>
      <c r="D27" s="85"/>
      <c r="E27" s="85"/>
      <c r="F27" s="85"/>
      <c r="G27" s="293"/>
      <c r="H27" s="207"/>
      <c r="I27" s="253"/>
      <c r="J27" s="85"/>
      <c r="K27" s="148"/>
      <c r="L27" s="148"/>
      <c r="M27" s="148"/>
      <c r="N27" s="148"/>
      <c r="O27" s="148"/>
    </row>
    <row r="28" spans="1:16" ht="9" customHeight="1" x14ac:dyDescent="0.35">
      <c r="B28" s="85"/>
      <c r="C28" s="149"/>
      <c r="D28" s="85"/>
      <c r="E28" s="85"/>
      <c r="F28" s="85"/>
      <c r="G28" s="293"/>
      <c r="H28" s="207"/>
      <c r="I28" s="253"/>
      <c r="J28" s="85"/>
      <c r="K28" s="148"/>
      <c r="L28" s="148"/>
      <c r="M28" s="148"/>
      <c r="N28" s="148"/>
      <c r="O28" s="148"/>
    </row>
    <row r="29" spans="1:16" x14ac:dyDescent="0.35">
      <c r="B29" s="85"/>
      <c r="C29" s="149"/>
      <c r="D29" s="85"/>
      <c r="E29" s="85"/>
      <c r="F29" s="85"/>
      <c r="G29" s="274">
        <f>A19</f>
        <v>101</v>
      </c>
      <c r="H29" s="207"/>
      <c r="I29" s="253"/>
      <c r="J29" s="85"/>
      <c r="K29" s="148"/>
      <c r="L29" s="148"/>
      <c r="M29" s="148"/>
      <c r="N29" s="148"/>
      <c r="O29" s="148"/>
    </row>
    <row r="30" spans="1:16" x14ac:dyDescent="0.35">
      <c r="B30" s="85"/>
      <c r="C30" s="149"/>
      <c r="D30" s="85"/>
      <c r="E30" s="85"/>
      <c r="F30" s="85"/>
      <c r="G30" s="293"/>
      <c r="H30" s="207"/>
      <c r="I30" s="253"/>
      <c r="J30" s="85"/>
    </row>
    <row r="31" spans="1:16" ht="9" customHeight="1" x14ac:dyDescent="0.35">
      <c r="B31" s="85"/>
      <c r="C31" s="149"/>
      <c r="D31" s="85"/>
      <c r="E31" s="85"/>
      <c r="F31" s="85"/>
      <c r="G31" s="293"/>
      <c r="H31" s="207"/>
      <c r="I31" s="253"/>
      <c r="J31" s="85"/>
    </row>
    <row r="32" spans="1:16" x14ac:dyDescent="0.35">
      <c r="B32" s="85"/>
      <c r="C32" s="149"/>
      <c r="D32" s="85"/>
      <c r="E32" s="85"/>
      <c r="F32" s="85"/>
      <c r="G32" s="297">
        <f>A20</f>
        <v>102</v>
      </c>
      <c r="H32" s="207" t="s">
        <v>1112</v>
      </c>
      <c r="I32" s="253"/>
      <c r="J32" s="85"/>
    </row>
    <row r="33" spans="2:10" x14ac:dyDescent="0.35">
      <c r="B33" s="85"/>
      <c r="C33" s="149"/>
      <c r="D33" s="85"/>
      <c r="E33" s="85"/>
      <c r="F33" s="85"/>
      <c r="G33" s="293"/>
      <c r="H33" s="976"/>
      <c r="I33" s="253"/>
      <c r="J33" s="85"/>
    </row>
    <row r="34" spans="2:10" ht="9" customHeight="1" x14ac:dyDescent="0.35">
      <c r="B34" s="85"/>
      <c r="C34" s="149"/>
      <c r="D34" s="85"/>
      <c r="E34" s="85"/>
      <c r="F34" s="85"/>
      <c r="G34" s="295"/>
      <c r="H34" s="256"/>
      <c r="I34" s="257"/>
      <c r="J34" s="85"/>
    </row>
    <row r="35" spans="2:10" x14ac:dyDescent="0.35">
      <c r="B35" s="85"/>
      <c r="C35" s="149"/>
      <c r="D35" s="85"/>
      <c r="E35" s="85"/>
      <c r="F35" s="85"/>
      <c r="G35" s="1236"/>
      <c r="H35" s="1163"/>
      <c r="I35" s="1163"/>
      <c r="J35" s="85"/>
    </row>
    <row r="36" spans="2:10" x14ac:dyDescent="0.35">
      <c r="B36" s="85"/>
      <c r="C36" s="149"/>
      <c r="D36" s="85"/>
      <c r="E36" s="85"/>
      <c r="F36" s="85"/>
      <c r="G36" s="1236"/>
      <c r="H36" s="1163"/>
      <c r="I36" s="1163"/>
      <c r="J36" s="85"/>
    </row>
    <row r="37" spans="2:10" ht="9" customHeight="1" x14ac:dyDescent="0.35">
      <c r="B37" s="85"/>
      <c r="C37" s="149"/>
      <c r="D37" s="85"/>
      <c r="E37" s="85"/>
      <c r="F37" s="85"/>
      <c r="G37" s="1236"/>
      <c r="H37" s="1163"/>
      <c r="I37" s="1163"/>
      <c r="J37" s="85"/>
    </row>
    <row r="38" spans="2:10" x14ac:dyDescent="0.35">
      <c r="B38" s="85"/>
      <c r="C38" s="149"/>
      <c r="D38" s="85"/>
      <c r="E38" s="85"/>
      <c r="F38" s="85"/>
      <c r="G38" s="149"/>
      <c r="H38" s="85"/>
      <c r="I38" s="85"/>
      <c r="J38" s="85"/>
    </row>
    <row r="39" spans="2:10" x14ac:dyDescent="0.35">
      <c r="B39" s="85"/>
      <c r="C39" s="149"/>
      <c r="D39" s="85"/>
      <c r="E39" s="85"/>
      <c r="F39" s="85"/>
      <c r="G39" s="149"/>
      <c r="H39" s="85"/>
      <c r="I39" s="85"/>
      <c r="J39" s="85"/>
    </row>
    <row r="40" spans="2:10" x14ac:dyDescent="0.35">
      <c r="B40" s="1163"/>
      <c r="C40" s="1236"/>
      <c r="D40" s="1163"/>
      <c r="E40" s="1163"/>
      <c r="F40" s="1163"/>
      <c r="G40" s="1236"/>
      <c r="H40" s="1163"/>
      <c r="I40" s="1163"/>
      <c r="J40" s="1163"/>
    </row>
    <row r="41" spans="2:10" x14ac:dyDescent="0.35">
      <c r="B41" s="1163"/>
      <c r="C41" s="1236"/>
      <c r="D41" s="1163"/>
      <c r="E41" s="1163"/>
      <c r="F41" s="1163"/>
      <c r="G41" s="1236"/>
      <c r="H41" s="1163"/>
      <c r="I41" s="1163"/>
      <c r="J41" s="1163"/>
    </row>
  </sheetData>
  <sheetProtection sheet="1" objects="1" scenarios="1"/>
  <phoneticPr fontId="68" type="noConversion"/>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6</xdr:col>
                    <xdr:colOff>342900</xdr:colOff>
                    <xdr:row>28</xdr:row>
                    <xdr:rowOff>104775</xdr:rowOff>
                  </from>
                  <to>
                    <xdr:col>7</xdr:col>
                    <xdr:colOff>257175</xdr:colOff>
                    <xdr:row>30</xdr:row>
                    <xdr:rowOff>19050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2</xdr:col>
                    <xdr:colOff>323850</xdr:colOff>
                    <xdr:row>16</xdr:row>
                    <xdr:rowOff>95250</xdr:rowOff>
                  </from>
                  <to>
                    <xdr:col>3</xdr:col>
                    <xdr:colOff>238125</xdr:colOff>
                    <xdr:row>18</xdr:row>
                    <xdr:rowOff>9525</xdr:rowOff>
                  </to>
                </anchor>
              </controlPr>
            </control>
          </mc:Choice>
        </mc:AlternateContent>
        <mc:AlternateContent xmlns:mc="http://schemas.openxmlformats.org/markup-compatibility/2006">
          <mc:Choice Requires="x14">
            <control shapeId="7173" r:id="rId6" name="Check Box 5">
              <controlPr defaultSize="0" autoFill="0" autoLine="0" autoPict="0">
                <anchor moveWithCells="1">
                  <from>
                    <xdr:col>2</xdr:col>
                    <xdr:colOff>314325</xdr:colOff>
                    <xdr:row>13</xdr:row>
                    <xdr:rowOff>95250</xdr:rowOff>
                  </from>
                  <to>
                    <xdr:col>3</xdr:col>
                    <xdr:colOff>228600</xdr:colOff>
                    <xdr:row>15</xdr:row>
                    <xdr:rowOff>9525</xdr:rowOff>
                  </to>
                </anchor>
              </controlPr>
            </control>
          </mc:Choice>
        </mc:AlternateContent>
        <mc:AlternateContent xmlns:mc="http://schemas.openxmlformats.org/markup-compatibility/2006">
          <mc:Choice Requires="x14">
            <control shapeId="7178" r:id="rId7" name="Button 10">
              <controlPr defaultSize="0" autoFill="0" autoPict="0" macro="[0]!Show_Page_NI">
                <anchor>
                  <from>
                    <xdr:col>8</xdr:col>
                    <xdr:colOff>1619250</xdr:colOff>
                    <xdr:row>35</xdr:row>
                    <xdr:rowOff>0</xdr:rowOff>
                  </from>
                  <to>
                    <xdr:col>9</xdr:col>
                    <xdr:colOff>2219325</xdr:colOff>
                    <xdr:row>39</xdr:row>
                    <xdr:rowOff>85725</xdr:rowOff>
                  </to>
                </anchor>
              </controlPr>
            </control>
          </mc:Choice>
        </mc:AlternateContent>
        <mc:AlternateContent xmlns:mc="http://schemas.openxmlformats.org/markup-compatibility/2006">
          <mc:Choice Requires="x14">
            <control shapeId="2" r:id="rId8" name="Check Box 11">
              <controlPr defaultSize="0" autoFill="0" autoLine="0" autoPict="0">
                <anchor moveWithCells="1">
                  <from>
                    <xdr:col>6</xdr:col>
                    <xdr:colOff>342900</xdr:colOff>
                    <xdr:row>25</xdr:row>
                    <xdr:rowOff>104775</xdr:rowOff>
                  </from>
                  <to>
                    <xdr:col>7</xdr:col>
                    <xdr:colOff>257175</xdr:colOff>
                    <xdr:row>27</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35"/>
  <sheetViews>
    <sheetView showGridLines="0" topLeftCell="B1" workbookViewId="0">
      <selection activeCell="I28" sqref="I28"/>
    </sheetView>
  </sheetViews>
  <sheetFormatPr defaultColWidth="9.1328125" defaultRowHeight="11.65" x14ac:dyDescent="0.35"/>
  <cols>
    <col min="1" max="1" width="7.3984375" style="115" hidden="1" customWidth="1"/>
    <col min="2" max="2" width="5.59765625" style="115" customWidth="1"/>
    <col min="3" max="3" width="5.1328125" style="115" customWidth="1"/>
    <col min="4" max="4" width="13.73046875" style="115" customWidth="1"/>
    <col min="5" max="5" width="30.1328125" style="115" customWidth="1"/>
    <col min="6" max="6" width="2" style="115" customWidth="1"/>
    <col min="7" max="7" width="5.86328125" style="115" customWidth="1"/>
    <col min="8" max="8" width="13.73046875" style="115" customWidth="1"/>
    <col min="9" max="9" width="30.1328125" style="115" customWidth="1"/>
    <col min="10" max="10" width="2.265625" style="115" customWidth="1"/>
    <col min="11" max="11" width="6.1328125" style="115" customWidth="1"/>
    <col min="12" max="12" width="13.73046875" style="115" customWidth="1"/>
    <col min="13" max="13" width="31.86328125" style="115" customWidth="1"/>
    <col min="14" max="14" width="26.265625" style="115" customWidth="1"/>
    <col min="15" max="15" width="16.3984375" style="115" hidden="1" customWidth="1"/>
    <col min="16" max="16" width="11.1328125" style="115" hidden="1" customWidth="1"/>
    <col min="17" max="16384" width="9.1328125" style="115"/>
  </cols>
  <sheetData>
    <row r="1" spans="1:17" ht="12.75" customHeight="1" x14ac:dyDescent="0.35">
      <c r="A1" s="115" t="s">
        <v>3927</v>
      </c>
      <c r="B1" s="85"/>
      <c r="C1" s="73"/>
      <c r="D1" s="73"/>
      <c r="E1" s="73"/>
      <c r="F1" s="73"/>
      <c r="G1" s="73"/>
      <c r="H1" s="73"/>
      <c r="I1" s="85"/>
      <c r="J1" s="85"/>
      <c r="K1" s="85"/>
      <c r="L1" s="85"/>
      <c r="M1" s="85"/>
      <c r="N1" s="85"/>
      <c r="O1" s="148"/>
      <c r="P1" s="148"/>
      <c r="Q1" s="148"/>
    </row>
    <row r="2" spans="1:17" ht="12.75" customHeight="1" x14ac:dyDescent="0.4">
      <c r="B2" s="73"/>
      <c r="C2" s="298" t="s">
        <v>589</v>
      </c>
      <c r="D2" s="249"/>
      <c r="E2" s="456" t="s">
        <v>3927</v>
      </c>
      <c r="F2" s="73"/>
      <c r="G2" s="302"/>
      <c r="H2" s="249"/>
      <c r="I2" s="456" t="s">
        <v>3927</v>
      </c>
      <c r="J2" s="85"/>
      <c r="K2" s="302"/>
      <c r="L2" s="249"/>
      <c r="M2" s="456" t="s">
        <v>3927</v>
      </c>
      <c r="N2" s="85"/>
      <c r="O2" s="148"/>
      <c r="P2" s="148"/>
      <c r="Q2" s="148"/>
    </row>
    <row r="3" spans="1:17" ht="12.75" customHeight="1" x14ac:dyDescent="0.35">
      <c r="B3" s="1165" t="s">
        <v>2303</v>
      </c>
      <c r="C3" s="374" t="s">
        <v>4680</v>
      </c>
      <c r="D3" s="207"/>
      <c r="E3" s="253"/>
      <c r="F3" s="73"/>
      <c r="G3" s="374" t="s">
        <v>4681</v>
      </c>
      <c r="H3" s="246"/>
      <c r="I3" s="294"/>
      <c r="J3" s="85"/>
      <c r="K3" s="374" t="s">
        <v>4682</v>
      </c>
      <c r="L3" s="207"/>
      <c r="M3" s="253"/>
      <c r="N3" s="85"/>
      <c r="O3" s="148"/>
      <c r="P3" s="148"/>
      <c r="Q3" s="148"/>
    </row>
    <row r="4" spans="1:17" ht="12.75" customHeight="1" x14ac:dyDescent="0.35">
      <c r="A4" s="115">
        <v>4</v>
      </c>
      <c r="B4" s="1165" t="s">
        <v>2304</v>
      </c>
      <c r="C4" s="274">
        <f>A4</f>
        <v>4</v>
      </c>
      <c r="D4" s="207" t="s">
        <v>1434</v>
      </c>
      <c r="E4" s="253"/>
      <c r="F4" s="73"/>
      <c r="G4" s="274">
        <f>A14</f>
        <v>14</v>
      </c>
      <c r="H4" s="207" t="s">
        <v>1435</v>
      </c>
      <c r="I4" s="294"/>
      <c r="J4" s="85"/>
      <c r="K4" s="274">
        <f>A21</f>
        <v>51</v>
      </c>
      <c r="L4" s="207" t="s">
        <v>4657</v>
      </c>
      <c r="M4" s="253"/>
      <c r="N4" s="85"/>
      <c r="O4" s="148"/>
      <c r="P4" s="148"/>
      <c r="Q4" s="148"/>
    </row>
    <row r="5" spans="1:17" ht="12.75" customHeight="1" x14ac:dyDescent="0.35">
      <c r="B5" s="1165" t="s">
        <v>2305</v>
      </c>
      <c r="C5" s="299"/>
      <c r="D5" s="210"/>
      <c r="E5" s="253"/>
      <c r="F5" s="73"/>
      <c r="G5" s="252"/>
      <c r="H5" s="210"/>
      <c r="I5" s="294"/>
      <c r="J5" s="85"/>
      <c r="K5" s="299"/>
      <c r="L5" s="264"/>
      <c r="M5" s="253"/>
      <c r="N5" s="85"/>
      <c r="O5" s="148"/>
      <c r="P5" s="148"/>
      <c r="Q5" s="148"/>
    </row>
    <row r="6" spans="1:17" ht="12.75" customHeight="1" x14ac:dyDescent="0.35">
      <c r="A6" s="115">
        <v>6</v>
      </c>
      <c r="B6" s="1165" t="s">
        <v>2306</v>
      </c>
      <c r="C6" s="374" t="s">
        <v>3194</v>
      </c>
      <c r="D6" s="207"/>
      <c r="E6" s="253"/>
      <c r="F6" s="73"/>
      <c r="G6" s="252"/>
      <c r="H6" s="246"/>
      <c r="I6" s="294"/>
      <c r="J6" s="85"/>
      <c r="K6" s="252"/>
      <c r="L6" s="207"/>
      <c r="M6" s="253"/>
      <c r="N6" s="85"/>
      <c r="O6" s="148"/>
      <c r="P6" s="148"/>
      <c r="Q6" s="148"/>
    </row>
    <row r="7" spans="1:17" ht="12.75" customHeight="1" x14ac:dyDescent="0.35">
      <c r="A7" s="115">
        <v>7</v>
      </c>
      <c r="B7" s="1165" t="s">
        <v>2314</v>
      </c>
      <c r="C7" s="274">
        <f>A6</f>
        <v>6</v>
      </c>
      <c r="D7" s="207" t="s">
        <v>590</v>
      </c>
      <c r="E7" s="253"/>
      <c r="F7" s="73"/>
      <c r="G7" s="274">
        <f>A15</f>
        <v>15</v>
      </c>
      <c r="H7" s="290" t="s">
        <v>1944</v>
      </c>
      <c r="I7" s="294"/>
      <c r="J7" s="85"/>
      <c r="K7" s="274">
        <f>A22</f>
        <v>52</v>
      </c>
      <c r="L7" s="207" t="s">
        <v>2947</v>
      </c>
      <c r="M7" s="253"/>
      <c r="N7" s="85"/>
      <c r="O7" s="148"/>
      <c r="P7" s="148"/>
      <c r="Q7" s="148"/>
    </row>
    <row r="8" spans="1:17" ht="12.75" customHeight="1" x14ac:dyDescent="0.35">
      <c r="A8" s="115">
        <v>8</v>
      </c>
      <c r="B8" s="1165"/>
      <c r="C8" s="252"/>
      <c r="D8" s="264"/>
      <c r="E8" s="253"/>
      <c r="F8" s="73"/>
      <c r="G8" s="252"/>
      <c r="H8" s="210"/>
      <c r="I8" s="294"/>
      <c r="J8" s="85"/>
      <c r="K8" s="299"/>
      <c r="L8" s="264"/>
      <c r="M8" s="253"/>
      <c r="N8" s="85"/>
      <c r="O8" s="148"/>
      <c r="P8" s="148"/>
      <c r="Q8" s="148"/>
    </row>
    <row r="9" spans="1:17" ht="12.75" customHeight="1" x14ac:dyDescent="0.35">
      <c r="A9" s="115">
        <v>9</v>
      </c>
      <c r="B9" s="1165" t="s">
        <v>683</v>
      </c>
      <c r="C9" s="252"/>
      <c r="D9" s="207"/>
      <c r="E9" s="253"/>
      <c r="F9" s="73"/>
      <c r="G9" s="252"/>
      <c r="H9" s="246"/>
      <c r="I9" s="294"/>
      <c r="J9" s="85"/>
      <c r="K9" s="252"/>
      <c r="L9" s="207"/>
      <c r="M9" s="253"/>
      <c r="N9" s="85"/>
      <c r="O9" s="148"/>
      <c r="P9" s="148"/>
      <c r="Q9" s="148"/>
    </row>
    <row r="10" spans="1:17" ht="12.75" customHeight="1" x14ac:dyDescent="0.35">
      <c r="A10" s="115">
        <v>10</v>
      </c>
      <c r="B10" s="1165" t="s">
        <v>2966</v>
      </c>
      <c r="C10" s="3420">
        <f>A7</f>
        <v>7</v>
      </c>
      <c r="D10" s="3333" t="s">
        <v>2815</v>
      </c>
      <c r="E10" s="3334"/>
      <c r="F10" s="73"/>
      <c r="G10" s="274">
        <f>A16</f>
        <v>16</v>
      </c>
      <c r="H10" s="207" t="s">
        <v>1393</v>
      </c>
      <c r="I10" s="294"/>
      <c r="J10" s="85"/>
      <c r="K10" s="274">
        <f>A23</f>
        <v>56</v>
      </c>
      <c r="L10" s="207" t="str">
        <f>"Loss set against "&amp;tax_year&amp;" income"</f>
        <v>Loss set against 2017-18 income</v>
      </c>
      <c r="M10" s="253"/>
      <c r="N10" s="85"/>
      <c r="O10" s="148"/>
      <c r="P10" s="148"/>
      <c r="Q10" s="148"/>
    </row>
    <row r="11" spans="1:17" ht="12.75" customHeight="1" x14ac:dyDescent="0.35">
      <c r="B11" s="1165" t="s">
        <v>680</v>
      </c>
      <c r="C11" s="3421"/>
      <c r="D11" s="3442"/>
      <c r="E11" s="3443"/>
      <c r="F11" s="73"/>
      <c r="G11" s="252"/>
      <c r="H11" s="210"/>
      <c r="I11" s="294"/>
      <c r="J11" s="85"/>
      <c r="K11" s="252"/>
      <c r="L11" s="248"/>
      <c r="M11" s="253"/>
      <c r="N11" s="85"/>
      <c r="O11" s="148"/>
      <c r="P11" s="148"/>
      <c r="Q11" s="148"/>
    </row>
    <row r="12" spans="1:17" ht="12.75" customHeight="1" x14ac:dyDescent="0.35">
      <c r="B12" s="1165" t="s">
        <v>684</v>
      </c>
      <c r="C12" s="252"/>
      <c r="D12" s="207"/>
      <c r="E12" s="253"/>
      <c r="F12" s="73"/>
      <c r="G12" s="252"/>
      <c r="H12" s="246"/>
      <c r="I12" s="294"/>
      <c r="J12" s="85"/>
      <c r="K12" s="374" t="s">
        <v>4683</v>
      </c>
      <c r="L12" s="207"/>
      <c r="M12" s="253"/>
      <c r="N12" s="85"/>
      <c r="O12" s="148"/>
      <c r="P12" s="148"/>
      <c r="Q12" s="148"/>
    </row>
    <row r="13" spans="1:17" ht="12.75" customHeight="1" x14ac:dyDescent="0.35">
      <c r="B13" s="1165" t="s">
        <v>1986</v>
      </c>
      <c r="C13" s="274">
        <f>A8</f>
        <v>8</v>
      </c>
      <c r="D13" s="1611" t="s">
        <v>6236</v>
      </c>
      <c r="E13" s="1799"/>
      <c r="F13" s="73"/>
      <c r="G13" s="274">
        <f>A17</f>
        <v>17</v>
      </c>
      <c r="H13" s="207" t="s">
        <v>2944</v>
      </c>
      <c r="I13" s="294"/>
      <c r="J13" s="85"/>
      <c r="K13" s="274">
        <f>A24</f>
        <v>63</v>
      </c>
      <c r="L13" s="207" t="s">
        <v>4544</v>
      </c>
      <c r="M13" s="253"/>
      <c r="N13" s="85"/>
      <c r="O13" s="148"/>
      <c r="P13" s="148"/>
      <c r="Q13" s="148"/>
    </row>
    <row r="14" spans="1:17" ht="12.75" customHeight="1" x14ac:dyDescent="0.35">
      <c r="A14" s="115">
        <v>14</v>
      </c>
      <c r="B14" s="1165"/>
      <c r="C14" s="252"/>
      <c r="D14" s="264"/>
      <c r="E14" s="253"/>
      <c r="F14" s="73"/>
      <c r="G14" s="252"/>
      <c r="H14" s="210"/>
      <c r="I14" s="294"/>
      <c r="J14" s="85"/>
      <c r="K14" s="252"/>
      <c r="L14" s="207"/>
      <c r="M14" s="253"/>
      <c r="N14" s="85"/>
      <c r="O14" s="148"/>
      <c r="P14" s="148"/>
      <c r="Q14" s="148"/>
    </row>
    <row r="15" spans="1:17" ht="12.75" customHeight="1" x14ac:dyDescent="0.35">
      <c r="A15" s="115">
        <v>15</v>
      </c>
      <c r="B15" s="1165" t="s">
        <v>630</v>
      </c>
      <c r="C15" s="252"/>
      <c r="D15" s="207"/>
      <c r="E15" s="253"/>
      <c r="F15" s="73"/>
      <c r="G15" s="252"/>
      <c r="H15" s="246"/>
      <c r="I15" s="294"/>
      <c r="J15" s="85"/>
      <c r="K15" s="252"/>
      <c r="L15" s="207"/>
      <c r="M15" s="253"/>
      <c r="N15" s="85"/>
      <c r="O15" s="148"/>
      <c r="P15" s="148"/>
      <c r="Q15" s="148"/>
    </row>
    <row r="16" spans="1:17" ht="12.75" customHeight="1" x14ac:dyDescent="0.35">
      <c r="A16" s="115">
        <v>16</v>
      </c>
      <c r="B16" s="1165" t="s">
        <v>633</v>
      </c>
      <c r="C16" s="274">
        <f>A9</f>
        <v>9</v>
      </c>
      <c r="D16" s="1611" t="s">
        <v>6238</v>
      </c>
      <c r="E16" s="1799"/>
      <c r="F16" s="73"/>
      <c r="G16" s="3421"/>
      <c r="H16" s="3333" t="str">
        <f>"Amount received (before 6 April "&amp;Tax_year_start&amp;") and tax taken"</f>
        <v>Amount received (before 6 April 2017) and tax taken</v>
      </c>
      <c r="I16" s="3443"/>
      <c r="J16" s="85"/>
      <c r="K16" s="274">
        <f>A26</f>
        <v>64</v>
      </c>
      <c r="L16" s="207"/>
      <c r="M16" s="253"/>
      <c r="N16" s="85"/>
      <c r="O16" s="148"/>
      <c r="P16" s="148"/>
      <c r="Q16" s="148"/>
    </row>
    <row r="17" spans="1:18" ht="12.75" customHeight="1" x14ac:dyDescent="0.35">
      <c r="A17" s="115">
        <v>17</v>
      </c>
      <c r="B17" s="1165" t="s">
        <v>636</v>
      </c>
      <c r="C17" s="252"/>
      <c r="D17" s="264"/>
      <c r="E17" s="294"/>
      <c r="F17" s="73"/>
      <c r="G17" s="3420">
        <f>A19</f>
        <v>19</v>
      </c>
      <c r="H17" s="3113" t="s">
        <v>6239</v>
      </c>
      <c r="I17" s="3443"/>
      <c r="J17" s="85"/>
      <c r="K17" s="252"/>
      <c r="L17" s="207"/>
      <c r="M17" s="253"/>
      <c r="N17" s="85"/>
      <c r="O17" s="148"/>
      <c r="P17" s="148"/>
      <c r="Q17" s="148"/>
    </row>
    <row r="18" spans="1:18" ht="12.75" customHeight="1" x14ac:dyDescent="0.35">
      <c r="B18" s="1165" t="s">
        <v>4548</v>
      </c>
      <c r="C18" s="3421"/>
      <c r="D18" s="3333" t="s">
        <v>5673</v>
      </c>
      <c r="E18" s="3334"/>
      <c r="F18" s="73"/>
      <c r="G18" s="3421"/>
      <c r="H18" s="3444"/>
      <c r="I18" s="3443"/>
      <c r="J18" s="85"/>
      <c r="K18" s="252"/>
      <c r="L18" s="207"/>
      <c r="M18" s="253"/>
      <c r="N18" s="85"/>
      <c r="O18" s="148"/>
      <c r="P18" s="148"/>
      <c r="Q18" s="148"/>
    </row>
    <row r="19" spans="1:18" ht="12.75" customHeight="1" x14ac:dyDescent="0.35">
      <c r="A19" s="115">
        <v>19</v>
      </c>
      <c r="B19" s="1165" t="s">
        <v>919</v>
      </c>
      <c r="C19" s="3420">
        <f>A10</f>
        <v>10</v>
      </c>
      <c r="D19" s="3333" t="s">
        <v>5674</v>
      </c>
      <c r="E19" s="3334"/>
      <c r="F19" s="73"/>
      <c r="G19" s="252"/>
      <c r="H19" s="246"/>
      <c r="I19" s="294"/>
      <c r="J19" s="85"/>
      <c r="K19" s="274">
        <f>A27</f>
        <v>65</v>
      </c>
      <c r="L19" s="207" t="s">
        <v>1112</v>
      </c>
      <c r="M19" s="253"/>
      <c r="N19" s="85"/>
      <c r="O19" s="1146" t="s">
        <v>4547</v>
      </c>
      <c r="P19" s="289" t="b">
        <v>0</v>
      </c>
      <c r="Q19" s="148"/>
    </row>
    <row r="20" spans="1:18" ht="12.75" customHeight="1" x14ac:dyDescent="0.35">
      <c r="B20" s="1165" t="s">
        <v>824</v>
      </c>
      <c r="C20" s="3421"/>
      <c r="D20" s="3442"/>
      <c r="E20" s="3443"/>
      <c r="F20" s="73"/>
      <c r="G20" s="252"/>
      <c r="H20" s="246"/>
      <c r="I20" s="294"/>
      <c r="J20" s="85"/>
      <c r="K20" s="299"/>
      <c r="L20" s="248"/>
      <c r="M20" s="294"/>
      <c r="N20" s="85"/>
      <c r="O20" s="1146" t="s">
        <v>4549</v>
      </c>
      <c r="P20" s="289" t="b">
        <v>0</v>
      </c>
      <c r="Q20" s="148"/>
    </row>
    <row r="21" spans="1:18" ht="12.75" customHeight="1" x14ac:dyDescent="0.35">
      <c r="A21" s="115">
        <v>51</v>
      </c>
      <c r="B21" s="1165" t="s">
        <v>2693</v>
      </c>
      <c r="C21" s="255"/>
      <c r="D21" s="300"/>
      <c r="E21" s="301"/>
      <c r="F21" s="73"/>
      <c r="G21" s="255"/>
      <c r="H21" s="300"/>
      <c r="I21" s="301"/>
      <c r="J21" s="85"/>
      <c r="K21" s="303"/>
      <c r="L21" s="300"/>
      <c r="M21" s="301"/>
      <c r="N21" s="85"/>
      <c r="O21" s="148"/>
      <c r="P21" s="148"/>
      <c r="Q21" s="148"/>
    </row>
    <row r="22" spans="1:18" ht="12.75" customHeight="1" x14ac:dyDescent="0.35">
      <c r="A22" s="115">
        <v>52</v>
      </c>
      <c r="B22" s="73"/>
      <c r="C22" s="73"/>
      <c r="D22" s="73"/>
      <c r="E22" s="73"/>
      <c r="F22" s="73"/>
      <c r="G22" s="73"/>
      <c r="H22" s="73"/>
      <c r="I22" s="73"/>
      <c r="J22" s="85"/>
      <c r="K22" s="1163"/>
      <c r="L22" s="1163"/>
      <c r="M22" s="1163"/>
      <c r="N22" s="85"/>
      <c r="O22" s="148"/>
      <c r="P22" s="148"/>
      <c r="Q22" s="148"/>
    </row>
    <row r="23" spans="1:18" x14ac:dyDescent="0.35">
      <c r="A23" s="115">
        <v>56</v>
      </c>
      <c r="B23" s="73"/>
      <c r="C23" s="73"/>
      <c r="D23" s="73"/>
      <c r="E23" s="73"/>
      <c r="F23" s="73"/>
      <c r="G23" s="73"/>
      <c r="H23" s="73"/>
      <c r="I23" s="73"/>
      <c r="J23" s="73"/>
      <c r="K23" s="1163"/>
      <c r="L23" s="1163"/>
      <c r="M23" s="1163"/>
      <c r="N23" s="85"/>
      <c r="O23" s="148"/>
      <c r="P23" s="148"/>
      <c r="Q23" s="148"/>
    </row>
    <row r="24" spans="1:18" ht="12.75" customHeight="1" x14ac:dyDescent="0.35">
      <c r="A24" s="115">
        <v>63</v>
      </c>
      <c r="B24" s="73"/>
      <c r="C24" s="73"/>
      <c r="D24" s="73"/>
      <c r="E24" s="73"/>
      <c r="F24" s="73"/>
      <c r="G24" s="73"/>
      <c r="H24" s="73"/>
      <c r="I24" s="73"/>
      <c r="J24" s="73"/>
      <c r="K24" s="1163"/>
      <c r="L24" s="1163"/>
      <c r="M24" s="1163"/>
      <c r="N24" s="85"/>
      <c r="O24" s="148"/>
      <c r="P24" s="148"/>
      <c r="Q24" s="148"/>
    </row>
    <row r="25" spans="1:18" ht="12.75" customHeight="1" x14ac:dyDescent="0.35">
      <c r="A25" s="115" t="s">
        <v>4673</v>
      </c>
      <c r="B25" s="73"/>
      <c r="C25" s="73"/>
      <c r="D25" s="73"/>
      <c r="E25" s="73"/>
      <c r="F25" s="73"/>
      <c r="G25" s="73"/>
      <c r="H25" s="73"/>
      <c r="I25" s="73"/>
      <c r="J25" s="73"/>
      <c r="K25" s="73"/>
      <c r="L25" s="73"/>
      <c r="M25" s="73"/>
      <c r="N25" s="85"/>
      <c r="O25" s="148"/>
      <c r="P25" s="148"/>
      <c r="Q25" s="148"/>
    </row>
    <row r="26" spans="1:18" ht="8.25" customHeight="1" x14ac:dyDescent="0.35">
      <c r="A26" s="115">
        <v>64</v>
      </c>
      <c r="B26" s="73"/>
      <c r="C26" s="73"/>
      <c r="D26" s="73"/>
      <c r="E26" s="73"/>
      <c r="F26" s="73"/>
      <c r="G26" s="73"/>
      <c r="H26" s="73"/>
      <c r="I26" s="73"/>
      <c r="J26" s="73"/>
      <c r="K26" s="73"/>
      <c r="L26" s="73"/>
      <c r="M26" s="73"/>
      <c r="N26" s="85"/>
      <c r="O26" s="148"/>
      <c r="P26" s="148"/>
      <c r="Q26" s="148"/>
    </row>
    <row r="27" spans="1:18" x14ac:dyDescent="0.35">
      <c r="A27" s="115">
        <v>65</v>
      </c>
      <c r="B27" s="85"/>
      <c r="C27" s="73"/>
      <c r="D27" s="73"/>
      <c r="E27" s="73"/>
      <c r="F27" s="85"/>
      <c r="G27" s="85"/>
      <c r="H27" s="85"/>
      <c r="I27" s="85"/>
      <c r="J27" s="85"/>
      <c r="K27" s="85"/>
      <c r="L27" s="85"/>
      <c r="M27" s="85"/>
      <c r="N27" s="85"/>
      <c r="O27" s="148"/>
      <c r="P27" s="148"/>
      <c r="Q27" s="148"/>
    </row>
    <row r="28" spans="1:18" x14ac:dyDescent="0.35">
      <c r="B28" s="85"/>
      <c r="C28" s="73"/>
      <c r="D28" s="73"/>
      <c r="E28" s="73"/>
      <c r="F28" s="85"/>
      <c r="G28" s="85"/>
      <c r="H28" s="85"/>
      <c r="I28" s="85"/>
      <c r="J28" s="85"/>
      <c r="K28" s="85"/>
      <c r="L28" s="85"/>
      <c r="M28" s="85"/>
      <c r="N28" s="85"/>
      <c r="O28" s="148"/>
      <c r="P28" s="148"/>
      <c r="Q28" s="148"/>
    </row>
    <row r="29" spans="1:18" ht="8.25" customHeight="1" x14ac:dyDescent="0.35">
      <c r="B29" s="85"/>
      <c r="C29" s="73"/>
      <c r="D29" s="73"/>
      <c r="E29" s="73"/>
      <c r="F29" s="85"/>
      <c r="G29" s="85"/>
      <c r="H29" s="85"/>
      <c r="I29" s="85"/>
      <c r="J29" s="85"/>
      <c r="K29" s="85"/>
      <c r="L29" s="85"/>
      <c r="M29" s="85"/>
      <c r="N29" s="85"/>
      <c r="O29" s="148"/>
      <c r="P29" s="148"/>
      <c r="Q29" s="148"/>
    </row>
    <row r="30" spans="1:18" x14ac:dyDescent="0.35">
      <c r="B30" s="85"/>
      <c r="C30" s="73"/>
      <c r="D30" s="73"/>
      <c r="E30" s="73"/>
      <c r="F30" s="85"/>
      <c r="G30" s="85"/>
      <c r="H30" s="85"/>
      <c r="I30" s="85"/>
      <c r="J30" s="85"/>
      <c r="K30" s="85"/>
      <c r="L30" s="85"/>
      <c r="M30" s="85"/>
      <c r="N30" s="85"/>
      <c r="O30" s="148"/>
      <c r="P30" s="148"/>
      <c r="Q30" s="148"/>
    </row>
    <row r="31" spans="1:18" x14ac:dyDescent="0.35">
      <c r="B31" s="85"/>
      <c r="C31" s="73"/>
      <c r="D31" s="73"/>
      <c r="E31" s="73"/>
      <c r="F31" s="85"/>
      <c r="G31" s="85"/>
      <c r="H31" s="85"/>
      <c r="I31" s="85"/>
      <c r="J31" s="85"/>
      <c r="K31" s="85"/>
      <c r="L31" s="85"/>
      <c r="M31" s="85"/>
      <c r="N31" s="85"/>
      <c r="O31" s="148"/>
      <c r="P31" s="148"/>
      <c r="Q31" s="148"/>
    </row>
    <row r="32" spans="1:18" x14ac:dyDescent="0.35">
      <c r="B32" s="85"/>
      <c r="C32" s="73"/>
      <c r="D32" s="73"/>
      <c r="E32" s="73"/>
      <c r="F32" s="86"/>
      <c r="G32" s="85"/>
      <c r="H32" s="85"/>
      <c r="I32" s="73"/>
      <c r="J32" s="73"/>
      <c r="K32" s="73"/>
      <c r="L32" s="73"/>
      <c r="M32" s="73"/>
      <c r="N32" s="85"/>
      <c r="O32" s="148"/>
      <c r="P32" s="148"/>
      <c r="Q32" s="148"/>
      <c r="R32" s="148"/>
    </row>
    <row r="33" spans="2:14" x14ac:dyDescent="0.35">
      <c r="B33" s="85"/>
      <c r="C33" s="85"/>
      <c r="D33" s="85"/>
      <c r="E33" s="85"/>
      <c r="F33" s="86"/>
      <c r="G33" s="85"/>
      <c r="H33" s="85"/>
      <c r="I33" s="73"/>
      <c r="J33" s="73"/>
      <c r="K33" s="73"/>
      <c r="L33" s="73"/>
      <c r="M33" s="73"/>
      <c r="N33" s="85"/>
    </row>
    <row r="34" spans="2:14" x14ac:dyDescent="0.35">
      <c r="B34" s="85"/>
      <c r="C34" s="85"/>
      <c r="D34" s="85"/>
      <c r="E34" s="85"/>
      <c r="F34" s="86"/>
      <c r="G34" s="85"/>
      <c r="H34" s="85"/>
      <c r="I34" s="73"/>
      <c r="J34" s="73"/>
      <c r="K34" s="73"/>
      <c r="L34" s="73"/>
      <c r="M34" s="73"/>
      <c r="N34" s="85"/>
    </row>
    <row r="35" spans="2:14" x14ac:dyDescent="0.35">
      <c r="B35" s="85"/>
      <c r="C35" s="85"/>
      <c r="D35" s="85"/>
      <c r="E35" s="85"/>
      <c r="F35" s="86"/>
      <c r="G35" s="85"/>
      <c r="H35" s="85"/>
      <c r="I35" s="73"/>
      <c r="J35" s="73"/>
      <c r="K35" s="73"/>
      <c r="L35" s="73"/>
      <c r="M35" s="73"/>
      <c r="N35" s="85"/>
    </row>
  </sheetData>
  <phoneticPr fontId="68" type="noConversion"/>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Check Box 2">
              <controlPr defaultSize="0" autoFill="0" autoLine="0" autoPict="0">
                <anchor moveWithCells="1">
                  <from>
                    <xdr:col>10</xdr:col>
                    <xdr:colOff>371475</xdr:colOff>
                    <xdr:row>15</xdr:row>
                    <xdr:rowOff>133350</xdr:rowOff>
                  </from>
                  <to>
                    <xdr:col>11</xdr:col>
                    <xdr:colOff>266700</xdr:colOff>
                    <xdr:row>17</xdr:row>
                    <xdr:rowOff>0</xdr:rowOff>
                  </to>
                </anchor>
              </controlPr>
            </control>
          </mc:Choice>
        </mc:AlternateContent>
        <mc:AlternateContent xmlns:mc="http://schemas.openxmlformats.org/markup-compatibility/2006">
          <mc:Choice Requires="x14">
            <control shapeId="2" r:id="rId5" name="Check Box 4">
              <controlPr defaultSize="0" autoFill="0" autoLine="0" autoPict="0">
                <anchor moveWithCells="1">
                  <from>
                    <xdr:col>10</xdr:col>
                    <xdr:colOff>371475</xdr:colOff>
                    <xdr:row>12</xdr:row>
                    <xdr:rowOff>123825</xdr:rowOff>
                  </from>
                  <to>
                    <xdr:col>11</xdr:col>
                    <xdr:colOff>266700</xdr:colOff>
                    <xdr:row>13</xdr:row>
                    <xdr:rowOff>152400</xdr:rowOff>
                  </to>
                </anchor>
              </controlPr>
            </control>
          </mc:Choice>
        </mc:AlternateContent>
        <mc:AlternateContent xmlns:mc="http://schemas.openxmlformats.org/markup-compatibility/2006">
          <mc:Choice Requires="x14">
            <control shapeId="8198" r:id="rId6" name="Button 6">
              <controlPr defaultSize="0" autoFill="0" autoPict="0" macro="[0]!Show_Page_NI">
                <anchor>
                  <from>
                    <xdr:col>11</xdr:col>
                    <xdr:colOff>895350</xdr:colOff>
                    <xdr:row>22</xdr:row>
                    <xdr:rowOff>28575</xdr:rowOff>
                  </from>
                  <to>
                    <xdr:col>13</xdr:col>
                    <xdr:colOff>295275</xdr:colOff>
                    <xdr:row>26</xdr:row>
                    <xdr:rowOff>104775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X51"/>
  <sheetViews>
    <sheetView showGridLines="0" showRowColHeaders="0" topLeftCell="B1" zoomScale="96" zoomScaleNormal="96" workbookViewId="0">
      <selection activeCell="D14" sqref="D14"/>
    </sheetView>
  </sheetViews>
  <sheetFormatPr defaultColWidth="9.1328125" defaultRowHeight="11.65" x14ac:dyDescent="0.35"/>
  <cols>
    <col min="1" max="1" width="6.265625" style="115" hidden="1" customWidth="1"/>
    <col min="2" max="2" width="4.59765625" style="115" customWidth="1"/>
    <col min="3" max="3" width="5" style="115" customWidth="1"/>
    <col min="4" max="4" width="15.265625" style="115" customWidth="1"/>
    <col min="5" max="5" width="27.59765625" style="115" customWidth="1"/>
    <col min="6" max="6" width="4.73046875" style="115" customWidth="1"/>
    <col min="7" max="7" width="5.265625" style="115" customWidth="1"/>
    <col min="8" max="8" width="15.265625" style="115" customWidth="1"/>
    <col min="9" max="9" width="23.1328125" style="115" customWidth="1"/>
    <col min="10" max="10" width="5" style="115" customWidth="1"/>
    <col min="11" max="11" width="15.265625" style="115" customWidth="1"/>
    <col min="12" max="12" width="23.1328125" style="115" customWidth="1"/>
    <col min="13" max="13" width="5" style="115" customWidth="1"/>
    <col min="14" max="15" width="15.265625" style="115" customWidth="1"/>
    <col min="16" max="16" width="4.59765625" style="115" customWidth="1"/>
    <col min="17" max="17" width="9.86328125" style="115" hidden="1" customWidth="1"/>
    <col min="18" max="18" width="14" style="115" hidden="1" customWidth="1"/>
    <col min="19" max="19" width="10.59765625" style="115" hidden="1" customWidth="1"/>
    <col min="20" max="16384" width="9.1328125" style="115"/>
  </cols>
  <sheetData>
    <row r="1" spans="1:21" ht="9" customHeight="1" x14ac:dyDescent="0.35">
      <c r="A1" s="115" t="s">
        <v>2385</v>
      </c>
      <c r="B1" s="1164" t="s">
        <v>4667</v>
      </c>
      <c r="C1" s="85"/>
      <c r="D1" s="85"/>
      <c r="E1" s="85"/>
      <c r="F1" s="85"/>
      <c r="G1" s="85"/>
      <c r="H1" s="85"/>
      <c r="I1" s="85"/>
      <c r="J1" s="85"/>
      <c r="K1" s="85"/>
      <c r="L1" s="85"/>
      <c r="M1" s="85"/>
      <c r="N1" s="85"/>
      <c r="O1" s="85"/>
      <c r="P1" s="85"/>
      <c r="Q1" s="148"/>
      <c r="R1" s="148"/>
      <c r="S1" s="148"/>
      <c r="T1" s="148"/>
      <c r="U1" s="148"/>
    </row>
    <row r="2" spans="1:21" ht="12.75" customHeight="1" x14ac:dyDescent="0.4">
      <c r="A2" s="115">
        <v>13</v>
      </c>
      <c r="B2" s="1164" t="s">
        <v>2303</v>
      </c>
      <c r="C2" s="298" t="s">
        <v>1168</v>
      </c>
      <c r="D2" s="249"/>
      <c r="E2" s="456" t="s">
        <v>2385</v>
      </c>
      <c r="F2" s="85"/>
      <c r="G2" s="298" t="s">
        <v>3565</v>
      </c>
      <c r="H2" s="249"/>
      <c r="I2" s="249"/>
      <c r="J2" s="249"/>
      <c r="K2" s="249"/>
      <c r="L2" s="249"/>
      <c r="M2" s="249"/>
      <c r="N2" s="2784"/>
      <c r="O2" s="456" t="s">
        <v>3564</v>
      </c>
      <c r="P2" s="85"/>
      <c r="Q2" s="148"/>
      <c r="R2" s="148"/>
      <c r="S2" s="148"/>
      <c r="T2" s="148"/>
      <c r="U2" s="148"/>
    </row>
    <row r="3" spans="1:21" ht="9.75" customHeight="1" x14ac:dyDescent="0.35">
      <c r="A3" s="115">
        <v>15</v>
      </c>
      <c r="B3" s="1164" t="s">
        <v>2304</v>
      </c>
      <c r="C3" s="374" t="s">
        <v>4659</v>
      </c>
      <c r="D3" s="207"/>
      <c r="E3" s="253"/>
      <c r="F3" s="85"/>
      <c r="G3" s="374" t="s">
        <v>4659</v>
      </c>
      <c r="H3" s="207"/>
      <c r="I3" s="207"/>
      <c r="J3" s="207"/>
      <c r="K3" s="207"/>
      <c r="L3" s="2781"/>
      <c r="M3" s="207"/>
      <c r="N3" s="207"/>
      <c r="O3" s="253"/>
      <c r="P3" s="85"/>
      <c r="Q3" s="148"/>
      <c r="R3" s="148"/>
      <c r="S3" s="148"/>
      <c r="T3" s="148"/>
      <c r="U3" s="148"/>
    </row>
    <row r="4" spans="1:21" ht="12.75" customHeight="1" x14ac:dyDescent="0.35">
      <c r="A4" s="115">
        <v>17</v>
      </c>
      <c r="B4" s="1164" t="s">
        <v>2305</v>
      </c>
      <c r="C4" s="274">
        <f>A2</f>
        <v>13</v>
      </c>
      <c r="D4" s="207" t="s">
        <v>736</v>
      </c>
      <c r="E4" s="253"/>
      <c r="F4" s="85"/>
      <c r="G4" s="274">
        <f>A17</f>
        <v>13</v>
      </c>
      <c r="H4" s="207" t="s">
        <v>736</v>
      </c>
      <c r="I4" s="207"/>
      <c r="J4" s="274">
        <f>A19</f>
        <v>17</v>
      </c>
      <c r="K4" s="207" t="s">
        <v>4657</v>
      </c>
      <c r="L4" s="2781"/>
      <c r="M4" s="207"/>
      <c r="N4" s="207"/>
      <c r="O4" s="253"/>
      <c r="P4" s="85"/>
      <c r="Q4" s="148"/>
      <c r="R4" s="148"/>
      <c r="S4" s="148"/>
      <c r="T4" s="148"/>
      <c r="U4" s="148"/>
    </row>
    <row r="5" spans="1:21" ht="12.75" customHeight="1" x14ac:dyDescent="0.35">
      <c r="A5" s="115">
        <v>20</v>
      </c>
      <c r="B5" s="1164" t="s">
        <v>2306</v>
      </c>
      <c r="C5" s="252"/>
      <c r="D5" s="248"/>
      <c r="E5" s="253"/>
      <c r="F5" s="85"/>
      <c r="G5" s="252"/>
      <c r="H5" s="248"/>
      <c r="I5" s="207"/>
      <c r="J5" s="207"/>
      <c r="K5" s="304"/>
      <c r="L5" s="2781"/>
      <c r="M5" s="207"/>
      <c r="N5" s="207"/>
      <c r="O5" s="253"/>
      <c r="P5" s="85"/>
      <c r="Q5" s="148"/>
      <c r="R5" s="148"/>
      <c r="S5" s="148"/>
      <c r="T5" s="148"/>
      <c r="U5" s="148"/>
    </row>
    <row r="6" spans="1:21" ht="12.75" customHeight="1" x14ac:dyDescent="0.35">
      <c r="A6" s="115">
        <v>22</v>
      </c>
      <c r="B6" s="1164" t="s">
        <v>2314</v>
      </c>
      <c r="C6" s="252"/>
      <c r="D6" s="207"/>
      <c r="E6" s="253"/>
      <c r="F6" s="85"/>
      <c r="G6" s="252"/>
      <c r="H6" s="207"/>
      <c r="I6" s="207"/>
      <c r="J6" s="207"/>
      <c r="K6" s="207"/>
      <c r="L6" s="2781"/>
      <c r="M6" s="207"/>
      <c r="N6" s="207"/>
      <c r="O6" s="253"/>
      <c r="P6" s="85"/>
      <c r="Q6" s="148"/>
      <c r="R6" s="148"/>
      <c r="S6" s="148"/>
      <c r="T6" s="148"/>
      <c r="U6" s="148"/>
    </row>
    <row r="7" spans="1:21" ht="12.75" customHeight="1" x14ac:dyDescent="0.35">
      <c r="A7" s="115">
        <v>25</v>
      </c>
      <c r="B7" s="1164" t="s">
        <v>4590</v>
      </c>
      <c r="C7" s="3420">
        <f>A3</f>
        <v>15</v>
      </c>
      <c r="D7" s="3333" t="s">
        <v>793</v>
      </c>
      <c r="E7" s="253"/>
      <c r="F7" s="85"/>
      <c r="G7" s="3420">
        <f>A18</f>
        <v>15</v>
      </c>
      <c r="H7" s="3333" t="s">
        <v>793</v>
      </c>
      <c r="I7" s="207"/>
      <c r="J7" s="274">
        <f>A20</f>
        <v>20</v>
      </c>
      <c r="K7" s="207" t="s">
        <v>848</v>
      </c>
      <c r="L7" s="2781"/>
      <c r="M7" s="207"/>
      <c r="N7" s="207"/>
      <c r="O7" s="253"/>
      <c r="P7" s="1163"/>
      <c r="Q7" s="148"/>
      <c r="R7" s="148"/>
      <c r="S7" s="148"/>
      <c r="T7" s="148"/>
      <c r="U7" s="148"/>
    </row>
    <row r="8" spans="1:21" ht="12.75" customHeight="1" x14ac:dyDescent="0.35">
      <c r="A8" s="115" t="s">
        <v>4673</v>
      </c>
      <c r="B8" s="1164" t="s">
        <v>2308</v>
      </c>
      <c r="C8" s="3421"/>
      <c r="D8" s="3336"/>
      <c r="E8" s="253"/>
      <c r="F8" s="85"/>
      <c r="G8" s="3421"/>
      <c r="H8" s="3336"/>
      <c r="I8" s="207"/>
      <c r="J8" s="207"/>
      <c r="K8" s="304"/>
      <c r="L8" s="2781"/>
      <c r="M8" s="207"/>
      <c r="N8" s="207"/>
      <c r="O8" s="253"/>
      <c r="P8" s="1163"/>
      <c r="Q8" s="148"/>
      <c r="R8" s="148"/>
      <c r="S8" s="148"/>
      <c r="T8" s="148"/>
      <c r="U8" s="148"/>
    </row>
    <row r="9" spans="1:21" ht="9.75" customHeight="1" x14ac:dyDescent="0.35">
      <c r="A9" s="115">
        <v>26</v>
      </c>
      <c r="B9" s="1164" t="s">
        <v>4668</v>
      </c>
      <c r="C9" s="252"/>
      <c r="D9" s="207"/>
      <c r="E9" s="253"/>
      <c r="F9" s="85"/>
      <c r="G9" s="374" t="s">
        <v>4660</v>
      </c>
      <c r="H9" s="207"/>
      <c r="I9" s="207"/>
      <c r="J9" s="207"/>
      <c r="K9" s="207"/>
      <c r="L9" s="2781"/>
      <c r="M9" s="207"/>
      <c r="N9" s="207"/>
      <c r="O9" s="253"/>
      <c r="P9" s="85"/>
      <c r="Q9" s="148"/>
      <c r="R9" s="148"/>
      <c r="S9" s="148"/>
      <c r="T9" s="148"/>
      <c r="U9" s="148"/>
    </row>
    <row r="10" spans="1:21" ht="12.75" customHeight="1" x14ac:dyDescent="0.35">
      <c r="A10" s="115">
        <v>27</v>
      </c>
      <c r="B10" s="1164" t="s">
        <v>2316</v>
      </c>
      <c r="C10" s="274">
        <f>A4</f>
        <v>17</v>
      </c>
      <c r="D10" s="207" t="s">
        <v>4657</v>
      </c>
      <c r="E10" s="253"/>
      <c r="F10" s="85"/>
      <c r="G10" s="274">
        <f>A21</f>
        <v>22</v>
      </c>
      <c r="H10" s="207" t="str">
        <f>"Loss set against "&amp;tax_year&amp;" income"</f>
        <v>Loss set against 2017-18 income</v>
      </c>
      <c r="I10" s="207"/>
      <c r="J10" s="207"/>
      <c r="K10" s="207"/>
      <c r="L10" s="2781"/>
      <c r="M10" s="207"/>
      <c r="N10" s="207"/>
      <c r="O10" s="253"/>
      <c r="P10" s="85"/>
      <c r="Q10" s="148"/>
      <c r="R10" s="148"/>
      <c r="S10" s="148"/>
      <c r="T10" s="148"/>
      <c r="U10" s="148"/>
    </row>
    <row r="11" spans="1:21" ht="12.75" customHeight="1" x14ac:dyDescent="0.35">
      <c r="A11" s="115">
        <v>28</v>
      </c>
      <c r="B11" s="1164" t="s">
        <v>831</v>
      </c>
      <c r="C11" s="252"/>
      <c r="D11" s="248"/>
      <c r="E11" s="253"/>
      <c r="F11" s="85"/>
      <c r="G11" s="252"/>
      <c r="H11" s="264"/>
      <c r="I11" s="207"/>
      <c r="J11" s="207"/>
      <c r="K11" s="207"/>
      <c r="L11" s="2781"/>
      <c r="M11" s="207"/>
      <c r="N11" s="207"/>
      <c r="O11" s="253"/>
      <c r="P11" s="85"/>
      <c r="Q11" s="148"/>
      <c r="R11" s="148"/>
      <c r="S11" s="148"/>
      <c r="T11" s="148"/>
      <c r="U11" s="148"/>
    </row>
    <row r="12" spans="1:21" ht="9.75" customHeight="1" x14ac:dyDescent="0.35">
      <c r="A12" s="115">
        <v>29</v>
      </c>
      <c r="B12" s="1164" t="s">
        <v>794</v>
      </c>
      <c r="C12" s="252"/>
      <c r="D12" s="207"/>
      <c r="E12" s="253"/>
      <c r="F12" s="85"/>
      <c r="G12" s="374" t="s">
        <v>4661</v>
      </c>
      <c r="H12" s="207"/>
      <c r="I12" s="207"/>
      <c r="J12" s="207"/>
      <c r="K12" s="207"/>
      <c r="L12" s="2781"/>
      <c r="M12" s="207"/>
      <c r="N12" s="207"/>
      <c r="O12" s="253"/>
      <c r="P12" s="85"/>
      <c r="Q12" s="148"/>
      <c r="R12" s="148"/>
      <c r="S12" s="148"/>
      <c r="T12" s="148"/>
      <c r="U12" s="148"/>
    </row>
    <row r="13" spans="1:21" ht="12.75" customHeight="1" x14ac:dyDescent="0.35">
      <c r="A13" s="115">
        <v>30</v>
      </c>
      <c r="B13" s="1164" t="s">
        <v>4591</v>
      </c>
      <c r="C13" s="274">
        <f>A5</f>
        <v>20</v>
      </c>
      <c r="D13" s="207" t="s">
        <v>848</v>
      </c>
      <c r="E13" s="253"/>
      <c r="F13" s="85"/>
      <c r="G13" s="274">
        <f>A7</f>
        <v>25</v>
      </c>
      <c r="H13" s="207" t="s">
        <v>4544</v>
      </c>
      <c r="I13" s="207"/>
      <c r="J13" s="274">
        <f>A9</f>
        <v>26</v>
      </c>
      <c r="K13" s="290"/>
      <c r="L13" s="2781"/>
      <c r="M13" s="274">
        <f>A25</f>
        <v>27</v>
      </c>
      <c r="N13" s="207" t="s">
        <v>1112</v>
      </c>
      <c r="O13" s="253"/>
      <c r="P13" s="85"/>
      <c r="Q13" s="148"/>
      <c r="R13" s="148"/>
      <c r="S13" s="148"/>
      <c r="T13" s="148"/>
      <c r="U13" s="148"/>
    </row>
    <row r="14" spans="1:21" ht="12.75" customHeight="1" x14ac:dyDescent="0.35">
      <c r="A14" s="115">
        <v>31</v>
      </c>
      <c r="B14" s="1164" t="s">
        <v>4658</v>
      </c>
      <c r="C14" s="252"/>
      <c r="D14" s="304"/>
      <c r="E14" s="253"/>
      <c r="F14" s="85"/>
      <c r="G14" s="252"/>
      <c r="H14" s="207"/>
      <c r="I14" s="207"/>
      <c r="J14" s="207"/>
      <c r="K14" s="207"/>
      <c r="L14" s="2781"/>
      <c r="M14" s="207"/>
      <c r="N14" s="248"/>
      <c r="O14" s="253"/>
      <c r="P14" s="85"/>
      <c r="Q14" s="148"/>
      <c r="R14" s="148"/>
      <c r="S14" s="148"/>
      <c r="T14" s="148"/>
      <c r="U14" s="148"/>
    </row>
    <row r="15" spans="1:21" ht="9.75" customHeight="1" x14ac:dyDescent="0.35">
      <c r="B15" s="1164"/>
      <c r="C15" s="374" t="s">
        <v>4660</v>
      </c>
      <c r="D15" s="207"/>
      <c r="E15" s="253"/>
      <c r="F15" s="85"/>
      <c r="G15" s="374" t="s">
        <v>4662</v>
      </c>
      <c r="H15" s="207"/>
      <c r="I15" s="207"/>
      <c r="J15" s="207"/>
      <c r="K15" s="207"/>
      <c r="L15" s="2781"/>
      <c r="M15" s="207"/>
      <c r="N15" s="207"/>
      <c r="O15" s="253"/>
      <c r="P15" s="85"/>
      <c r="Q15" s="148"/>
      <c r="R15" s="148"/>
      <c r="S15" s="148"/>
      <c r="T15" s="148"/>
      <c r="U15" s="148"/>
    </row>
    <row r="16" spans="1:21" ht="12.75" customHeight="1" x14ac:dyDescent="0.35">
      <c r="A16" s="115" t="s">
        <v>3564</v>
      </c>
      <c r="B16" s="1164"/>
      <c r="C16" s="274">
        <f>A6</f>
        <v>22</v>
      </c>
      <c r="D16" s="207" t="str">
        <f>"Loss set against "&amp;tax_year&amp;" income"</f>
        <v>Loss set against 2017-18 income</v>
      </c>
      <c r="E16" s="253"/>
      <c r="F16" s="85"/>
      <c r="G16" s="461">
        <f>A26</f>
        <v>35</v>
      </c>
      <c r="H16" s="207" t="s">
        <v>2440</v>
      </c>
      <c r="I16" s="207"/>
      <c r="J16" s="207"/>
      <c r="K16" s="207"/>
      <c r="L16" s="2781"/>
      <c r="M16" s="207"/>
      <c r="N16" s="207"/>
      <c r="O16" s="253"/>
      <c r="P16" s="85"/>
      <c r="Q16" s="148"/>
      <c r="R16" s="148"/>
      <c r="S16" s="148"/>
      <c r="T16" s="148"/>
      <c r="U16" s="148"/>
    </row>
    <row r="17" spans="1:24" ht="12.75" customHeight="1" x14ac:dyDescent="0.35">
      <c r="A17" s="115">
        <v>13</v>
      </c>
      <c r="B17" s="1164" t="s">
        <v>683</v>
      </c>
      <c r="C17" s="252"/>
      <c r="D17" s="264"/>
      <c r="E17" s="305"/>
      <c r="F17" s="85"/>
      <c r="G17" s="252"/>
      <c r="H17" s="264"/>
      <c r="I17" s="207"/>
      <c r="J17" s="207"/>
      <c r="K17" s="207"/>
      <c r="L17" s="2781"/>
      <c r="M17" s="207"/>
      <c r="N17" s="207"/>
      <c r="O17" s="253"/>
      <c r="P17" s="85"/>
      <c r="Q17" s="148"/>
      <c r="R17" s="1146" t="s">
        <v>2385</v>
      </c>
      <c r="S17" s="1147" t="s">
        <v>3564</v>
      </c>
      <c r="T17" s="148"/>
      <c r="U17" s="148"/>
    </row>
    <row r="18" spans="1:24" x14ac:dyDescent="0.35">
      <c r="A18" s="115">
        <v>15</v>
      </c>
      <c r="B18" s="1164" t="s">
        <v>2966</v>
      </c>
      <c r="C18" s="374" t="s">
        <v>4661</v>
      </c>
      <c r="D18" s="207"/>
      <c r="E18" s="294"/>
      <c r="F18" s="85"/>
      <c r="G18" s="374" t="s">
        <v>4663</v>
      </c>
      <c r="H18" s="207"/>
      <c r="I18" s="207"/>
      <c r="J18" s="207"/>
      <c r="K18" s="207"/>
      <c r="L18" s="2781"/>
      <c r="M18" s="207"/>
      <c r="N18" s="207"/>
      <c r="O18" s="253"/>
      <c r="P18" s="85"/>
      <c r="Q18" s="148"/>
      <c r="R18" s="148"/>
      <c r="S18" s="148"/>
      <c r="T18" s="148"/>
      <c r="U18" s="148"/>
    </row>
    <row r="19" spans="1:24" ht="12.75" customHeight="1" x14ac:dyDescent="0.35">
      <c r="A19" s="115">
        <v>17</v>
      </c>
      <c r="B19" s="1164" t="s">
        <v>4670</v>
      </c>
      <c r="C19" s="274">
        <f>A7</f>
        <v>25</v>
      </c>
      <c r="D19" s="290" t="s">
        <v>4544</v>
      </c>
      <c r="E19" s="294"/>
      <c r="F19" s="85"/>
      <c r="G19" s="274">
        <f>A27</f>
        <v>38</v>
      </c>
      <c r="H19" s="207" t="s">
        <v>4657</v>
      </c>
      <c r="I19" s="207"/>
      <c r="J19" s="274">
        <f>A28</f>
        <v>39</v>
      </c>
      <c r="K19" s="207" t="str">
        <f>"Loss set against "&amp;tax_year&amp;" total income"</f>
        <v>Loss set against 2017-18 total income</v>
      </c>
      <c r="L19" s="2781"/>
      <c r="M19" s="207"/>
      <c r="N19" s="207"/>
      <c r="O19" s="253"/>
      <c r="P19" s="85"/>
      <c r="Q19" s="1147" t="s">
        <v>4915</v>
      </c>
      <c r="R19" s="289" t="b">
        <v>0</v>
      </c>
      <c r="S19" s="289" t="b">
        <v>0</v>
      </c>
      <c r="T19" s="148"/>
      <c r="U19" s="148"/>
    </row>
    <row r="20" spans="1:24" ht="12.75" customHeight="1" x14ac:dyDescent="0.35">
      <c r="A20" s="115">
        <v>20</v>
      </c>
      <c r="B20" s="1164" t="s">
        <v>4671</v>
      </c>
      <c r="C20" s="252"/>
      <c r="D20" s="207"/>
      <c r="E20" s="305"/>
      <c r="F20" s="85"/>
      <c r="G20" s="252"/>
      <c r="H20" s="264"/>
      <c r="I20" s="207"/>
      <c r="J20" s="207"/>
      <c r="K20" s="264"/>
      <c r="L20" s="2781"/>
      <c r="M20" s="207"/>
      <c r="N20" s="207"/>
      <c r="O20" s="253"/>
      <c r="P20" s="85"/>
      <c r="Q20" s="1146" t="s">
        <v>4630</v>
      </c>
      <c r="R20" s="289" t="b">
        <v>0</v>
      </c>
      <c r="S20" s="289" t="b">
        <v>0</v>
      </c>
      <c r="T20" s="148"/>
      <c r="U20" s="148"/>
    </row>
    <row r="21" spans="1:24" x14ac:dyDescent="0.35">
      <c r="A21" s="115">
        <v>22</v>
      </c>
      <c r="B21" s="1164" t="s">
        <v>680</v>
      </c>
      <c r="C21" s="252"/>
      <c r="D21" s="207"/>
      <c r="E21" s="294"/>
      <c r="F21" s="85"/>
      <c r="G21" s="374"/>
      <c r="H21" s="207"/>
      <c r="I21" s="207"/>
      <c r="J21" s="207"/>
      <c r="K21" s="207"/>
      <c r="L21" s="2781"/>
      <c r="M21" s="207"/>
      <c r="N21" s="207"/>
      <c r="O21" s="253"/>
      <c r="P21" s="85"/>
      <c r="Q21" s="148"/>
      <c r="R21" s="148"/>
      <c r="S21" s="148"/>
      <c r="T21" s="148"/>
      <c r="U21" s="148"/>
    </row>
    <row r="22" spans="1:24" ht="12.75" customHeight="1" x14ac:dyDescent="0.35">
      <c r="A22" s="115">
        <v>25</v>
      </c>
      <c r="B22" s="1164" t="s">
        <v>4548</v>
      </c>
      <c r="C22" s="274">
        <f>A9</f>
        <v>26</v>
      </c>
      <c r="D22" s="290"/>
      <c r="E22" s="294"/>
      <c r="F22" s="85"/>
      <c r="G22" s="274">
        <f>A29</f>
        <v>41</v>
      </c>
      <c r="H22" s="1611" t="s">
        <v>7011</v>
      </c>
      <c r="I22" s="1611"/>
      <c r="J22" s="274">
        <f>A30</f>
        <v>41.1</v>
      </c>
      <c r="K22" s="1611" t="s">
        <v>6995</v>
      </c>
      <c r="L22" s="1611"/>
      <c r="M22" s="3125" t="s">
        <v>6983</v>
      </c>
      <c r="N22" s="2782"/>
      <c r="O22" s="3126"/>
      <c r="P22" s="85"/>
      <c r="Q22" s="148"/>
      <c r="R22" s="148"/>
      <c r="S22" s="148"/>
      <c r="T22" s="148"/>
      <c r="U22" s="148"/>
    </row>
    <row r="23" spans="1:24" ht="12.75" customHeight="1" x14ac:dyDescent="0.35">
      <c r="A23" s="115" t="s">
        <v>4673</v>
      </c>
      <c r="B23" s="1164" t="s">
        <v>644</v>
      </c>
      <c r="C23" s="252"/>
      <c r="D23" s="207"/>
      <c r="E23" s="305"/>
      <c r="F23" s="85"/>
      <c r="G23" s="252"/>
      <c r="H23" s="3123"/>
      <c r="I23" s="207"/>
      <c r="J23" s="207"/>
      <c r="K23" s="3123"/>
      <c r="L23" s="2781"/>
      <c r="M23" s="3129"/>
      <c r="N23" s="2782"/>
      <c r="O23" s="3130" t="s">
        <v>7692</v>
      </c>
      <c r="P23" s="85"/>
      <c r="Q23" s="115">
        <v>0</v>
      </c>
      <c r="R23" s="148"/>
      <c r="S23" s="148"/>
      <c r="T23" s="148"/>
      <c r="U23" s="148"/>
    </row>
    <row r="24" spans="1:24" x14ac:dyDescent="0.35">
      <c r="A24" s="115">
        <v>26</v>
      </c>
      <c r="B24" s="1164" t="s">
        <v>824</v>
      </c>
      <c r="C24" s="252"/>
      <c r="D24" s="207"/>
      <c r="E24" s="305"/>
      <c r="F24" s="85"/>
      <c r="G24" s="374" t="s">
        <v>4674</v>
      </c>
      <c r="H24" s="207"/>
      <c r="I24" s="207"/>
      <c r="J24" s="207"/>
      <c r="K24" s="207"/>
      <c r="L24" s="2781"/>
      <c r="M24" s="3128" t="s">
        <v>7690</v>
      </c>
      <c r="N24" s="2782" t="s">
        <v>7693</v>
      </c>
      <c r="O24" s="1799"/>
      <c r="P24" s="85"/>
      <c r="Q24" s="148"/>
      <c r="R24" s="148"/>
      <c r="S24" s="148"/>
      <c r="T24" s="148"/>
      <c r="U24" s="148"/>
    </row>
    <row r="25" spans="1:24" ht="12.75" customHeight="1" x14ac:dyDescent="0.35">
      <c r="A25" s="115">
        <v>27</v>
      </c>
      <c r="B25" s="1164" t="s">
        <v>840</v>
      </c>
      <c r="C25" s="274">
        <f>A10</f>
        <v>27</v>
      </c>
      <c r="D25" s="207" t="s">
        <v>1112</v>
      </c>
      <c r="E25" s="305"/>
      <c r="F25" s="85"/>
      <c r="G25" s="274">
        <f>A31</f>
        <v>47</v>
      </c>
      <c r="H25" s="207" t="s">
        <v>4657</v>
      </c>
      <c r="I25" s="207"/>
      <c r="J25" s="2781"/>
      <c r="K25" s="2781"/>
      <c r="L25" s="2781"/>
      <c r="M25" s="207"/>
      <c r="N25" s="264"/>
      <c r="O25" s="253"/>
      <c r="P25" s="85"/>
      <c r="Q25" s="148"/>
      <c r="R25" s="148"/>
      <c r="S25" s="148"/>
      <c r="T25" s="148"/>
      <c r="U25" s="148"/>
    </row>
    <row r="26" spans="1:24" ht="12.75" customHeight="1" x14ac:dyDescent="0.35">
      <c r="A26" s="115">
        <v>35</v>
      </c>
      <c r="B26" s="1164" t="s">
        <v>2310</v>
      </c>
      <c r="C26" s="252"/>
      <c r="D26" s="248"/>
      <c r="E26" s="305"/>
      <c r="F26" s="85"/>
      <c r="G26" s="252"/>
      <c r="H26" s="264"/>
      <c r="I26" s="207"/>
      <c r="J26" s="2781"/>
      <c r="K26" s="2781"/>
      <c r="L26" s="2781"/>
      <c r="M26" s="2781"/>
      <c r="N26" s="2781"/>
      <c r="O26" s="3122"/>
      <c r="P26" s="85"/>
      <c r="T26" s="148"/>
      <c r="U26" s="148"/>
    </row>
    <row r="27" spans="1:24" x14ac:dyDescent="0.35">
      <c r="A27" s="115">
        <v>38</v>
      </c>
      <c r="B27" s="1164" t="s">
        <v>2315</v>
      </c>
      <c r="C27" s="374" t="s">
        <v>4662</v>
      </c>
      <c r="D27" s="290"/>
      <c r="E27" s="294"/>
      <c r="F27" s="85"/>
      <c r="G27" s="374" t="s">
        <v>4677</v>
      </c>
      <c r="H27" s="207"/>
      <c r="I27" s="207"/>
      <c r="J27" s="274">
        <f>A34</f>
        <v>60</v>
      </c>
      <c r="K27" s="1611" t="s">
        <v>7012</v>
      </c>
      <c r="L27" s="2781"/>
      <c r="M27" s="2781"/>
      <c r="N27" s="2781"/>
      <c r="O27" s="3122"/>
      <c r="P27" s="85"/>
      <c r="T27" s="148"/>
      <c r="U27" s="148"/>
    </row>
    <row r="28" spans="1:24" ht="12.75" customHeight="1" x14ac:dyDescent="0.35">
      <c r="A28" s="115">
        <v>39</v>
      </c>
      <c r="B28" s="1164" t="s">
        <v>841</v>
      </c>
      <c r="C28" s="274">
        <f>A11</f>
        <v>28</v>
      </c>
      <c r="D28" s="207" t="s">
        <v>6580</v>
      </c>
      <c r="E28" s="253"/>
      <c r="F28" s="85"/>
      <c r="G28" s="274">
        <f>A33</f>
        <v>58</v>
      </c>
      <c r="H28" s="207" t="s">
        <v>4657</v>
      </c>
      <c r="I28" s="207"/>
      <c r="J28" s="207"/>
      <c r="K28" s="3123"/>
      <c r="L28" s="2783"/>
      <c r="M28" s="3125" t="s">
        <v>6983</v>
      </c>
      <c r="N28" s="2782"/>
      <c r="O28" s="3126"/>
      <c r="P28" s="85"/>
      <c r="Q28" s="148"/>
      <c r="R28" s="148"/>
      <c r="S28" s="148"/>
      <c r="T28" s="148"/>
      <c r="U28" s="148"/>
    </row>
    <row r="29" spans="1:24" ht="12.75" customHeight="1" x14ac:dyDescent="0.35">
      <c r="A29" s="115">
        <v>41</v>
      </c>
      <c r="B29" s="1164" t="s">
        <v>817</v>
      </c>
      <c r="C29" s="252"/>
      <c r="D29" s="264"/>
      <c r="E29" s="253"/>
      <c r="F29" s="85"/>
      <c r="G29" s="252"/>
      <c r="H29" s="264"/>
      <c r="I29" s="207"/>
      <c r="J29" s="2781"/>
      <c r="K29" s="2781"/>
      <c r="L29" s="207"/>
      <c r="M29" s="1611" t="s">
        <v>7692</v>
      </c>
      <c r="N29" s="2782"/>
      <c r="O29" s="3126"/>
      <c r="P29" s="85"/>
      <c r="Q29" s="148"/>
      <c r="R29" s="148"/>
      <c r="S29" s="148"/>
      <c r="T29" s="148"/>
      <c r="U29" s="148"/>
    </row>
    <row r="30" spans="1:24" x14ac:dyDescent="0.35">
      <c r="A30" s="115">
        <v>41.1</v>
      </c>
      <c r="B30" s="1164"/>
      <c r="C30" s="374" t="s">
        <v>4666</v>
      </c>
      <c r="D30" s="290"/>
      <c r="E30" s="253"/>
      <c r="F30" s="85"/>
      <c r="G30" s="374" t="s">
        <v>4664</v>
      </c>
      <c r="H30" s="207"/>
      <c r="I30" s="207"/>
      <c r="J30" s="274">
        <f>A35</f>
        <v>63.1</v>
      </c>
      <c r="K30" s="1611" t="s">
        <v>6995</v>
      </c>
      <c r="L30" s="2781"/>
      <c r="M30" s="3135" t="s">
        <v>7691</v>
      </c>
      <c r="N30" s="2782" t="s">
        <v>7694</v>
      </c>
      <c r="O30" s="3126"/>
      <c r="P30" s="85"/>
      <c r="Q30" s="148"/>
      <c r="R30" s="148"/>
      <c r="S30" s="148"/>
      <c r="T30" s="148"/>
      <c r="U30" s="3131"/>
      <c r="V30" s="148"/>
      <c r="W30" s="148"/>
      <c r="X30" s="3121"/>
    </row>
    <row r="31" spans="1:24" ht="12.75" customHeight="1" x14ac:dyDescent="0.35">
      <c r="A31" s="115">
        <v>47</v>
      </c>
      <c r="B31" s="1164" t="s">
        <v>2317</v>
      </c>
      <c r="C31" s="274">
        <f>A13</f>
        <v>30</v>
      </c>
      <c r="D31" s="207" t="s">
        <v>2439</v>
      </c>
      <c r="E31" s="253"/>
      <c r="F31" s="85"/>
      <c r="G31" s="462">
        <f>A36</f>
        <v>70</v>
      </c>
      <c r="H31" s="207" t="s">
        <v>6219</v>
      </c>
      <c r="I31" s="2783"/>
      <c r="J31" s="207"/>
      <c r="K31" s="3124"/>
      <c r="L31" s="2781"/>
      <c r="M31" s="207"/>
      <c r="N31" s="248"/>
      <c r="O31" s="3122"/>
      <c r="P31" s="85"/>
      <c r="Q31" s="148"/>
      <c r="R31" s="148"/>
      <c r="S31" s="148"/>
      <c r="T31" s="148"/>
      <c r="U31" s="3134"/>
      <c r="V31" s="148"/>
      <c r="W31" s="148"/>
      <c r="X31" s="3121"/>
    </row>
    <row r="32" spans="1:24" x14ac:dyDescent="0.35">
      <c r="A32" s="115">
        <v>48</v>
      </c>
      <c r="B32" s="1164"/>
      <c r="C32" s="252"/>
      <c r="D32" s="210"/>
      <c r="E32" s="253"/>
      <c r="F32" s="85"/>
      <c r="G32" s="252"/>
      <c r="H32" s="264"/>
      <c r="I32" s="207"/>
      <c r="J32" s="2781"/>
      <c r="K32" s="2781"/>
      <c r="L32" s="2781"/>
      <c r="M32" s="2781"/>
      <c r="N32" s="2781"/>
      <c r="O32" s="3122"/>
      <c r="P32" s="85"/>
      <c r="Q32" s="148"/>
      <c r="R32" s="148"/>
      <c r="S32" s="148"/>
      <c r="T32" s="148"/>
      <c r="U32" s="3132"/>
      <c r="V32" s="148"/>
      <c r="W32" s="148"/>
      <c r="X32" s="3121"/>
    </row>
    <row r="33" spans="1:24" ht="9.75" customHeight="1" x14ac:dyDescent="0.35">
      <c r="A33" s="115">
        <v>58</v>
      </c>
      <c r="B33" s="1164" t="s">
        <v>839</v>
      </c>
      <c r="C33" s="252"/>
      <c r="D33" s="290"/>
      <c r="E33" s="253"/>
      <c r="F33" s="85"/>
      <c r="G33" s="374" t="s">
        <v>4665</v>
      </c>
      <c r="H33" s="207"/>
      <c r="I33" s="207"/>
      <c r="J33" s="207"/>
      <c r="K33" s="207"/>
      <c r="L33" s="2781"/>
      <c r="M33" s="2781"/>
      <c r="N33" s="2781"/>
      <c r="O33" s="3122"/>
      <c r="P33" s="85"/>
      <c r="Q33" s="148"/>
      <c r="R33" s="148"/>
      <c r="S33" s="148"/>
      <c r="T33" s="148"/>
      <c r="U33" s="3133"/>
      <c r="V33" s="148"/>
      <c r="W33" s="148"/>
      <c r="X33" s="3121"/>
    </row>
    <row r="34" spans="1:24" x14ac:dyDescent="0.35">
      <c r="A34" s="115">
        <v>60</v>
      </c>
      <c r="B34" s="1164" t="s">
        <v>4672</v>
      </c>
      <c r="C34" s="274">
        <f>A14</f>
        <v>31</v>
      </c>
      <c r="D34" s="207" t="s">
        <v>2439</v>
      </c>
      <c r="E34" s="253"/>
      <c r="F34" s="85"/>
      <c r="G34" s="274">
        <f>A38</f>
        <v>76</v>
      </c>
      <c r="H34" s="290" t="s">
        <v>2665</v>
      </c>
      <c r="I34" s="207"/>
      <c r="J34" s="207"/>
      <c r="K34" s="207"/>
      <c r="L34" s="2781"/>
      <c r="M34" s="207"/>
      <c r="N34" s="207"/>
      <c r="O34" s="253"/>
      <c r="P34" s="85"/>
      <c r="Q34" s="148"/>
      <c r="R34" s="148"/>
      <c r="S34" s="148"/>
      <c r="T34" s="148"/>
      <c r="U34" s="3132"/>
      <c r="V34" s="3121"/>
      <c r="W34" s="148"/>
      <c r="X34" s="3121"/>
    </row>
    <row r="35" spans="1:24" x14ac:dyDescent="0.35">
      <c r="A35" s="115">
        <v>63.1</v>
      </c>
      <c r="B35" s="1164" t="s">
        <v>4592</v>
      </c>
      <c r="C35" s="252"/>
      <c r="D35" s="210"/>
      <c r="E35" s="253"/>
      <c r="F35" s="85"/>
      <c r="G35" s="252"/>
      <c r="H35" s="304"/>
      <c r="I35" s="207"/>
      <c r="J35" s="207"/>
      <c r="K35" s="207"/>
      <c r="L35" s="2781"/>
      <c r="M35" s="2781"/>
      <c r="N35" s="2781"/>
      <c r="O35" s="3122"/>
      <c r="P35" s="85"/>
      <c r="Q35" s="148"/>
      <c r="R35" s="148"/>
      <c r="S35" s="148"/>
      <c r="T35" s="148"/>
      <c r="U35" s="148"/>
    </row>
    <row r="36" spans="1:24" ht="9.75" customHeight="1" x14ac:dyDescent="0.35">
      <c r="A36" s="115">
        <v>70</v>
      </c>
      <c r="B36" s="1164" t="s">
        <v>4669</v>
      </c>
      <c r="C36" s="255"/>
      <c r="D36" s="256"/>
      <c r="E36" s="257"/>
      <c r="F36" s="85"/>
      <c r="G36" s="374" t="s">
        <v>4666</v>
      </c>
      <c r="H36" s="207"/>
      <c r="I36" s="207"/>
      <c r="J36" s="207"/>
      <c r="K36" s="207"/>
      <c r="L36" s="2781"/>
      <c r="M36" s="2781"/>
      <c r="N36" s="2781"/>
      <c r="O36" s="3122"/>
      <c r="P36" s="85"/>
    </row>
    <row r="37" spans="1:24" x14ac:dyDescent="0.35">
      <c r="A37" s="115">
        <v>73</v>
      </c>
      <c r="B37" s="1164" t="s">
        <v>4675</v>
      </c>
      <c r="C37" s="1163"/>
      <c r="D37" s="1163"/>
      <c r="E37" s="1163"/>
      <c r="F37" s="85"/>
      <c r="G37" s="274">
        <f>A39</f>
        <v>77</v>
      </c>
      <c r="H37" s="207" t="s">
        <v>2439</v>
      </c>
      <c r="I37" s="253"/>
      <c r="J37" s="462">
        <f>A37</f>
        <v>73</v>
      </c>
      <c r="K37" s="290" t="str">
        <f>"Taxed income taxable @ "&amp;BR_rate*100&amp;"%"</f>
        <v>Taxed income taxable @ 20%</v>
      </c>
      <c r="L37" s="2781"/>
      <c r="M37" s="2781"/>
      <c r="N37" s="2781"/>
      <c r="O37" s="3122"/>
      <c r="P37" s="85"/>
    </row>
    <row r="38" spans="1:24" x14ac:dyDescent="0.35">
      <c r="A38" s="115">
        <v>76</v>
      </c>
      <c r="B38" s="1164" t="s">
        <v>4679</v>
      </c>
      <c r="C38" s="1163"/>
      <c r="D38" s="1163"/>
      <c r="E38" s="1163"/>
      <c r="F38" s="85"/>
      <c r="G38" s="252"/>
      <c r="H38" s="210"/>
      <c r="I38" s="207"/>
      <c r="J38" s="207"/>
      <c r="K38" s="264"/>
      <c r="L38" s="2781"/>
      <c r="M38" s="2781"/>
      <c r="N38" s="2781"/>
      <c r="O38" s="3122"/>
      <c r="P38" s="85"/>
    </row>
    <row r="39" spans="1:24" x14ac:dyDescent="0.35">
      <c r="A39" s="115">
        <v>77</v>
      </c>
      <c r="B39" s="1164" t="s">
        <v>4676</v>
      </c>
      <c r="C39" s="1163"/>
      <c r="D39" s="1163"/>
      <c r="E39" s="1163"/>
      <c r="F39" s="85"/>
      <c r="G39" s="252"/>
      <c r="H39" s="207"/>
      <c r="I39" s="207"/>
      <c r="J39" s="207"/>
      <c r="K39" s="207"/>
      <c r="L39" s="2781"/>
      <c r="M39" s="2781"/>
      <c r="N39" s="2781"/>
      <c r="O39" s="3122"/>
      <c r="P39" s="85"/>
    </row>
    <row r="40" spans="1:24" x14ac:dyDescent="0.35">
      <c r="A40" s="115">
        <v>78</v>
      </c>
      <c r="B40" s="85"/>
      <c r="C40" s="1163"/>
      <c r="D40" s="1163"/>
      <c r="E40" s="1163"/>
      <c r="F40" s="85"/>
      <c r="G40" s="274">
        <f>A40</f>
        <v>78</v>
      </c>
      <c r="H40" s="207" t="s">
        <v>2439</v>
      </c>
      <c r="I40" s="2781"/>
      <c r="J40" s="274">
        <f>A41</f>
        <v>79</v>
      </c>
      <c r="K40" s="207" t="s">
        <v>2439</v>
      </c>
      <c r="L40" s="207"/>
      <c r="M40" s="207"/>
      <c r="N40" s="207"/>
      <c r="O40" s="253"/>
      <c r="P40" s="85"/>
    </row>
    <row r="41" spans="1:24" x14ac:dyDescent="0.35">
      <c r="A41" s="115">
        <v>79</v>
      </c>
      <c r="B41" s="1164"/>
      <c r="C41" s="1163"/>
      <c r="D41" s="1163"/>
      <c r="E41" s="1163"/>
      <c r="F41" s="85"/>
      <c r="G41" s="252"/>
      <c r="H41" s="210"/>
      <c r="I41" s="2786"/>
      <c r="J41" s="253"/>
      <c r="K41" s="210"/>
      <c r="L41" s="207"/>
      <c r="M41" s="207"/>
      <c r="N41" s="207"/>
      <c r="O41" s="253"/>
      <c r="P41" s="1163"/>
    </row>
    <row r="42" spans="1:24" x14ac:dyDescent="0.35">
      <c r="A42" s="115">
        <v>80</v>
      </c>
      <c r="B42" s="1299"/>
      <c r="C42" s="1163"/>
      <c r="D42" s="1163"/>
      <c r="E42" s="1163"/>
      <c r="F42" s="85"/>
      <c r="G42" s="255"/>
      <c r="H42" s="306"/>
      <c r="I42" s="306"/>
      <c r="J42" s="306"/>
      <c r="K42" s="306"/>
      <c r="L42" s="306"/>
      <c r="M42" s="306"/>
      <c r="N42" s="2785"/>
      <c r="O42" s="257"/>
      <c r="P42" s="1163"/>
    </row>
    <row r="43" spans="1:24" x14ac:dyDescent="0.35">
      <c r="A43" s="115">
        <v>82</v>
      </c>
      <c r="B43" s="1299"/>
      <c r="C43" s="1163"/>
      <c r="D43" s="1163"/>
      <c r="E43" s="1163"/>
      <c r="F43" s="85"/>
      <c r="G43" s="1163"/>
      <c r="H43" s="1163"/>
      <c r="I43" s="1163"/>
      <c r="J43" s="1163"/>
      <c r="K43" s="1163"/>
      <c r="L43" s="1163"/>
      <c r="M43" s="1163"/>
      <c r="N43" s="1163"/>
      <c r="O43" s="1163"/>
      <c r="P43" s="1163"/>
    </row>
    <row r="44" spans="1:24" x14ac:dyDescent="0.35">
      <c r="B44" s="1163"/>
      <c r="C44" s="1163"/>
      <c r="D44" s="1163"/>
      <c r="E44" s="1163"/>
      <c r="F44" s="85"/>
      <c r="G44" s="1163"/>
      <c r="H44" s="1163"/>
      <c r="I44" s="1163"/>
      <c r="J44" s="1163"/>
      <c r="K44" s="1163"/>
      <c r="L44" s="1163"/>
      <c r="M44" s="1163"/>
      <c r="N44" s="1163"/>
      <c r="O44" s="1163"/>
      <c r="P44" s="85"/>
    </row>
    <row r="45" spans="1:24" ht="4.5" customHeight="1" x14ac:dyDescent="0.35">
      <c r="B45" s="1163"/>
      <c r="C45" s="1300"/>
      <c r="D45" s="1163"/>
      <c r="E45" s="1300"/>
      <c r="F45" s="85"/>
      <c r="G45" s="1163"/>
      <c r="H45" s="1163"/>
      <c r="I45" s="1163"/>
      <c r="J45" s="1163"/>
      <c r="K45" s="1163"/>
      <c r="L45" s="1163"/>
      <c r="M45" s="1163"/>
      <c r="N45" s="1163"/>
      <c r="O45" s="1163"/>
      <c r="P45" s="85"/>
    </row>
    <row r="46" spans="1:24" x14ac:dyDescent="0.35">
      <c r="B46" s="1163"/>
      <c r="C46" s="1300"/>
      <c r="D46" s="1163"/>
      <c r="E46" s="1300"/>
      <c r="F46" s="85"/>
      <c r="G46" s="1163"/>
      <c r="H46" s="1163"/>
      <c r="I46" s="2775"/>
      <c r="J46" s="2775"/>
      <c r="K46" s="2775"/>
      <c r="L46" s="1163"/>
      <c r="M46" s="2775"/>
      <c r="N46" s="2775"/>
      <c r="O46" s="2775"/>
      <c r="P46" s="73"/>
    </row>
    <row r="47" spans="1:24" x14ac:dyDescent="0.35">
      <c r="B47" s="1163"/>
      <c r="C47" s="1300"/>
      <c r="D47" s="1163"/>
      <c r="E47" s="1300"/>
      <c r="F47" s="85"/>
      <c r="G47" s="1163"/>
      <c r="H47" s="1163"/>
      <c r="I47" s="1163"/>
      <c r="J47" s="1163"/>
      <c r="K47" s="1163"/>
      <c r="L47" s="1163"/>
      <c r="M47" s="1163"/>
      <c r="N47" s="1163"/>
      <c r="O47" s="1163"/>
      <c r="P47" s="85"/>
    </row>
    <row r="48" spans="1:24" x14ac:dyDescent="0.35">
      <c r="B48" s="1163"/>
      <c r="C48" s="1300"/>
      <c r="D48" s="1163"/>
      <c r="E48" s="1300"/>
      <c r="F48" s="85"/>
      <c r="G48" s="86"/>
      <c r="H48" s="85"/>
      <c r="I48" s="85"/>
      <c r="J48" s="85"/>
      <c r="K48" s="85"/>
      <c r="L48" s="85"/>
      <c r="M48" s="85"/>
      <c r="N48" s="85"/>
      <c r="O48" s="85"/>
      <c r="P48" s="85"/>
    </row>
    <row r="49" spans="2:16" x14ac:dyDescent="0.35">
      <c r="B49" s="1163"/>
      <c r="C49" s="1300"/>
      <c r="D49" s="1163"/>
      <c r="E49" s="1300"/>
      <c r="F49" s="85"/>
      <c r="G49" s="86"/>
      <c r="H49" s="85"/>
      <c r="I49" s="85"/>
      <c r="J49" s="85"/>
      <c r="K49" s="85"/>
      <c r="L49" s="85"/>
      <c r="M49" s="85"/>
      <c r="N49" s="85"/>
      <c r="O49" s="85"/>
      <c r="P49" s="85"/>
    </row>
    <row r="50" spans="2:16" x14ac:dyDescent="0.35">
      <c r="B50" s="1163"/>
      <c r="C50" s="1300"/>
      <c r="D50" s="1163"/>
      <c r="E50" s="1300"/>
      <c r="F50" s="85"/>
      <c r="G50" s="86"/>
      <c r="H50" s="85"/>
      <c r="I50" s="85"/>
      <c r="J50" s="85"/>
      <c r="K50" s="85"/>
      <c r="L50" s="85"/>
      <c r="M50" s="85"/>
      <c r="N50" s="85"/>
      <c r="O50" s="85"/>
      <c r="P50" s="85"/>
    </row>
    <row r="51" spans="2:16" x14ac:dyDescent="0.35">
      <c r="B51" s="1163"/>
      <c r="C51" s="1300"/>
      <c r="D51" s="1163"/>
      <c r="E51" s="1300"/>
      <c r="F51" s="85"/>
      <c r="G51" s="86"/>
      <c r="H51" s="85"/>
      <c r="I51" s="85"/>
      <c r="J51" s="85"/>
      <c r="K51" s="85"/>
      <c r="L51" s="85"/>
      <c r="M51" s="85"/>
      <c r="N51" s="85"/>
      <c r="O51" s="85"/>
      <c r="P51" s="85"/>
    </row>
  </sheetData>
  <sheetProtection sheet="1" objects="1" scenarios="1"/>
  <phoneticPr fontId="68" type="noConversion"/>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xdr:col>
                    <xdr:colOff>295275</xdr:colOff>
                    <xdr:row>21</xdr:row>
                    <xdr:rowOff>104775</xdr:rowOff>
                  </from>
                  <to>
                    <xdr:col>3</xdr:col>
                    <xdr:colOff>266700</xdr:colOff>
                    <xdr:row>23</xdr:row>
                    <xdr:rowOff>0</xdr:rowOff>
                  </to>
                </anchor>
              </controlPr>
            </control>
          </mc:Choice>
        </mc:AlternateContent>
        <mc:AlternateContent xmlns:mc="http://schemas.openxmlformats.org/markup-compatibility/2006">
          <mc:Choice Requires="x14">
            <control shapeId="9219" r:id="rId5" name="Check Box 3">
              <controlPr defaultSize="0" autoFill="0" autoLine="0" autoPict="0">
                <anchor moveWithCells="1">
                  <from>
                    <xdr:col>9</xdr:col>
                    <xdr:colOff>314325</xdr:colOff>
                    <xdr:row>12</xdr:row>
                    <xdr:rowOff>104775</xdr:rowOff>
                  </from>
                  <to>
                    <xdr:col>10</xdr:col>
                    <xdr:colOff>285750</xdr:colOff>
                    <xdr:row>14</xdr:row>
                    <xdr:rowOff>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2</xdr:col>
                    <xdr:colOff>285750</xdr:colOff>
                    <xdr:row>18</xdr:row>
                    <xdr:rowOff>114300</xdr:rowOff>
                  </from>
                  <to>
                    <xdr:col>3</xdr:col>
                    <xdr:colOff>257175</xdr:colOff>
                    <xdr:row>20</xdr:row>
                    <xdr:rowOff>9525</xdr:rowOff>
                  </to>
                </anchor>
              </controlPr>
            </control>
          </mc:Choice>
        </mc:AlternateContent>
        <mc:AlternateContent xmlns:mc="http://schemas.openxmlformats.org/markup-compatibility/2006">
          <mc:Choice Requires="x14">
            <control shapeId="2" r:id="rId7" name="Check Box 5">
              <controlPr defaultSize="0" autoFill="0" autoLine="0" autoPict="0">
                <anchor moveWithCells="1">
                  <from>
                    <xdr:col>6</xdr:col>
                    <xdr:colOff>285750</xdr:colOff>
                    <xdr:row>12</xdr:row>
                    <xdr:rowOff>114300</xdr:rowOff>
                  </from>
                  <to>
                    <xdr:col>7</xdr:col>
                    <xdr:colOff>238125</xdr:colOff>
                    <xdr:row>14</xdr:row>
                    <xdr:rowOff>9525</xdr:rowOff>
                  </to>
                </anchor>
              </controlPr>
            </control>
          </mc:Choice>
        </mc:AlternateContent>
        <mc:AlternateContent xmlns:mc="http://schemas.openxmlformats.org/markup-compatibility/2006">
          <mc:Choice Requires="x14">
            <control shapeId="9222" r:id="rId8" name="Button 6">
              <controlPr defaultSize="0" autoFill="0" autoPict="0" macro="[0]!Show_Page_NI">
                <anchor>
                  <from>
                    <xdr:col>11</xdr:col>
                    <xdr:colOff>1390650</xdr:colOff>
                    <xdr:row>14</xdr:row>
                    <xdr:rowOff>66675</xdr:rowOff>
                  </from>
                  <to>
                    <xdr:col>14</xdr:col>
                    <xdr:colOff>933450</xdr:colOff>
                    <xdr:row>18</xdr:row>
                    <xdr:rowOff>123825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dimension ref="A1:Q52"/>
  <sheetViews>
    <sheetView showGridLines="0" showRowColHeaders="0" zoomScale="96" zoomScaleNormal="96" workbookViewId="0">
      <selection activeCell="D12" sqref="D12"/>
    </sheetView>
  </sheetViews>
  <sheetFormatPr defaultColWidth="9.1328125" defaultRowHeight="12.75" x14ac:dyDescent="0.35"/>
  <cols>
    <col min="1" max="2" width="9.1328125" style="1294"/>
    <col min="3" max="3" width="8" style="1294" customWidth="1"/>
    <col min="4" max="4" width="21" style="1294" customWidth="1"/>
    <col min="5" max="5" width="8.73046875" style="1294" customWidth="1"/>
    <col min="6" max="6" width="8" style="1294" customWidth="1"/>
    <col min="7" max="7" width="21" style="1294" customWidth="1"/>
    <col min="8" max="8" width="13" style="1294" customWidth="1"/>
    <col min="9" max="9" width="9.1328125" style="1294"/>
    <col min="10" max="10" width="18.73046875" style="1294" customWidth="1"/>
    <col min="11" max="11" width="8" style="1294" customWidth="1"/>
    <col min="12" max="12" width="21" style="1294" customWidth="1"/>
    <col min="13" max="13" width="35.59765625" style="1294" customWidth="1"/>
    <col min="14" max="14" width="9.1328125" style="1294" customWidth="1"/>
    <col min="15" max="15" width="5" style="1294" hidden="1" customWidth="1"/>
    <col min="16" max="16" width="0" style="1294" hidden="1" customWidth="1"/>
    <col min="17" max="16384" width="9.1328125" style="1294"/>
  </cols>
  <sheetData>
    <row r="1" spans="1:17" x14ac:dyDescent="0.35">
      <c r="A1" s="1297"/>
      <c r="B1" s="1297"/>
      <c r="C1" s="1297"/>
      <c r="D1" s="1297"/>
      <c r="E1" s="1297"/>
      <c r="F1" s="1297"/>
      <c r="G1" s="1297"/>
      <c r="H1" s="1297"/>
      <c r="I1" s="1297"/>
      <c r="J1" s="1297"/>
      <c r="K1" s="1297"/>
      <c r="L1" s="1297"/>
      <c r="M1" s="1956"/>
      <c r="N1" s="1607"/>
      <c r="O1" s="1295"/>
      <c r="P1" s="1295"/>
      <c r="Q1" s="1295"/>
    </row>
    <row r="2" spans="1:17" ht="13.15" x14ac:dyDescent="0.4">
      <c r="A2" s="1297"/>
      <c r="B2" s="1297"/>
      <c r="C2" s="2825" t="s">
        <v>4954</v>
      </c>
      <c r="D2" s="2826"/>
      <c r="E2" s="2826"/>
      <c r="F2" s="2826"/>
      <c r="G2" s="2826"/>
      <c r="H2" s="2827" t="s">
        <v>4944</v>
      </c>
      <c r="I2" s="1297"/>
      <c r="J2" s="2961" t="s">
        <v>7073</v>
      </c>
      <c r="K2" s="2826"/>
      <c r="L2" s="2828"/>
      <c r="M2" s="2827"/>
      <c r="N2" s="1607"/>
      <c r="O2" s="1295"/>
      <c r="P2" s="1295"/>
      <c r="Q2" s="1295"/>
    </row>
    <row r="3" spans="1:17" x14ac:dyDescent="0.35">
      <c r="A3" s="1297"/>
      <c r="B3" s="1297"/>
      <c r="C3" s="374"/>
      <c r="D3" s="207"/>
      <c r="E3" s="207"/>
      <c r="F3" s="207"/>
      <c r="G3" s="207"/>
      <c r="H3" s="294"/>
      <c r="I3" s="1297"/>
      <c r="J3" s="374" t="s">
        <v>7335</v>
      </c>
      <c r="K3" s="207"/>
      <c r="L3" s="246"/>
      <c r="M3" s="294"/>
      <c r="N3" s="1607"/>
      <c r="O3" s="1295"/>
      <c r="P3" s="1295"/>
      <c r="Q3" s="1295"/>
    </row>
    <row r="4" spans="1:17" x14ac:dyDescent="0.35">
      <c r="A4" s="1297"/>
      <c r="B4" s="1297"/>
      <c r="C4" s="374" t="s">
        <v>4661</v>
      </c>
      <c r="D4" s="207"/>
      <c r="E4" s="207"/>
      <c r="F4" s="207"/>
      <c r="G4" s="207"/>
      <c r="H4" s="253"/>
      <c r="I4" s="1297"/>
      <c r="J4" s="374"/>
      <c r="K4" s="2829" t="s">
        <v>6788</v>
      </c>
      <c r="L4" s="2969" t="str">
        <f>"(UEL ("&amp;DOLLAR(NIC_UEL_Wk,0)&amp;") minus PT ("&amp;DOLLAR(NIC_PT_Wk,0)&amp;")) x 53"</f>
        <v>(UEL (£827) minus PT (£155)) x 53</v>
      </c>
      <c r="M4" s="2966"/>
      <c r="N4" s="1607"/>
      <c r="O4" s="1295"/>
      <c r="P4" s="1295"/>
      <c r="Q4" s="1295"/>
    </row>
    <row r="5" spans="1:17" x14ac:dyDescent="0.35">
      <c r="A5" s="1297"/>
      <c r="B5" s="1297"/>
      <c r="C5" s="374"/>
      <c r="D5" s="2783"/>
      <c r="E5" s="2783"/>
      <c r="F5" s="207"/>
      <c r="G5" s="207"/>
      <c r="H5" s="253"/>
      <c r="I5" s="1297"/>
      <c r="J5" s="374"/>
      <c r="K5" s="2831"/>
      <c r="L5" s="2846">
        <f>(NIC_UEL_Wk-NIC_PT_Wk)*53</f>
        <v>35616</v>
      </c>
      <c r="M5" s="294"/>
      <c r="N5" s="1607"/>
      <c r="O5" s="1295"/>
      <c r="P5" s="1295"/>
      <c r="Q5" s="1295"/>
    </row>
    <row r="6" spans="1:17" x14ac:dyDescent="0.35">
      <c r="A6" s="1297"/>
      <c r="B6" s="1297"/>
      <c r="C6" s="374"/>
      <c r="D6" s="2962" t="s">
        <v>7074</v>
      </c>
      <c r="E6" s="2963"/>
      <c r="F6" s="2844"/>
      <c r="G6" s="2962" t="s">
        <v>7336</v>
      </c>
      <c r="H6" s="2966"/>
      <c r="I6" s="1297"/>
      <c r="J6" s="374"/>
      <c r="K6" s="207"/>
      <c r="L6" s="2832"/>
      <c r="M6" s="294"/>
      <c r="N6" s="1607"/>
      <c r="O6" s="1295"/>
      <c r="P6" s="1295"/>
      <c r="Q6" s="1295"/>
    </row>
    <row r="7" spans="1:17" x14ac:dyDescent="0.35">
      <c r="A7" s="1297"/>
      <c r="B7" s="1297"/>
      <c r="C7" s="2829" t="s">
        <v>7075</v>
      </c>
      <c r="D7" s="2964" t="s">
        <v>7076</v>
      </c>
      <c r="E7" s="2965"/>
      <c r="F7" s="2829" t="s">
        <v>7077</v>
      </c>
      <c r="G7" s="2964" t="str">
        <f>"calculation box "&amp;K40&amp;" opposite"</f>
        <v>calculation box Adj CL2 opposite</v>
      </c>
      <c r="H7" s="2967"/>
      <c r="I7" s="1297"/>
      <c r="J7" s="374"/>
      <c r="K7" s="2829" t="s">
        <v>6787</v>
      </c>
      <c r="L7" s="2969" t="str">
        <f>"Multiply the result of Step 1 by "&amp;NIC1_rate*100&amp;"%"</f>
        <v>Multiply the result of Step 1 by 12%</v>
      </c>
      <c r="M7" s="2966"/>
      <c r="N7" s="1607"/>
      <c r="O7" s="1295"/>
      <c r="P7" s="1295"/>
      <c r="Q7" s="1295"/>
    </row>
    <row r="8" spans="1:17" x14ac:dyDescent="0.35">
      <c r="A8" s="1297"/>
      <c r="B8" s="1297"/>
      <c r="C8" s="1298"/>
      <c r="D8" s="2830"/>
      <c r="E8" s="246"/>
      <c r="F8" s="2845"/>
      <c r="G8" s="2834">
        <f>L41</f>
        <v>0</v>
      </c>
      <c r="H8" s="2842"/>
      <c r="I8" s="1297"/>
      <c r="J8" s="374"/>
      <c r="K8" s="2831"/>
      <c r="L8" s="2834">
        <f>L5*12%</f>
        <v>4273.92</v>
      </c>
      <c r="M8" s="294"/>
      <c r="N8" s="1607"/>
      <c r="O8" s="1295"/>
      <c r="P8" s="1295"/>
      <c r="Q8" s="1295"/>
    </row>
    <row r="9" spans="1:17" x14ac:dyDescent="0.35">
      <c r="A9" s="1297"/>
      <c r="B9" s="1297"/>
      <c r="C9" s="374"/>
      <c r="D9" s="207"/>
      <c r="E9" s="246"/>
      <c r="F9" s="246"/>
      <c r="G9" s="246"/>
      <c r="H9" s="2842"/>
      <c r="I9" s="1297"/>
      <c r="J9" s="374"/>
      <c r="K9" s="207"/>
      <c r="L9" s="2832"/>
      <c r="M9" s="294"/>
      <c r="N9" s="1607"/>
      <c r="O9" s="1295"/>
      <c r="P9" s="1295"/>
      <c r="Q9" s="1295"/>
    </row>
    <row r="10" spans="1:17" x14ac:dyDescent="0.35">
      <c r="A10" s="1297"/>
      <c r="B10" s="1297"/>
      <c r="C10" s="374"/>
      <c r="D10" s="2962" t="s">
        <v>7338</v>
      </c>
      <c r="E10" s="2963"/>
      <c r="F10" s="246"/>
      <c r="G10" s="246"/>
      <c r="H10" s="2842"/>
      <c r="I10" s="1297"/>
      <c r="J10" s="374"/>
      <c r="K10" s="2829" t="s">
        <v>7058</v>
      </c>
      <c r="L10" s="2783" t="s">
        <v>5580</v>
      </c>
      <c r="M10" s="2966"/>
      <c r="N10" s="1607"/>
      <c r="O10" s="1295"/>
      <c r="P10" s="1295"/>
      <c r="Q10" s="1295"/>
    </row>
    <row r="11" spans="1:17" x14ac:dyDescent="0.35">
      <c r="A11" s="1297"/>
      <c r="B11" s="1297"/>
      <c r="C11" s="2829" t="s">
        <v>4804</v>
      </c>
      <c r="D11" s="2964" t="s">
        <v>7337</v>
      </c>
      <c r="E11" s="2963"/>
      <c r="F11" s="246"/>
      <c r="G11" s="246"/>
      <c r="H11" s="2842"/>
      <c r="I11" s="1297"/>
      <c r="J11" s="374"/>
      <c r="K11" s="2831"/>
      <c r="L11" s="2830">
        <f>D20+D27</f>
        <v>0</v>
      </c>
      <c r="M11" s="294"/>
      <c r="N11" s="1607"/>
      <c r="O11" s="1295"/>
      <c r="P11" s="1295"/>
      <c r="Q11" s="1295"/>
    </row>
    <row r="12" spans="1:17" x14ac:dyDescent="0.35">
      <c r="A12" s="1297"/>
      <c r="B12" s="1297"/>
      <c r="C12" s="1298"/>
      <c r="D12" s="2830"/>
      <c r="E12" s="246"/>
      <c r="F12" s="246"/>
      <c r="G12" s="246"/>
      <c r="H12" s="2842"/>
      <c r="I12" s="1297"/>
      <c r="J12" s="374"/>
      <c r="K12" s="207"/>
      <c r="L12" s="2832"/>
      <c r="M12" s="294"/>
      <c r="N12" s="1607"/>
      <c r="O12" s="1295"/>
      <c r="P12" s="1295"/>
      <c r="Q12" s="1295"/>
    </row>
    <row r="13" spans="1:17" x14ac:dyDescent="0.35">
      <c r="A13" s="1297"/>
      <c r="B13" s="1297"/>
      <c r="C13" s="374"/>
      <c r="D13" s="207"/>
      <c r="E13" s="246"/>
      <c r="F13" s="246"/>
      <c r="G13" s="246"/>
      <c r="H13" s="2842"/>
      <c r="I13" s="1297"/>
      <c r="J13" s="374"/>
      <c r="K13" s="2829" t="s">
        <v>7059</v>
      </c>
      <c r="L13" s="2969" t="s">
        <v>7078</v>
      </c>
      <c r="M13" s="2966"/>
      <c r="N13" s="1607"/>
      <c r="O13" s="1295"/>
      <c r="P13" s="1295"/>
      <c r="Q13" s="1295"/>
    </row>
    <row r="14" spans="1:17" x14ac:dyDescent="0.35">
      <c r="A14" s="1297"/>
      <c r="B14" s="1297"/>
      <c r="C14" s="374" t="s">
        <v>7332</v>
      </c>
      <c r="D14" s="207"/>
      <c r="E14" s="207"/>
      <c r="F14" s="294"/>
      <c r="G14" s="246"/>
      <c r="H14" s="2842"/>
      <c r="I14" s="1297"/>
      <c r="J14" s="374"/>
      <c r="K14" s="2831"/>
      <c r="L14" s="2834">
        <f>MAX(0,L11-L5)</f>
        <v>0</v>
      </c>
      <c r="M14" s="294"/>
      <c r="N14" s="1607"/>
      <c r="O14" s="1295"/>
      <c r="P14" s="1295"/>
      <c r="Q14" s="1295"/>
    </row>
    <row r="15" spans="1:17" x14ac:dyDescent="0.35">
      <c r="A15" s="1297"/>
      <c r="B15" s="1297"/>
      <c r="C15" s="374" t="s">
        <v>7333</v>
      </c>
      <c r="D15" s="207"/>
      <c r="E15" s="207"/>
      <c r="F15" s="246"/>
      <c r="G15" s="246"/>
      <c r="H15" s="2842"/>
      <c r="I15" s="1297"/>
      <c r="J15" s="374"/>
      <c r="K15" s="207"/>
      <c r="L15" s="246"/>
      <c r="M15" s="294"/>
      <c r="N15" s="1607"/>
      <c r="O15" s="1295"/>
      <c r="P15" s="1295"/>
      <c r="Q15" s="1295"/>
    </row>
    <row r="16" spans="1:17" x14ac:dyDescent="0.35">
      <c r="A16" s="1297"/>
      <c r="B16" s="1297"/>
      <c r="C16" s="374" t="s">
        <v>7334</v>
      </c>
      <c r="D16" s="207"/>
      <c r="E16" s="207"/>
      <c r="F16" s="246"/>
      <c r="G16" s="246"/>
      <c r="H16" s="2842"/>
      <c r="I16" s="1297"/>
      <c r="J16" s="374"/>
      <c r="K16" s="2829" t="s">
        <v>7060</v>
      </c>
      <c r="L16" s="2969" t="s">
        <v>7061</v>
      </c>
      <c r="M16" s="2966"/>
      <c r="N16" s="1607"/>
      <c r="O16" s="1295"/>
      <c r="P16" s="1295"/>
      <c r="Q16" s="1295"/>
    </row>
    <row r="17" spans="1:17" x14ac:dyDescent="0.35">
      <c r="A17" s="1297"/>
      <c r="B17" s="1297"/>
      <c r="C17" s="374"/>
      <c r="D17" s="207"/>
      <c r="E17" s="246"/>
      <c r="F17" s="246"/>
      <c r="G17" s="246"/>
      <c r="H17" s="2842"/>
      <c r="I17" s="1297"/>
      <c r="J17" s="374"/>
      <c r="K17" s="2831"/>
      <c r="L17" s="2834">
        <f>L14*1%</f>
        <v>0</v>
      </c>
      <c r="M17" s="294"/>
      <c r="N17" s="1607"/>
      <c r="O17" s="1295"/>
      <c r="P17" s="1295"/>
      <c r="Q17" s="1295"/>
    </row>
    <row r="18" spans="1:17" x14ac:dyDescent="0.35">
      <c r="A18" s="1297"/>
      <c r="B18" s="1297"/>
      <c r="C18" s="374" t="s">
        <v>2183</v>
      </c>
      <c r="D18" s="207"/>
      <c r="E18" s="207"/>
      <c r="F18" s="246"/>
      <c r="G18" s="246"/>
      <c r="H18" s="2842"/>
      <c r="I18" s="1297"/>
      <c r="J18" s="374"/>
      <c r="K18" s="207"/>
      <c r="L18" s="246"/>
      <c r="M18" s="294"/>
      <c r="N18" s="1607"/>
      <c r="O18" s="1295"/>
      <c r="P18" s="1295"/>
      <c r="Q18" s="1295"/>
    </row>
    <row r="19" spans="1:17" x14ac:dyDescent="0.35">
      <c r="A19" s="1297"/>
      <c r="B19" s="1297"/>
      <c r="C19" s="2829" t="s">
        <v>6361</v>
      </c>
      <c r="D19" s="2783" t="s">
        <v>7341</v>
      </c>
      <c r="E19" s="207"/>
      <c r="F19" s="246"/>
      <c r="G19" s="246"/>
      <c r="H19" s="2842"/>
      <c r="I19" s="1297"/>
      <c r="J19" s="1957"/>
      <c r="K19" s="2829" t="s">
        <v>7062</v>
      </c>
      <c r="L19" s="2969" t="str">
        <f>"("&amp;C22&amp;" + "&amp;C29&amp;") minus (Step 3 x "&amp;NIC1_rate*100&amp;"%) / 2%"</f>
        <v>(EMP PT + MOR PT) minus (Step 3 x 12%) / 2%</v>
      </c>
      <c r="M19" s="2966"/>
      <c r="N19" s="1607"/>
      <c r="O19" s="1295"/>
      <c r="P19" s="1295"/>
      <c r="Q19" s="1295"/>
    </row>
    <row r="20" spans="1:17" x14ac:dyDescent="0.35">
      <c r="A20" s="1297"/>
      <c r="B20" s="1297"/>
      <c r="C20" s="1298"/>
      <c r="D20" s="2970"/>
      <c r="E20" s="246"/>
      <c r="F20" s="246"/>
      <c r="G20" s="246"/>
      <c r="H20" s="2842"/>
      <c r="I20" s="1297"/>
      <c r="J20" s="1957"/>
      <c r="K20" s="207"/>
      <c r="L20" s="2833">
        <f>MAX(0,((D23+D30)-(L11*NIC1_rate))/2%)</f>
        <v>0</v>
      </c>
      <c r="M20" s="294"/>
      <c r="N20" s="1607"/>
      <c r="O20" s="2836"/>
      <c r="P20" s="1311" t="s">
        <v>4963</v>
      </c>
      <c r="Q20" s="1295"/>
    </row>
    <row r="21" spans="1:17" x14ac:dyDescent="0.35">
      <c r="A21" s="1297"/>
      <c r="B21" s="1297"/>
      <c r="C21" s="374"/>
      <c r="D21" s="207"/>
      <c r="E21" s="246"/>
      <c r="F21" s="246"/>
      <c r="G21" s="246"/>
      <c r="H21" s="2842"/>
      <c r="I21" s="1297"/>
      <c r="J21" s="1957"/>
      <c r="K21" s="207"/>
      <c r="L21" s="246"/>
      <c r="M21" s="294"/>
      <c r="N21" s="2835"/>
      <c r="O21" s="2837">
        <f>NIC2_weekamt</f>
        <v>2.85</v>
      </c>
      <c r="P21" s="1311" t="s">
        <v>4803</v>
      </c>
      <c r="Q21" s="1295"/>
    </row>
    <row r="22" spans="1:17" x14ac:dyDescent="0.35">
      <c r="A22" s="1297"/>
      <c r="B22" s="1956"/>
      <c r="C22" s="2829" t="s">
        <v>7079</v>
      </c>
      <c r="D22" s="2783" t="s">
        <v>7342</v>
      </c>
      <c r="E22" s="2783"/>
      <c r="F22" s="2966"/>
      <c r="G22" s="2963"/>
      <c r="H22" s="2968"/>
      <c r="I22" s="1297"/>
      <c r="J22" s="1957"/>
      <c r="K22" s="2829" t="s">
        <v>7063</v>
      </c>
      <c r="L22" s="2969" t="s">
        <v>7064</v>
      </c>
      <c r="M22" s="2966"/>
      <c r="N22" s="2835"/>
      <c r="O22" s="2836">
        <f>NIC2SF_weekamt</f>
        <v>3.5</v>
      </c>
      <c r="P22" s="1311" t="s">
        <v>4960</v>
      </c>
      <c r="Q22" s="1295"/>
    </row>
    <row r="23" spans="1:17" x14ac:dyDescent="0.35">
      <c r="A23" s="1297"/>
      <c r="B23" s="1956"/>
      <c r="C23" s="374"/>
      <c r="D23" s="2970"/>
      <c r="E23" s="246"/>
      <c r="F23" s="246"/>
      <c r="G23" s="246"/>
      <c r="H23" s="2842"/>
      <c r="I23" s="1297"/>
      <c r="J23" s="1957"/>
      <c r="K23" s="2831"/>
      <c r="L23" s="2846">
        <f>L20*2%</f>
        <v>0</v>
      </c>
      <c r="M23" s="294"/>
      <c r="N23" s="2835"/>
      <c r="O23" s="2836">
        <v>2</v>
      </c>
      <c r="P23" s="1311" t="s">
        <v>4962</v>
      </c>
      <c r="Q23" s="1295"/>
    </row>
    <row r="24" spans="1:17" x14ac:dyDescent="0.35">
      <c r="A24" s="1297"/>
      <c r="B24" s="1956"/>
      <c r="C24" s="374"/>
      <c r="D24" s="246"/>
      <c r="E24" s="246"/>
      <c r="F24" s="246"/>
      <c r="G24" s="246"/>
      <c r="H24" s="2842"/>
      <c r="I24" s="1297"/>
      <c r="J24" s="1957"/>
      <c r="K24" s="207"/>
      <c r="L24" s="246"/>
      <c r="M24" s="294"/>
      <c r="N24" s="2835"/>
      <c r="O24" s="2836"/>
      <c r="P24" s="1295"/>
      <c r="Q24" s="1295"/>
    </row>
    <row r="25" spans="1:17" x14ac:dyDescent="0.35">
      <c r="A25" s="1297"/>
      <c r="B25" s="1956"/>
      <c r="C25" s="374" t="s">
        <v>2527</v>
      </c>
      <c r="D25" s="207"/>
      <c r="E25" s="246"/>
      <c r="F25" s="246"/>
      <c r="G25" s="246"/>
      <c r="H25" s="2842"/>
      <c r="I25" s="1297"/>
      <c r="J25" s="1957"/>
      <c r="K25" s="2829" t="s">
        <v>7065</v>
      </c>
      <c r="L25" s="2969" t="s">
        <v>7066</v>
      </c>
      <c r="M25" s="2966"/>
      <c r="N25" s="1607"/>
      <c r="O25" s="1295"/>
      <c r="P25" s="1295"/>
      <c r="Q25" s="1295"/>
    </row>
    <row r="26" spans="1:17" x14ac:dyDescent="0.35">
      <c r="A26" s="1297"/>
      <c r="B26" s="1956"/>
      <c r="C26" s="2829" t="s">
        <v>6362</v>
      </c>
      <c r="D26" s="2783" t="s">
        <v>7341</v>
      </c>
      <c r="E26" s="207"/>
      <c r="F26" s="246"/>
      <c r="G26" s="246"/>
      <c r="H26" s="2842"/>
      <c r="I26" s="1297"/>
      <c r="J26" s="1957"/>
      <c r="K26" s="2831"/>
      <c r="L26" s="2834">
        <f>L8+L17+L23</f>
        <v>4273.92</v>
      </c>
      <c r="M26" s="294"/>
      <c r="N26" s="1607"/>
      <c r="O26" s="1295"/>
      <c r="P26" s="1295"/>
      <c r="Q26" s="1295"/>
    </row>
    <row r="27" spans="1:17" x14ac:dyDescent="0.35">
      <c r="A27" s="1297"/>
      <c r="B27" s="1297"/>
      <c r="C27" s="1298"/>
      <c r="D27" s="2970"/>
      <c r="E27" s="246"/>
      <c r="F27" s="246"/>
      <c r="G27" s="246"/>
      <c r="H27" s="2842"/>
      <c r="I27" s="1297"/>
      <c r="J27" s="1957"/>
      <c r="K27" s="207"/>
      <c r="L27" s="2965"/>
      <c r="M27" s="2966"/>
      <c r="N27" s="1607"/>
      <c r="O27" s="1295"/>
      <c r="P27" s="1295"/>
      <c r="Q27" s="1295"/>
    </row>
    <row r="28" spans="1:17" x14ac:dyDescent="0.35">
      <c r="A28" s="1297"/>
      <c r="B28" s="1297"/>
      <c r="C28" s="374"/>
      <c r="D28" s="207"/>
      <c r="E28" s="207"/>
      <c r="F28" s="246"/>
      <c r="G28" s="246"/>
      <c r="H28" s="2842"/>
      <c r="I28" s="1297"/>
      <c r="J28" s="1957"/>
      <c r="K28" s="207"/>
      <c r="L28" s="2969" t="str">
        <f>"Balance Step 8 minus "&amp;C22&amp;" + "&amp;C29</f>
        <v>Balance Step 8 minus EMP PT + MOR PT</v>
      </c>
      <c r="M28" s="2966"/>
      <c r="N28" s="1607"/>
      <c r="O28" s="1295"/>
      <c r="P28" s="1295"/>
      <c r="Q28" s="1295"/>
    </row>
    <row r="29" spans="1:17" x14ac:dyDescent="0.35">
      <c r="A29" s="1297"/>
      <c r="B29" s="1297"/>
      <c r="C29" s="2829" t="s">
        <v>7080</v>
      </c>
      <c r="D29" s="2783" t="s">
        <v>7342</v>
      </c>
      <c r="E29" s="2783"/>
      <c r="F29" s="2966"/>
      <c r="G29" s="2963"/>
      <c r="H29" s="2968"/>
      <c r="I29" s="1297"/>
      <c r="J29" s="1957"/>
      <c r="K29" s="207"/>
      <c r="L29" s="2834">
        <f>MAX(0,L26-(D23+D30))</f>
        <v>4273.92</v>
      </c>
      <c r="M29" s="294"/>
      <c r="N29" s="1607"/>
      <c r="O29" s="1295"/>
      <c r="P29" s="1295"/>
      <c r="Q29" s="1295"/>
    </row>
    <row r="30" spans="1:17" x14ac:dyDescent="0.35">
      <c r="A30" s="1297"/>
      <c r="B30" s="1297"/>
      <c r="C30" s="374"/>
      <c r="D30" s="2830"/>
      <c r="E30" s="246"/>
      <c r="F30" s="246"/>
      <c r="G30" s="246"/>
      <c r="H30" s="2842"/>
      <c r="I30" s="1297"/>
      <c r="J30" s="1957"/>
      <c r="K30" s="207"/>
      <c r="L30" s="246"/>
      <c r="M30" s="294"/>
      <c r="N30" s="1607"/>
      <c r="O30" s="1295"/>
      <c r="P30" s="1295"/>
      <c r="Q30" s="1295"/>
    </row>
    <row r="31" spans="1:17" x14ac:dyDescent="0.35">
      <c r="A31" s="1297"/>
      <c r="B31" s="1297"/>
      <c r="C31" s="252"/>
      <c r="D31" s="207"/>
      <c r="E31" s="207"/>
      <c r="F31" s="246"/>
      <c r="G31" s="246"/>
      <c r="H31" s="2842"/>
      <c r="I31" s="1297"/>
      <c r="J31" s="1957"/>
      <c r="K31" s="207"/>
      <c r="L31" s="2969" t="str">
        <f>"Class 2 due from "&amp;C7</f>
        <v>Class 2 due from CL2A</v>
      </c>
      <c r="M31" s="2966"/>
      <c r="N31" s="1607"/>
      <c r="O31" s="1295"/>
      <c r="P31" s="1295"/>
      <c r="Q31" s="1295"/>
    </row>
    <row r="32" spans="1:17" x14ac:dyDescent="0.35">
      <c r="A32" s="1297"/>
      <c r="B32" s="1297"/>
      <c r="C32" s="2838" t="s">
        <v>4804</v>
      </c>
      <c r="D32" s="207" t="s">
        <v>4961</v>
      </c>
      <c r="E32" s="207"/>
      <c r="F32" s="246"/>
      <c r="G32" s="246"/>
      <c r="H32" s="2842"/>
      <c r="I32" s="1297"/>
      <c r="J32" s="1957"/>
      <c r="K32" s="207"/>
      <c r="L32" s="2834">
        <f>D8</f>
        <v>0</v>
      </c>
      <c r="M32" s="294"/>
      <c r="N32" s="1607"/>
      <c r="O32" s="1295"/>
      <c r="P32" s="1295"/>
      <c r="Q32" s="1295"/>
    </row>
    <row r="33" spans="1:17" x14ac:dyDescent="0.35">
      <c r="A33" s="1297"/>
      <c r="B33" s="1297"/>
      <c r="C33" s="1957"/>
      <c r="D33" s="207"/>
      <c r="E33" s="2962" t="s">
        <v>7340</v>
      </c>
      <c r="F33" s="246"/>
      <c r="G33" s="246"/>
      <c r="H33" s="2842"/>
      <c r="I33" s="1297"/>
      <c r="J33" s="1957"/>
      <c r="K33" s="207"/>
      <c r="L33" s="246"/>
      <c r="M33" s="294"/>
      <c r="N33" s="1607"/>
      <c r="O33" s="1295"/>
      <c r="P33" s="1295"/>
      <c r="Q33" s="1295"/>
    </row>
    <row r="34" spans="1:17" x14ac:dyDescent="0.35">
      <c r="A34" s="1297"/>
      <c r="B34" s="1297"/>
      <c r="C34" s="1957"/>
      <c r="D34" s="207"/>
      <c r="E34" s="207"/>
      <c r="F34" s="246"/>
      <c r="G34" s="246"/>
      <c r="H34" s="2842"/>
      <c r="I34" s="1297"/>
      <c r="J34" s="1957"/>
      <c r="K34" s="207"/>
      <c r="L34" s="2969" t="str">
        <f>"Class 2 due equals lower of "&amp;K25&amp;" and "&amp;C7</f>
        <v>Class 2 due equals lower of Step 8 and CL2A</v>
      </c>
      <c r="M34" s="2966"/>
      <c r="N34" s="1607"/>
      <c r="O34" s="1295"/>
      <c r="P34" s="1295"/>
      <c r="Q34" s="1295"/>
    </row>
    <row r="35" spans="1:17" x14ac:dyDescent="0.35">
      <c r="A35" s="1297"/>
      <c r="B35" s="1297"/>
      <c r="C35" s="1958"/>
      <c r="D35" s="1959" t="str">
        <f>IF(O23=1,"",IF(O23=2,"'standard' Class 2 NICs rate selected",IF(O23=3,"Share fishermen Class 2 NICs rate selected","")))</f>
        <v>'standard' Class 2 NICs rate selected</v>
      </c>
      <c r="E35" s="1959"/>
      <c r="F35" s="2843"/>
      <c r="G35" s="1959"/>
      <c r="H35" s="2849"/>
      <c r="I35" s="1297"/>
      <c r="J35" s="1957"/>
      <c r="K35" s="207"/>
      <c r="L35" s="2834">
        <f>IF(D8="",0,MIN(L29,D8))</f>
        <v>0</v>
      </c>
      <c r="M35" s="294"/>
      <c r="N35" s="1607"/>
      <c r="O35" s="1295"/>
      <c r="P35" s="1295"/>
      <c r="Q35" s="1295"/>
    </row>
    <row r="36" spans="1:17" x14ac:dyDescent="0.35">
      <c r="A36" s="1297"/>
      <c r="B36" s="1297"/>
      <c r="C36" s="1297"/>
      <c r="D36" s="1297"/>
      <c r="E36" s="1297"/>
      <c r="F36" s="1297"/>
      <c r="G36" s="1297"/>
      <c r="H36" s="1297"/>
      <c r="I36" s="1297"/>
      <c r="J36" s="1957"/>
      <c r="K36" s="207"/>
      <c r="L36" s="246"/>
      <c r="M36" s="2966"/>
      <c r="N36" s="1607"/>
      <c r="O36" s="1295"/>
      <c r="P36" s="1295"/>
      <c r="Q36" s="1295"/>
    </row>
    <row r="37" spans="1:17" x14ac:dyDescent="0.35">
      <c r="A37" s="1297"/>
      <c r="B37" s="1297"/>
      <c r="C37" s="1297"/>
      <c r="D37" s="1297"/>
      <c r="E37" s="1297"/>
      <c r="F37" s="1297"/>
      <c r="G37" s="1297"/>
      <c r="H37" s="1297"/>
      <c r="I37" s="1297"/>
      <c r="J37" s="1957"/>
      <c r="K37" s="207"/>
      <c r="L37" s="2969" t="str">
        <f>"No of weeks (Class 2 due divided by weekly Class 2 rate ("&amp;DOLLAR(NIC2_weekamt,2)&amp;"))"</f>
        <v>No of weeks (Class 2 due divided by weekly Class 2 rate (£2.85))</v>
      </c>
      <c r="M37" s="2966"/>
      <c r="N37" s="1607"/>
      <c r="O37" s="2840"/>
      <c r="P37" s="1296"/>
    </row>
    <row r="38" spans="1:17" x14ac:dyDescent="0.35">
      <c r="A38" s="1297"/>
      <c r="B38" s="1297"/>
      <c r="C38" s="1297"/>
      <c r="D38" s="1297"/>
      <c r="E38" s="1297"/>
      <c r="F38" s="1297"/>
      <c r="G38" s="1297"/>
      <c r="H38" s="1297"/>
      <c r="I38" s="1297"/>
      <c r="J38" s="1957"/>
      <c r="K38" s="207"/>
      <c r="L38" s="2846">
        <f>ROUNDDOWN(L35/NIC2_weekamt,0)</f>
        <v>0</v>
      </c>
      <c r="M38" s="294"/>
      <c r="N38" s="1607"/>
      <c r="O38" s="1295"/>
    </row>
    <row r="39" spans="1:17" x14ac:dyDescent="0.35">
      <c r="A39" s="1297"/>
      <c r="B39" s="1297"/>
      <c r="C39" s="1297"/>
      <c r="D39" s="1297"/>
      <c r="E39" s="1297"/>
      <c r="F39" s="1297"/>
      <c r="G39" s="1297"/>
      <c r="H39" s="1297"/>
      <c r="I39" s="1297"/>
      <c r="J39" s="1957"/>
      <c r="K39" s="207"/>
      <c r="L39" s="246"/>
      <c r="M39" s="294"/>
      <c r="N39" s="1607"/>
      <c r="O39" s="2840"/>
      <c r="P39" s="1296"/>
    </row>
    <row r="40" spans="1:17" x14ac:dyDescent="0.35">
      <c r="A40" s="1297"/>
      <c r="B40" s="1297"/>
      <c r="C40" s="1297"/>
      <c r="D40" s="1297"/>
      <c r="E40" s="1297"/>
      <c r="F40" s="1297"/>
      <c r="G40" s="1297"/>
      <c r="H40" s="1297"/>
      <c r="I40" s="1297"/>
      <c r="J40" s="1957"/>
      <c r="K40" s="2829" t="s">
        <v>7081</v>
      </c>
      <c r="L40" s="2969" t="str">
        <f>"No of weeks Class 2 due x weekly Class 2 rate ("&amp;DOLLAR(NIC2_weekamt,2)&amp;")"</f>
        <v>No of weeks Class 2 due x weekly Class 2 rate (£2.85)</v>
      </c>
      <c r="M40" s="2966"/>
      <c r="N40" s="1607"/>
      <c r="O40" s="1295"/>
    </row>
    <row r="41" spans="1:17" x14ac:dyDescent="0.35">
      <c r="A41" s="1297"/>
      <c r="B41" s="1297"/>
      <c r="C41" s="1297"/>
      <c r="D41" s="1297"/>
      <c r="E41" s="1297"/>
      <c r="F41" s="1297"/>
      <c r="G41" s="1297"/>
      <c r="H41" s="1297"/>
      <c r="I41" s="1297"/>
      <c r="J41" s="1957"/>
      <c r="K41" s="207"/>
      <c r="L41" s="2834">
        <f>L38*NIC2_weekamt</f>
        <v>0</v>
      </c>
      <c r="M41" s="294"/>
      <c r="N41" s="1607"/>
      <c r="O41" s="2840"/>
      <c r="P41" s="1296"/>
    </row>
    <row r="42" spans="1:17" x14ac:dyDescent="0.35">
      <c r="A42" s="1297"/>
      <c r="B42" s="1297"/>
      <c r="C42" s="1297"/>
      <c r="D42" s="1297"/>
      <c r="E42" s="1297"/>
      <c r="F42" s="1297"/>
      <c r="G42" s="1297"/>
      <c r="H42" s="1297"/>
      <c r="I42" s="1297"/>
      <c r="J42" s="1958"/>
      <c r="K42" s="1959"/>
      <c r="L42" s="2843"/>
      <c r="M42" s="2839" t="s">
        <v>7339</v>
      </c>
      <c r="N42" s="1607"/>
      <c r="O42" s="2840"/>
      <c r="P42" s="1296"/>
    </row>
    <row r="43" spans="1:17" x14ac:dyDescent="0.35">
      <c r="A43" s="1297"/>
      <c r="B43" s="1297"/>
      <c r="C43" s="1297"/>
      <c r="D43" s="1297"/>
      <c r="E43" s="1297"/>
      <c r="F43" s="1297"/>
      <c r="G43" s="1297"/>
      <c r="H43" s="1297"/>
      <c r="I43" s="1297"/>
      <c r="J43" s="1297"/>
      <c r="K43" s="1297"/>
      <c r="L43" s="1297"/>
      <c r="M43" s="1297"/>
      <c r="N43" s="1297"/>
      <c r="O43" s="1297"/>
    </row>
    <row r="44" spans="1:17" x14ac:dyDescent="0.35">
      <c r="A44" s="1297"/>
      <c r="B44" s="1297"/>
      <c r="C44" s="1297"/>
      <c r="D44" s="1297"/>
      <c r="E44" s="1297"/>
      <c r="F44" s="1297"/>
      <c r="G44" s="1297"/>
      <c r="H44" s="1297"/>
      <c r="I44" s="1297"/>
      <c r="J44" s="1297"/>
      <c r="K44" s="1297"/>
      <c r="L44" s="1297"/>
      <c r="M44" s="1297"/>
      <c r="N44" s="1297"/>
      <c r="O44" s="1297"/>
    </row>
    <row r="45" spans="1:17" x14ac:dyDescent="0.35">
      <c r="A45" s="1297"/>
      <c r="B45" s="1297"/>
      <c r="C45" s="1297"/>
      <c r="D45" s="1297"/>
      <c r="E45" s="1297"/>
      <c r="F45" s="1297"/>
      <c r="G45" s="1297"/>
      <c r="H45" s="1297"/>
      <c r="I45" s="1297"/>
      <c r="J45" s="1297"/>
      <c r="K45" s="1297"/>
      <c r="L45" s="1297"/>
      <c r="M45" s="1297"/>
      <c r="N45" s="1297"/>
      <c r="O45" s="1297"/>
    </row>
    <row r="46" spans="1:17" x14ac:dyDescent="0.35">
      <c r="A46" s="1297"/>
      <c r="B46" s="2841"/>
      <c r="C46" s="2841"/>
      <c r="D46" s="2841"/>
      <c r="E46" s="2841"/>
      <c r="F46" s="2841"/>
      <c r="G46" s="2841"/>
      <c r="H46" s="2841"/>
      <c r="I46" s="2841"/>
      <c r="J46" s="2847"/>
      <c r="K46" s="2847"/>
      <c r="L46" s="2847"/>
      <c r="M46" s="2847"/>
      <c r="N46" s="1607"/>
      <c r="O46" s="1295"/>
    </row>
    <row r="47" spans="1:17" x14ac:dyDescent="0.35">
      <c r="A47" s="1297"/>
      <c r="B47" s="1297"/>
      <c r="C47" s="1297"/>
      <c r="D47" s="1297"/>
      <c r="E47" s="1297"/>
      <c r="F47" s="1297"/>
      <c r="G47" s="1297"/>
      <c r="H47" s="1297"/>
      <c r="I47" s="1297"/>
      <c r="J47" s="2847"/>
      <c r="K47" s="2847"/>
      <c r="L47" s="2847"/>
      <c r="M47" s="2847"/>
      <c r="N47" s="1607"/>
      <c r="O47" s="1295"/>
    </row>
    <row r="48" spans="1:17" x14ac:dyDescent="0.35">
      <c r="A48" s="1297"/>
      <c r="B48" s="1297"/>
      <c r="C48" s="1297"/>
      <c r="D48" s="1297"/>
      <c r="E48" s="1297"/>
      <c r="F48" s="1297"/>
      <c r="G48" s="1297"/>
      <c r="H48" s="1297"/>
      <c r="I48" s="1297"/>
      <c r="J48" s="2847"/>
      <c r="K48" s="2847"/>
      <c r="L48" s="2847"/>
      <c r="M48" s="2847"/>
      <c r="N48" s="1607"/>
      <c r="O48" s="1295"/>
    </row>
    <row r="49" spans="1:15" x14ac:dyDescent="0.35">
      <c r="A49" s="1297"/>
      <c r="B49" s="1297"/>
      <c r="C49" s="1297"/>
      <c r="D49" s="1297"/>
      <c r="E49" s="1297"/>
      <c r="F49" s="1297"/>
      <c r="G49" s="1297"/>
      <c r="H49" s="1297"/>
      <c r="I49" s="1297"/>
      <c r="J49" s="2847"/>
      <c r="K49" s="2847"/>
      <c r="L49" s="2847"/>
      <c r="M49" s="2847"/>
      <c r="N49" s="1607"/>
      <c r="O49" s="1295"/>
    </row>
    <row r="50" spans="1:15" x14ac:dyDescent="0.35">
      <c r="A50" s="1297"/>
      <c r="B50" s="1297"/>
      <c r="C50" s="1297"/>
      <c r="D50" s="1297"/>
      <c r="E50" s="1297"/>
      <c r="F50" s="1297"/>
      <c r="G50" s="1297"/>
      <c r="H50" s="1297"/>
      <c r="I50" s="1297"/>
      <c r="J50" s="2847"/>
      <c r="K50" s="2847"/>
      <c r="L50" s="2847"/>
      <c r="M50" s="2847"/>
      <c r="N50" s="1607"/>
      <c r="O50" s="1295"/>
    </row>
    <row r="51" spans="1:15" x14ac:dyDescent="0.35">
      <c r="A51" s="1297"/>
      <c r="B51" s="1297"/>
      <c r="C51" s="1297"/>
      <c r="D51" s="1297"/>
      <c r="E51" s="1297"/>
      <c r="F51" s="1297"/>
      <c r="G51" s="1297"/>
      <c r="H51" s="1297"/>
      <c r="I51" s="1297"/>
      <c r="J51" s="2847"/>
      <c r="K51" s="2847"/>
      <c r="L51" s="2847"/>
      <c r="M51" s="2847"/>
      <c r="N51" s="1607"/>
      <c r="O51" s="1295"/>
    </row>
    <row r="52" spans="1:15" x14ac:dyDescent="0.35">
      <c r="J52" s="2848"/>
      <c r="K52" s="2848"/>
      <c r="L52" s="2848"/>
      <c r="M52" s="2848"/>
      <c r="O52" s="129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Drop Down 1">
              <controlPr defaultSize="0" autoLine="0" autoPict="0">
                <anchor moveWithCells="1">
                  <from>
                    <xdr:col>3</xdr:col>
                    <xdr:colOff>28575</xdr:colOff>
                    <xdr:row>32</xdr:row>
                    <xdr:rowOff>19050</xdr:rowOff>
                  </from>
                  <to>
                    <xdr:col>3</xdr:col>
                    <xdr:colOff>504825</xdr:colOff>
                    <xdr:row>33</xdr:row>
                    <xdr:rowOff>57150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43"/>
  <sheetViews>
    <sheetView showGridLines="0" showRowColHeaders="0" topLeftCell="B1" workbookViewId="0">
      <selection activeCell="H28" sqref="H28"/>
    </sheetView>
  </sheetViews>
  <sheetFormatPr defaultColWidth="9.1328125" defaultRowHeight="11.65" x14ac:dyDescent="0.35"/>
  <cols>
    <col min="1" max="1" width="10.265625" style="163" hidden="1" customWidth="1"/>
    <col min="2" max="2" width="21.3984375" style="163" customWidth="1"/>
    <col min="3" max="3" width="5.265625" style="163" customWidth="1"/>
    <col min="4" max="4" width="15.1328125" style="163" customWidth="1"/>
    <col min="5" max="5" width="7.73046875" style="163" customWidth="1"/>
    <col min="6" max="6" width="5.73046875" style="163" customWidth="1"/>
    <col min="7" max="7" width="5.265625" style="163" customWidth="1"/>
    <col min="8" max="8" width="15.1328125" style="163" customWidth="1"/>
    <col min="9" max="9" width="9.86328125" style="163" customWidth="1"/>
    <col min="10" max="10" width="17.1328125" style="163" customWidth="1"/>
    <col min="11" max="11" width="30.1328125" style="163" customWidth="1"/>
    <col min="12" max="12" width="8" style="163" customWidth="1"/>
    <col min="13" max="13" width="5.265625" style="163" customWidth="1"/>
    <col min="14" max="14" width="10.73046875" style="163" customWidth="1"/>
    <col min="15" max="15" width="5" style="163" customWidth="1"/>
    <col min="16" max="16" width="5.265625" style="163" customWidth="1"/>
    <col min="17" max="17" width="9.86328125" style="163" customWidth="1"/>
    <col min="18" max="18" width="3.86328125" style="163" customWidth="1"/>
    <col min="19" max="19" width="3.265625" style="163" customWidth="1"/>
    <col min="20" max="20" width="5.265625" style="163" customWidth="1"/>
    <col min="21" max="21" width="5.86328125" style="163" customWidth="1"/>
    <col min="22" max="22" width="10.73046875" style="163" customWidth="1"/>
    <col min="23" max="23" width="9.265625" style="163" customWidth="1"/>
    <col min="24" max="16384" width="9.1328125" style="163"/>
  </cols>
  <sheetData>
    <row r="1" spans="1:19" ht="9" customHeight="1" x14ac:dyDescent="0.35">
      <c r="A1" s="164" t="s">
        <v>3566</v>
      </c>
      <c r="B1" s="164"/>
      <c r="C1" s="164"/>
      <c r="D1" s="164"/>
      <c r="E1" s="164"/>
      <c r="F1" s="164"/>
      <c r="G1" s="164"/>
      <c r="H1" s="164"/>
      <c r="I1" s="164"/>
      <c r="J1" s="164"/>
      <c r="K1" s="164"/>
      <c r="L1" s="165"/>
      <c r="M1" s="165"/>
      <c r="N1" s="165"/>
      <c r="O1" s="165"/>
      <c r="P1" s="165"/>
      <c r="Q1" s="165"/>
      <c r="R1" s="165"/>
      <c r="S1" s="165"/>
    </row>
    <row r="2" spans="1:19" ht="9" customHeight="1" x14ac:dyDescent="0.35">
      <c r="A2" s="164">
        <v>13</v>
      </c>
      <c r="B2" s="1164" t="s">
        <v>2304</v>
      </c>
      <c r="C2" s="164"/>
      <c r="D2" s="164"/>
      <c r="E2" s="164"/>
      <c r="F2" s="164"/>
      <c r="G2" s="164"/>
      <c r="H2" s="164"/>
      <c r="I2" s="164"/>
      <c r="J2" s="164"/>
      <c r="K2" s="164"/>
      <c r="L2" s="165"/>
      <c r="M2" s="165"/>
      <c r="N2" s="165"/>
      <c r="O2" s="165"/>
      <c r="P2" s="307"/>
      <c r="Q2" s="308"/>
      <c r="R2" s="307"/>
      <c r="S2" s="165"/>
    </row>
    <row r="3" spans="1:19" ht="9" customHeight="1" x14ac:dyDescent="0.35">
      <c r="A3" s="164">
        <v>13</v>
      </c>
      <c r="B3" s="1164" t="s">
        <v>2305</v>
      </c>
      <c r="C3" s="164"/>
      <c r="D3" s="164"/>
      <c r="E3" s="164"/>
      <c r="F3" s="164"/>
      <c r="G3" s="164"/>
      <c r="H3" s="164"/>
      <c r="I3" s="164"/>
      <c r="J3" s="164"/>
      <c r="K3" s="164"/>
      <c r="L3" s="165"/>
      <c r="M3" s="165"/>
      <c r="N3" s="165"/>
      <c r="O3" s="165"/>
      <c r="P3" s="307"/>
      <c r="Q3" s="307"/>
      <c r="R3" s="307"/>
      <c r="S3" s="165"/>
    </row>
    <row r="4" spans="1:19" ht="12" customHeight="1" x14ac:dyDescent="0.4">
      <c r="A4" s="164">
        <v>14</v>
      </c>
      <c r="B4" s="1164" t="s">
        <v>2966</v>
      </c>
      <c r="C4" s="318" t="s">
        <v>1573</v>
      </c>
      <c r="D4" s="319"/>
      <c r="E4" s="319"/>
      <c r="F4" s="319"/>
      <c r="G4" s="319"/>
      <c r="H4" s="319"/>
      <c r="I4" s="319"/>
      <c r="J4" s="1008" t="s">
        <v>3566</v>
      </c>
      <c r="K4" s="164"/>
      <c r="L4" s="165"/>
      <c r="M4" s="165"/>
      <c r="N4" s="165"/>
      <c r="O4" s="165"/>
      <c r="P4" s="314"/>
      <c r="Q4" s="312"/>
      <c r="R4" s="307"/>
      <c r="S4" s="165"/>
    </row>
    <row r="5" spans="1:19" ht="9.75" customHeight="1" x14ac:dyDescent="0.35">
      <c r="A5" s="164">
        <v>14</v>
      </c>
      <c r="B5" s="1164" t="s">
        <v>680</v>
      </c>
      <c r="C5" s="309"/>
      <c r="D5" s="310"/>
      <c r="E5" s="310"/>
      <c r="F5" s="310"/>
      <c r="G5" s="310"/>
      <c r="H5" s="310"/>
      <c r="I5" s="310"/>
      <c r="J5" s="311"/>
      <c r="K5" s="164"/>
      <c r="L5" s="165"/>
      <c r="M5" s="165"/>
      <c r="N5" s="165"/>
      <c r="O5" s="165"/>
      <c r="P5" s="314"/>
      <c r="Q5" s="312"/>
      <c r="R5" s="307"/>
      <c r="S5" s="165"/>
    </row>
    <row r="6" spans="1:19" ht="12.75" customHeight="1" x14ac:dyDescent="0.35">
      <c r="A6" s="164">
        <v>15</v>
      </c>
      <c r="B6" s="1164" t="s">
        <v>1570</v>
      </c>
      <c r="C6" s="1171" t="s">
        <v>6302</v>
      </c>
      <c r="D6" s="310"/>
      <c r="E6" s="310"/>
      <c r="F6" s="310"/>
      <c r="G6" s="310"/>
      <c r="H6" s="310"/>
      <c r="I6" s="310"/>
      <c r="J6" s="311"/>
      <c r="K6" s="164"/>
      <c r="L6" s="165"/>
      <c r="M6" s="165"/>
      <c r="N6" s="165"/>
      <c r="O6" s="165"/>
      <c r="P6" s="307"/>
      <c r="Q6" s="312"/>
      <c r="R6" s="307"/>
      <c r="S6" s="165"/>
    </row>
    <row r="7" spans="1:19" ht="12.75" customHeight="1" x14ac:dyDescent="0.35">
      <c r="A7" s="164">
        <v>15</v>
      </c>
      <c r="B7" s="1164"/>
      <c r="C7" s="168">
        <f>A2</f>
        <v>13</v>
      </c>
      <c r="D7" s="317" t="s">
        <v>6300</v>
      </c>
      <c r="E7" s="310"/>
      <c r="F7" s="310"/>
      <c r="G7" s="310"/>
      <c r="H7" s="310"/>
      <c r="I7" s="310"/>
      <c r="J7" s="311"/>
      <c r="K7" s="164"/>
      <c r="L7" s="165"/>
      <c r="M7" s="165"/>
      <c r="N7" s="165"/>
      <c r="O7" s="165"/>
      <c r="P7" s="314"/>
      <c r="Q7" s="312"/>
      <c r="R7" s="307"/>
      <c r="S7" s="165"/>
    </row>
    <row r="8" spans="1:19" ht="12.75" customHeight="1" x14ac:dyDescent="0.35">
      <c r="A8" s="164">
        <v>21</v>
      </c>
      <c r="B8" s="1164"/>
      <c r="C8" s="322"/>
      <c r="D8" s="326"/>
      <c r="E8" s="310"/>
      <c r="F8" s="310"/>
      <c r="G8" s="310"/>
      <c r="H8" s="310"/>
      <c r="I8" s="310"/>
      <c r="J8" s="311"/>
      <c r="K8" s="164"/>
      <c r="L8" s="165"/>
      <c r="M8" s="165"/>
      <c r="N8" s="165"/>
      <c r="O8" s="165"/>
      <c r="P8" s="307"/>
      <c r="Q8" s="312"/>
      <c r="R8" s="307"/>
      <c r="S8" s="165"/>
    </row>
    <row r="9" spans="1:19" ht="12.75" customHeight="1" x14ac:dyDescent="0.35">
      <c r="A9" s="164">
        <v>22</v>
      </c>
      <c r="B9" s="1164"/>
      <c r="C9" s="309"/>
      <c r="D9" s="310"/>
      <c r="E9" s="310"/>
      <c r="F9" s="310"/>
      <c r="G9" s="310"/>
      <c r="H9" s="310"/>
      <c r="I9" s="310"/>
      <c r="J9" s="311"/>
      <c r="K9" s="164"/>
      <c r="L9" s="165"/>
      <c r="M9" s="165"/>
      <c r="N9" s="165"/>
      <c r="O9" s="165"/>
      <c r="P9" s="307"/>
      <c r="Q9" s="312"/>
      <c r="R9" s="307"/>
      <c r="S9" s="165"/>
    </row>
    <row r="10" spans="1:19" ht="12.75" customHeight="1" x14ac:dyDescent="0.35">
      <c r="A10" s="164">
        <v>33</v>
      </c>
      <c r="B10" s="1164" t="s">
        <v>682</v>
      </c>
      <c r="C10" s="168">
        <f>A4</f>
        <v>14</v>
      </c>
      <c r="D10" s="317" t="s">
        <v>4687</v>
      </c>
      <c r="E10" s="310"/>
      <c r="F10" s="310"/>
      <c r="G10" s="168">
        <f>A6</f>
        <v>15</v>
      </c>
      <c r="H10" s="317" t="s">
        <v>1731</v>
      </c>
      <c r="I10" s="310"/>
      <c r="J10" s="311"/>
      <c r="K10" s="164"/>
      <c r="L10" s="165"/>
      <c r="M10" s="165"/>
      <c r="N10" s="165"/>
      <c r="O10" s="165"/>
      <c r="P10" s="314"/>
      <c r="Q10" s="313"/>
      <c r="R10" s="307"/>
      <c r="S10" s="165"/>
    </row>
    <row r="11" spans="1:19" ht="12.75" customHeight="1" x14ac:dyDescent="0.35">
      <c r="A11" s="164">
        <v>38</v>
      </c>
      <c r="B11" s="1164" t="s">
        <v>1986</v>
      </c>
      <c r="C11" s="322"/>
      <c r="D11" s="326"/>
      <c r="E11" s="310"/>
      <c r="F11" s="310"/>
      <c r="G11" s="310"/>
      <c r="H11" s="326"/>
      <c r="I11" s="310"/>
      <c r="J11" s="311"/>
      <c r="K11" s="164"/>
      <c r="L11" s="165"/>
      <c r="M11" s="165"/>
      <c r="N11" s="165"/>
      <c r="O11" s="165"/>
      <c r="P11" s="314"/>
      <c r="Q11" s="313"/>
      <c r="R11" s="307"/>
      <c r="S11" s="165"/>
    </row>
    <row r="12" spans="1:19" x14ac:dyDescent="0.35">
      <c r="A12" s="164">
        <v>39</v>
      </c>
      <c r="B12" s="1164"/>
      <c r="C12" s="309"/>
      <c r="D12" s="310"/>
      <c r="E12" s="310"/>
      <c r="F12" s="310"/>
      <c r="G12" s="310"/>
      <c r="H12" s="310"/>
      <c r="I12" s="310"/>
      <c r="J12" s="311"/>
      <c r="K12" s="164"/>
      <c r="L12" s="165"/>
      <c r="M12" s="165"/>
      <c r="N12" s="165"/>
      <c r="O12" s="165"/>
      <c r="P12" s="165"/>
      <c r="Q12" s="165"/>
      <c r="R12" s="165"/>
      <c r="S12" s="165"/>
    </row>
    <row r="13" spans="1:19" ht="12.75" customHeight="1" x14ac:dyDescent="0.35">
      <c r="A13" s="164">
        <v>40</v>
      </c>
      <c r="B13" s="1164" t="s">
        <v>4060</v>
      </c>
      <c r="C13" s="1171" t="s">
        <v>6303</v>
      </c>
      <c r="D13" s="310"/>
      <c r="E13" s="310"/>
      <c r="F13" s="310"/>
      <c r="G13" s="310"/>
      <c r="H13" s="310"/>
      <c r="I13" s="310"/>
      <c r="J13" s="311"/>
      <c r="K13" s="164"/>
      <c r="L13" s="165"/>
      <c r="M13" s="165"/>
      <c r="N13" s="165"/>
      <c r="O13" s="165"/>
      <c r="P13" s="307"/>
      <c r="Q13" s="312"/>
      <c r="R13" s="307"/>
      <c r="S13" s="165"/>
    </row>
    <row r="14" spans="1:19" x14ac:dyDescent="0.35">
      <c r="A14" s="164">
        <v>42</v>
      </c>
      <c r="B14" s="1164"/>
      <c r="C14" s="168">
        <f>A3</f>
        <v>13</v>
      </c>
      <c r="D14" s="317" t="s">
        <v>6301</v>
      </c>
      <c r="E14" s="310"/>
      <c r="F14" s="310"/>
      <c r="G14" s="310"/>
      <c r="H14" s="310"/>
      <c r="I14" s="310"/>
      <c r="J14" s="311"/>
      <c r="K14" s="164"/>
      <c r="L14" s="165"/>
      <c r="M14" s="165"/>
      <c r="N14" s="165"/>
      <c r="O14" s="165"/>
      <c r="P14" s="307"/>
      <c r="Q14" s="312"/>
      <c r="R14" s="307"/>
      <c r="S14" s="165"/>
    </row>
    <row r="15" spans="1:19" ht="12.75" customHeight="1" x14ac:dyDescent="0.35">
      <c r="A15" s="164">
        <v>44</v>
      </c>
      <c r="B15" s="1164"/>
      <c r="C15" s="322"/>
      <c r="D15" s="326"/>
      <c r="E15" s="310"/>
      <c r="F15" s="310"/>
      <c r="G15" s="310"/>
      <c r="H15" s="310"/>
      <c r="I15" s="310"/>
      <c r="J15" s="311"/>
      <c r="K15" s="164"/>
      <c r="L15" s="165"/>
      <c r="M15" s="165"/>
      <c r="N15" s="165"/>
      <c r="O15" s="165"/>
      <c r="P15" s="307"/>
      <c r="Q15" s="312"/>
      <c r="R15" s="307"/>
      <c r="S15" s="165"/>
    </row>
    <row r="16" spans="1:19" ht="12.75" customHeight="1" x14ac:dyDescent="0.35">
      <c r="A16" s="164"/>
      <c r="B16" s="1164"/>
      <c r="C16" s="309"/>
      <c r="D16" s="310"/>
      <c r="E16" s="310"/>
      <c r="F16" s="310"/>
      <c r="G16" s="310"/>
      <c r="H16" s="310"/>
      <c r="I16" s="310"/>
      <c r="J16" s="311"/>
      <c r="K16" s="164"/>
      <c r="L16" s="165"/>
      <c r="M16" s="165"/>
      <c r="N16" s="165"/>
      <c r="O16" s="165"/>
      <c r="P16" s="307"/>
      <c r="Q16" s="312"/>
      <c r="R16" s="307"/>
      <c r="S16" s="165"/>
    </row>
    <row r="17" spans="1:20" ht="12.75" customHeight="1" x14ac:dyDescent="0.35">
      <c r="A17" s="164"/>
      <c r="B17" s="1164" t="s">
        <v>3588</v>
      </c>
      <c r="C17" s="168">
        <f>A5</f>
        <v>14</v>
      </c>
      <c r="D17" s="317" t="s">
        <v>4688</v>
      </c>
      <c r="E17" s="310"/>
      <c r="F17" s="310"/>
      <c r="G17" s="168">
        <f>A6</f>
        <v>15</v>
      </c>
      <c r="H17" s="317" t="s">
        <v>1732</v>
      </c>
      <c r="I17" s="310"/>
      <c r="J17" s="311"/>
      <c r="K17" s="164"/>
      <c r="L17" s="165"/>
      <c r="M17" s="165"/>
      <c r="N17" s="165"/>
      <c r="O17" s="165"/>
      <c r="P17" s="307"/>
      <c r="Q17" s="315"/>
      <c r="R17" s="307"/>
      <c r="S17" s="165"/>
    </row>
    <row r="18" spans="1:20" ht="12.75" customHeight="1" x14ac:dyDescent="0.35">
      <c r="A18" s="164"/>
      <c r="B18" s="1164" t="s">
        <v>3589</v>
      </c>
      <c r="C18" s="322"/>
      <c r="D18" s="326"/>
      <c r="E18" s="310"/>
      <c r="F18" s="310"/>
      <c r="G18" s="310"/>
      <c r="H18" s="172"/>
      <c r="I18" s="310"/>
      <c r="J18" s="311"/>
      <c r="K18" s="164"/>
      <c r="L18" s="165"/>
      <c r="M18" s="165"/>
      <c r="N18" s="165"/>
      <c r="O18" s="165"/>
      <c r="P18" s="307"/>
      <c r="Q18" s="315"/>
      <c r="R18" s="307"/>
      <c r="S18" s="165"/>
    </row>
    <row r="19" spans="1:20" ht="12.75" customHeight="1" x14ac:dyDescent="0.35">
      <c r="A19" s="164"/>
      <c r="B19" s="164"/>
      <c r="C19" s="322"/>
      <c r="D19" s="310"/>
      <c r="E19" s="310"/>
      <c r="F19" s="310"/>
      <c r="G19" s="310"/>
      <c r="H19" s="310"/>
      <c r="I19" s="310"/>
      <c r="J19" s="311"/>
      <c r="K19" s="164"/>
      <c r="L19" s="165"/>
      <c r="M19" s="165"/>
      <c r="N19" s="165"/>
      <c r="O19" s="165"/>
      <c r="P19" s="307"/>
      <c r="Q19" s="315"/>
      <c r="R19" s="307"/>
      <c r="S19" s="165"/>
    </row>
    <row r="20" spans="1:20" x14ac:dyDescent="0.35">
      <c r="A20" s="164"/>
      <c r="B20" s="164"/>
      <c r="C20" s="1171" t="s">
        <v>1574</v>
      </c>
      <c r="D20" s="310"/>
      <c r="E20" s="310"/>
      <c r="F20" s="310"/>
      <c r="G20" s="310"/>
      <c r="H20" s="310"/>
      <c r="I20" s="310"/>
      <c r="J20" s="311"/>
      <c r="K20" s="164"/>
      <c r="L20" s="165"/>
      <c r="M20" s="165"/>
      <c r="N20" s="165"/>
      <c r="O20" s="165"/>
      <c r="P20" s="307"/>
      <c r="Q20" s="315"/>
      <c r="R20" s="307"/>
      <c r="S20" s="165"/>
    </row>
    <row r="21" spans="1:20" ht="12.75" customHeight="1" x14ac:dyDescent="0.35">
      <c r="A21" s="164"/>
      <c r="B21" s="164"/>
      <c r="C21" s="168">
        <f>A8</f>
        <v>21</v>
      </c>
      <c r="D21" s="317" t="s">
        <v>1575</v>
      </c>
      <c r="E21" s="310"/>
      <c r="F21" s="310"/>
      <c r="G21" s="168">
        <f>A9</f>
        <v>22</v>
      </c>
      <c r="H21" s="317" t="s">
        <v>1576</v>
      </c>
      <c r="I21" s="310"/>
      <c r="J21" s="311"/>
      <c r="K21" s="164"/>
      <c r="L21" s="165"/>
      <c r="M21" s="165"/>
      <c r="N21" s="165"/>
      <c r="O21" s="165"/>
      <c r="P21" s="307"/>
      <c r="Q21" s="315"/>
      <c r="R21" s="307"/>
      <c r="S21" s="165"/>
    </row>
    <row r="22" spans="1:20" ht="12.75" customHeight="1" x14ac:dyDescent="0.35">
      <c r="A22" s="164"/>
      <c r="B22" s="164"/>
      <c r="C22" s="322"/>
      <c r="D22" s="283"/>
      <c r="E22" s="310"/>
      <c r="F22" s="310"/>
      <c r="G22" s="310"/>
      <c r="H22" s="326"/>
      <c r="I22" s="310"/>
      <c r="J22" s="311"/>
      <c r="K22" s="164"/>
      <c r="L22" s="165"/>
      <c r="M22" s="165"/>
      <c r="N22" s="165"/>
      <c r="O22" s="165"/>
      <c r="P22" s="307"/>
      <c r="Q22" s="312"/>
      <c r="R22" s="307"/>
      <c r="S22" s="165"/>
    </row>
    <row r="23" spans="1:20" ht="12.75" customHeight="1" x14ac:dyDescent="0.35">
      <c r="A23" s="164"/>
      <c r="B23" s="164"/>
      <c r="C23" s="1849" t="s">
        <v>4757</v>
      </c>
      <c r="D23" s="310"/>
      <c r="E23" s="310"/>
      <c r="F23" s="310"/>
      <c r="G23" s="310"/>
      <c r="H23" s="310"/>
      <c r="I23" s="310"/>
      <c r="J23" s="311"/>
      <c r="K23" s="164"/>
      <c r="L23" s="165"/>
      <c r="M23" s="165"/>
      <c r="N23" s="165"/>
      <c r="O23" s="165"/>
      <c r="P23" s="307"/>
      <c r="Q23" s="307"/>
      <c r="R23" s="307"/>
      <c r="S23" s="165"/>
      <c r="T23" s="316"/>
    </row>
    <row r="24" spans="1:20" ht="12.75" customHeight="1" x14ac:dyDescent="0.35">
      <c r="A24" s="164"/>
      <c r="B24" s="164"/>
      <c r="C24" s="322"/>
      <c r="D24" s="310"/>
      <c r="E24" s="310"/>
      <c r="F24" s="310"/>
      <c r="G24" s="168">
        <f>A10</f>
        <v>33</v>
      </c>
      <c r="H24" s="317" t="s">
        <v>3965</v>
      </c>
      <c r="I24" s="310"/>
      <c r="J24" s="311"/>
      <c r="K24" s="164"/>
      <c r="L24" s="165"/>
      <c r="M24" s="165"/>
      <c r="N24" s="165"/>
      <c r="O24" s="165"/>
      <c r="P24" s="165"/>
      <c r="Q24" s="165"/>
      <c r="R24" s="307"/>
      <c r="S24" s="165"/>
      <c r="T24" s="316"/>
    </row>
    <row r="25" spans="1:20" ht="12.75" customHeight="1" x14ac:dyDescent="0.35">
      <c r="A25" s="164"/>
      <c r="B25" s="164"/>
      <c r="C25" s="322"/>
      <c r="D25" s="310"/>
      <c r="E25" s="310"/>
      <c r="F25" s="310"/>
      <c r="G25" s="310"/>
      <c r="H25" s="326"/>
      <c r="I25" s="310"/>
      <c r="J25" s="311"/>
      <c r="K25" s="164"/>
      <c r="L25" s="165"/>
      <c r="M25" s="165"/>
      <c r="N25" s="165"/>
      <c r="O25" s="165"/>
      <c r="P25" s="165"/>
      <c r="Q25" s="165"/>
      <c r="R25" s="307"/>
      <c r="S25" s="165"/>
      <c r="T25" s="316"/>
    </row>
    <row r="26" spans="1:20" x14ac:dyDescent="0.35">
      <c r="A26" s="164"/>
      <c r="B26" s="164"/>
      <c r="C26" s="309"/>
      <c r="D26" s="310"/>
      <c r="E26" s="310"/>
      <c r="F26" s="310"/>
      <c r="G26" s="310"/>
      <c r="H26" s="310"/>
      <c r="I26" s="310"/>
      <c r="J26" s="311"/>
      <c r="K26" s="164"/>
      <c r="L26" s="165"/>
      <c r="M26" s="165"/>
      <c r="N26" s="165"/>
      <c r="O26" s="165"/>
      <c r="P26" s="165"/>
      <c r="Q26" s="165"/>
      <c r="R26" s="307"/>
      <c r="S26" s="165"/>
      <c r="T26" s="316"/>
    </row>
    <row r="27" spans="1:20" x14ac:dyDescent="0.35">
      <c r="A27" s="164"/>
      <c r="B27" s="164"/>
      <c r="C27" s="322"/>
      <c r="D27" s="310"/>
      <c r="E27" s="310"/>
      <c r="F27" s="310"/>
      <c r="G27" s="168">
        <f>A11</f>
        <v>38</v>
      </c>
      <c r="H27" s="317" t="s">
        <v>5669</v>
      </c>
      <c r="I27" s="310"/>
      <c r="J27" s="311"/>
      <c r="K27" s="164"/>
      <c r="L27" s="165"/>
      <c r="M27" s="165"/>
      <c r="N27" s="165"/>
      <c r="O27" s="165"/>
      <c r="P27" s="307"/>
      <c r="Q27" s="307"/>
      <c r="R27" s="307"/>
      <c r="S27" s="165"/>
      <c r="T27" s="316"/>
    </row>
    <row r="28" spans="1:20" x14ac:dyDescent="0.35">
      <c r="A28" s="164"/>
      <c r="B28" s="164"/>
      <c r="C28" s="322"/>
      <c r="D28" s="310"/>
      <c r="E28" s="310"/>
      <c r="F28" s="310"/>
      <c r="G28" s="310"/>
      <c r="H28" s="326"/>
      <c r="I28" s="310"/>
      <c r="J28" s="311"/>
      <c r="K28" s="164"/>
      <c r="L28" s="165"/>
      <c r="M28" s="165"/>
      <c r="N28" s="165"/>
      <c r="O28" s="165"/>
      <c r="P28" s="165"/>
      <c r="Q28" s="165"/>
      <c r="R28" s="307"/>
      <c r="S28" s="165"/>
      <c r="T28" s="316"/>
    </row>
    <row r="29" spans="1:20" x14ac:dyDescent="0.35">
      <c r="A29" s="164"/>
      <c r="B29" s="164"/>
      <c r="C29" s="309"/>
      <c r="D29" s="310"/>
      <c r="E29" s="310"/>
      <c r="F29" s="310"/>
      <c r="G29" s="310"/>
      <c r="H29" s="310"/>
      <c r="I29" s="310"/>
      <c r="J29" s="311"/>
      <c r="K29" s="164"/>
      <c r="L29" s="165"/>
      <c r="M29" s="165"/>
      <c r="N29" s="165"/>
      <c r="O29" s="165"/>
      <c r="P29" s="165"/>
      <c r="Q29" s="165"/>
      <c r="R29" s="307"/>
      <c r="S29" s="165"/>
      <c r="T29" s="316"/>
    </row>
    <row r="30" spans="1:20" x14ac:dyDescent="0.35">
      <c r="A30" s="164"/>
      <c r="B30" s="164"/>
      <c r="C30" s="322"/>
      <c r="D30" s="310"/>
      <c r="E30" s="310"/>
      <c r="F30" s="310"/>
      <c r="G30" s="168">
        <f>A12</f>
        <v>39</v>
      </c>
      <c r="H30" s="317" t="s">
        <v>4500</v>
      </c>
      <c r="I30" s="310"/>
      <c r="J30" s="311"/>
      <c r="K30" s="164"/>
      <c r="L30" s="165"/>
      <c r="M30" s="165"/>
      <c r="N30" s="165"/>
      <c r="O30" s="165"/>
      <c r="P30" s="165"/>
      <c r="Q30" s="165"/>
      <c r="R30" s="307"/>
      <c r="S30" s="165"/>
      <c r="T30" s="316"/>
    </row>
    <row r="31" spans="1:20" x14ac:dyDescent="0.35">
      <c r="B31" s="164"/>
      <c r="C31" s="322"/>
      <c r="D31" s="310"/>
      <c r="E31" s="310"/>
      <c r="F31" s="310"/>
      <c r="G31" s="310"/>
      <c r="H31" s="326"/>
      <c r="I31" s="310"/>
      <c r="J31" s="311"/>
      <c r="K31" s="164"/>
      <c r="L31" s="165"/>
      <c r="M31" s="165"/>
      <c r="N31" s="165"/>
      <c r="O31" s="165"/>
      <c r="P31" s="165"/>
      <c r="Q31" s="165"/>
      <c r="R31" s="165"/>
      <c r="S31" s="165"/>
    </row>
    <row r="32" spans="1:20" x14ac:dyDescent="0.35">
      <c r="B32" s="228"/>
      <c r="C32" s="321"/>
      <c r="D32" s="310"/>
      <c r="E32" s="310"/>
      <c r="F32" s="310"/>
      <c r="G32" s="310"/>
      <c r="H32" s="310"/>
      <c r="I32" s="310"/>
      <c r="J32" s="311"/>
      <c r="K32" s="228"/>
    </row>
    <row r="33" spans="2:11" x14ac:dyDescent="0.35">
      <c r="B33" s="228"/>
      <c r="C33" s="321"/>
      <c r="D33" s="317"/>
      <c r="E33" s="310"/>
      <c r="F33" s="310"/>
      <c r="G33" s="168">
        <f>A13</f>
        <v>40</v>
      </c>
      <c r="H33" s="317" t="s">
        <v>3574</v>
      </c>
      <c r="I33" s="310"/>
      <c r="J33" s="311"/>
      <c r="K33" s="228"/>
    </row>
    <row r="34" spans="2:11" x14ac:dyDescent="0.35">
      <c r="B34" s="228"/>
      <c r="C34" s="321"/>
      <c r="D34" s="317"/>
      <c r="E34" s="310"/>
      <c r="F34" s="310"/>
      <c r="G34" s="310"/>
      <c r="H34" s="326"/>
      <c r="I34" s="310"/>
      <c r="J34" s="311"/>
      <c r="K34" s="228"/>
    </row>
    <row r="35" spans="2:11" x14ac:dyDescent="0.35">
      <c r="B35" s="228"/>
      <c r="C35" s="322"/>
      <c r="D35" s="310"/>
      <c r="E35" s="310"/>
      <c r="F35" s="310"/>
      <c r="G35" s="310"/>
      <c r="H35" s="310"/>
      <c r="I35" s="310"/>
      <c r="J35" s="311"/>
      <c r="K35" s="228"/>
    </row>
    <row r="36" spans="2:11" x14ac:dyDescent="0.35">
      <c r="B36" s="228"/>
      <c r="C36" s="322"/>
      <c r="D36" s="310"/>
      <c r="E36" s="310"/>
      <c r="F36" s="310"/>
      <c r="G36" s="168">
        <f>A14</f>
        <v>42</v>
      </c>
      <c r="H36" s="261" t="str">
        <f>"Loss set against "&amp;tax_year&amp;" income"</f>
        <v>Loss set against 2017-18 income</v>
      </c>
      <c r="I36" s="310"/>
      <c r="J36" s="311"/>
      <c r="K36" s="228"/>
    </row>
    <row r="37" spans="2:11" x14ac:dyDescent="0.35">
      <c r="B37" s="228"/>
      <c r="C37" s="322"/>
      <c r="D37" s="310"/>
      <c r="E37" s="310"/>
      <c r="F37" s="310"/>
      <c r="G37" s="310"/>
      <c r="H37" s="172"/>
      <c r="I37" s="310"/>
      <c r="J37" s="311"/>
      <c r="K37" s="228"/>
    </row>
    <row r="38" spans="2:11" x14ac:dyDescent="0.35">
      <c r="B38" s="228"/>
      <c r="C38" s="322"/>
      <c r="D38" s="310"/>
      <c r="E38" s="310"/>
      <c r="F38" s="310"/>
      <c r="G38" s="310"/>
      <c r="H38" s="310"/>
      <c r="I38" s="310"/>
      <c r="J38" s="311"/>
      <c r="K38" s="228"/>
    </row>
    <row r="39" spans="2:11" x14ac:dyDescent="0.35">
      <c r="B39" s="228"/>
      <c r="C39" s="322"/>
      <c r="D39" s="310"/>
      <c r="E39" s="310"/>
      <c r="F39" s="310"/>
      <c r="G39" s="1610">
        <f>A15</f>
        <v>44</v>
      </c>
      <c r="H39" s="1611" t="s">
        <v>6995</v>
      </c>
      <c r="I39" s="1847"/>
      <c r="J39" s="1848"/>
      <c r="K39" s="228"/>
    </row>
    <row r="40" spans="2:11" x14ac:dyDescent="0.35">
      <c r="B40" s="228"/>
      <c r="C40" s="322"/>
      <c r="D40" s="310"/>
      <c r="E40" s="310"/>
      <c r="F40" s="310"/>
      <c r="G40" s="310"/>
      <c r="H40" s="172"/>
      <c r="I40" s="310"/>
      <c r="J40" s="311"/>
      <c r="K40" s="228"/>
    </row>
    <row r="41" spans="2:11" x14ac:dyDescent="0.35">
      <c r="B41" s="228"/>
      <c r="C41" s="323"/>
      <c r="D41" s="324"/>
      <c r="E41" s="324"/>
      <c r="F41" s="324"/>
      <c r="G41" s="324"/>
      <c r="H41" s="324"/>
      <c r="I41" s="324"/>
      <c r="J41" s="325"/>
      <c r="K41" s="228"/>
    </row>
    <row r="42" spans="2:11" x14ac:dyDescent="0.35">
      <c r="B42" s="228"/>
      <c r="C42" s="228"/>
      <c r="D42" s="228"/>
      <c r="E42" s="164"/>
      <c r="F42" s="164"/>
      <c r="G42" s="178"/>
      <c r="H42" s="164"/>
      <c r="I42" s="164"/>
      <c r="J42" s="164"/>
      <c r="K42" s="228"/>
    </row>
    <row r="43" spans="2:11" x14ac:dyDescent="0.35">
      <c r="B43" s="228"/>
      <c r="C43" s="228"/>
      <c r="D43" s="228"/>
      <c r="E43" s="164"/>
      <c r="F43" s="164"/>
      <c r="G43" s="178"/>
      <c r="H43" s="164"/>
      <c r="I43" s="164"/>
      <c r="J43" s="164"/>
      <c r="K43" s="228"/>
    </row>
  </sheetData>
  <sheetProtection sheet="1" objects="1" scenarios="1"/>
  <phoneticPr fontId="68" type="noConversion"/>
  <pageMargins left="0.75" right="0.75" top="1" bottom="1" header="0.5" footer="0.5"/>
  <pageSetup paperSize="9" orientation="landscape" r:id="rId1"/>
  <headerFooter alignWithMargins="0"/>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W40"/>
  <sheetViews>
    <sheetView showGridLines="0" topLeftCell="B4" workbookViewId="0">
      <selection activeCell="D10" sqref="D10"/>
    </sheetView>
  </sheetViews>
  <sheetFormatPr defaultColWidth="9.1328125" defaultRowHeight="11.65" x14ac:dyDescent="0.35"/>
  <cols>
    <col min="1" max="1" width="5" style="115" hidden="1" customWidth="1"/>
    <col min="2" max="2" width="3.265625" style="115" customWidth="1"/>
    <col min="3" max="3" width="4.73046875" style="115" customWidth="1"/>
    <col min="4" max="4" width="13.59765625" style="330" customWidth="1"/>
    <col min="5" max="5" width="7" style="115" customWidth="1"/>
    <col min="6" max="6" width="6.59765625" style="115" customWidth="1"/>
    <col min="7" max="7" width="5.3984375" style="115" customWidth="1"/>
    <col min="8" max="8" width="15.1328125" style="115" customWidth="1"/>
    <col min="9" max="9" width="7.59765625" style="115" customWidth="1"/>
    <col min="10" max="10" width="5.1328125" style="115" customWidth="1"/>
    <col min="11" max="11" width="5.3984375" style="115" customWidth="1"/>
    <col min="12" max="12" width="13.59765625" style="115" customWidth="1"/>
    <col min="13" max="13" width="5.1328125" style="115" customWidth="1"/>
    <col min="14" max="14" width="4.1328125" style="115" customWidth="1"/>
    <col min="15" max="15" width="4.73046875" style="115" customWidth="1"/>
    <col min="16" max="16" width="13.86328125" style="115" customWidth="1"/>
    <col min="17" max="17" width="13.3984375" style="115" customWidth="1"/>
    <col min="18" max="18" width="2.86328125" style="115" customWidth="1"/>
    <col min="19" max="19" width="9.86328125" style="115" hidden="1" customWidth="1"/>
    <col min="20" max="16384" width="9.1328125" style="115"/>
  </cols>
  <sheetData>
    <row r="1" spans="1:23" x14ac:dyDescent="0.35">
      <c r="A1" s="115" t="s">
        <v>3567</v>
      </c>
      <c r="B1" s="85"/>
      <c r="C1" s="85"/>
      <c r="D1" s="328"/>
      <c r="E1" s="85"/>
      <c r="F1" s="85"/>
      <c r="G1" s="85"/>
      <c r="H1" s="85"/>
      <c r="I1" s="85"/>
      <c r="J1" s="85"/>
      <c r="K1" s="85"/>
      <c r="L1" s="85"/>
      <c r="M1" s="85"/>
      <c r="N1" s="85"/>
      <c r="O1" s="85"/>
      <c r="P1" s="85"/>
      <c r="Q1" s="85"/>
      <c r="R1" s="85"/>
      <c r="T1" s="148"/>
      <c r="U1" s="148"/>
      <c r="V1" s="148"/>
      <c r="W1" s="148"/>
    </row>
    <row r="2" spans="1:23" ht="12" customHeight="1" x14ac:dyDescent="0.4">
      <c r="A2" s="115">
        <v>2</v>
      </c>
      <c r="B2" s="85"/>
      <c r="C2" s="318" t="s">
        <v>3575</v>
      </c>
      <c r="D2" s="329"/>
      <c r="E2" s="319"/>
      <c r="F2" s="319"/>
      <c r="G2" s="319"/>
      <c r="H2" s="319"/>
      <c r="I2" s="319"/>
      <c r="J2" s="463" t="s">
        <v>3567</v>
      </c>
      <c r="K2" s="340"/>
      <c r="L2" s="319"/>
      <c r="M2" s="319"/>
      <c r="N2" s="319"/>
      <c r="O2" s="319"/>
      <c r="P2" s="319"/>
      <c r="Q2" s="460" t="s">
        <v>3567</v>
      </c>
      <c r="R2" s="85"/>
      <c r="S2" s="148"/>
      <c r="T2" s="148"/>
      <c r="U2" s="148"/>
      <c r="V2" s="148"/>
      <c r="W2" s="148"/>
    </row>
    <row r="3" spans="1:23" ht="12" customHeight="1" x14ac:dyDescent="0.4">
      <c r="A3" s="115">
        <v>3</v>
      </c>
      <c r="B3" s="85"/>
      <c r="C3" s="335"/>
      <c r="D3" s="317"/>
      <c r="E3" s="310"/>
      <c r="F3" s="310"/>
      <c r="G3" s="310"/>
      <c r="H3" s="310"/>
      <c r="I3" s="310"/>
      <c r="J3" s="310"/>
      <c r="K3" s="342" t="s">
        <v>4685</v>
      </c>
      <c r="L3" s="310"/>
      <c r="M3" s="310"/>
      <c r="N3" s="310"/>
      <c r="O3" s="310"/>
      <c r="P3" s="310"/>
      <c r="Q3" s="311"/>
      <c r="R3" s="85"/>
      <c r="S3" s="148"/>
      <c r="T3" s="148"/>
      <c r="U3" s="148"/>
      <c r="V3" s="148"/>
      <c r="W3" s="148"/>
    </row>
    <row r="4" spans="1:23" x14ac:dyDescent="0.35">
      <c r="A4" s="115">
        <v>4</v>
      </c>
      <c r="B4" s="85"/>
      <c r="C4" s="309"/>
      <c r="D4" s="317"/>
      <c r="E4" s="310"/>
      <c r="F4" s="310"/>
      <c r="G4" s="310"/>
      <c r="H4" s="310"/>
      <c r="I4" s="310"/>
      <c r="J4" s="310"/>
      <c r="K4" s="322"/>
      <c r="L4" s="310"/>
      <c r="M4" s="310"/>
      <c r="N4" s="310"/>
      <c r="O4" s="310"/>
      <c r="P4" s="310"/>
      <c r="Q4" s="311"/>
      <c r="R4" s="85"/>
      <c r="S4" s="148"/>
      <c r="T4" s="148"/>
      <c r="U4" s="148"/>
      <c r="V4" s="148"/>
      <c r="W4" s="148"/>
    </row>
    <row r="5" spans="1:23" ht="12" customHeight="1" x14ac:dyDescent="0.35">
      <c r="A5" s="115">
        <v>5</v>
      </c>
      <c r="B5" s="85"/>
      <c r="C5" s="309"/>
      <c r="D5" s="317"/>
      <c r="E5" s="310"/>
      <c r="F5" s="310"/>
      <c r="G5" s="310"/>
      <c r="H5" s="310"/>
      <c r="I5" s="310"/>
      <c r="J5" s="310"/>
      <c r="K5" s="1658">
        <f>A15</f>
        <v>24</v>
      </c>
      <c r="L5" s="1519" t="s">
        <v>6072</v>
      </c>
      <c r="M5" s="310"/>
      <c r="N5" s="310"/>
      <c r="O5" s="1658">
        <f>A16</f>
        <v>24.1</v>
      </c>
      <c r="P5" s="1519" t="s">
        <v>6995</v>
      </c>
      <c r="Q5" s="1848"/>
      <c r="R5" s="85"/>
      <c r="S5" s="148"/>
      <c r="T5" s="148"/>
      <c r="U5" s="148"/>
      <c r="V5" s="148"/>
      <c r="W5" s="148"/>
    </row>
    <row r="6" spans="1:23" ht="12" customHeight="1" x14ac:dyDescent="0.35">
      <c r="A6" s="115">
        <v>6</v>
      </c>
      <c r="B6" s="85"/>
      <c r="C6" s="309"/>
      <c r="D6" s="317"/>
      <c r="E6" s="310"/>
      <c r="F6" s="310"/>
      <c r="G6" s="310"/>
      <c r="H6" s="310"/>
      <c r="I6" s="310"/>
      <c r="J6" s="310"/>
      <c r="K6" s="321"/>
      <c r="L6" s="1318"/>
      <c r="M6" s="310"/>
      <c r="N6" s="317"/>
      <c r="O6" s="317"/>
      <c r="P6" s="1318"/>
      <c r="Q6" s="311"/>
      <c r="R6" s="85"/>
      <c r="S6" s="148"/>
      <c r="T6" s="148"/>
      <c r="U6" s="148"/>
      <c r="V6" s="148"/>
      <c r="W6" s="148"/>
    </row>
    <row r="7" spans="1:23" ht="12" customHeight="1" x14ac:dyDescent="0.35">
      <c r="A7" s="115">
        <v>7</v>
      </c>
      <c r="B7" s="85"/>
      <c r="C7" s="321"/>
      <c r="D7" s="317"/>
      <c r="E7" s="310"/>
      <c r="F7" s="310"/>
      <c r="G7" s="310"/>
      <c r="H7" s="310"/>
      <c r="I7" s="310"/>
      <c r="J7" s="310"/>
      <c r="K7" s="322"/>
      <c r="L7" s="310"/>
      <c r="M7" s="310"/>
      <c r="N7" s="310"/>
      <c r="O7" s="310"/>
      <c r="P7" s="310"/>
      <c r="Q7" s="311"/>
      <c r="R7" s="85"/>
      <c r="S7" s="148"/>
      <c r="T7" s="148"/>
      <c r="U7" s="148"/>
      <c r="V7" s="148"/>
      <c r="W7" s="148"/>
    </row>
    <row r="8" spans="1:23" ht="12" customHeight="1" x14ac:dyDescent="0.35">
      <c r="A8" s="115">
        <v>8</v>
      </c>
      <c r="B8" s="85"/>
      <c r="C8" s="321"/>
      <c r="D8" s="317"/>
      <c r="E8" s="310"/>
      <c r="F8" s="310"/>
      <c r="G8" s="310"/>
      <c r="H8" s="310"/>
      <c r="I8" s="310"/>
      <c r="J8" s="310"/>
      <c r="K8" s="322"/>
      <c r="L8" s="310"/>
      <c r="M8" s="310"/>
      <c r="N8" s="310"/>
      <c r="O8" s="310"/>
      <c r="P8" s="310"/>
      <c r="Q8" s="311"/>
      <c r="R8" s="85"/>
      <c r="S8" s="148"/>
      <c r="T8" s="148"/>
      <c r="U8" s="148"/>
      <c r="V8" s="148"/>
      <c r="W8" s="148"/>
    </row>
    <row r="9" spans="1:23" ht="12" customHeight="1" x14ac:dyDescent="0.35">
      <c r="A9" s="115">
        <v>9</v>
      </c>
      <c r="B9" s="85"/>
      <c r="C9" s="190">
        <f>A2</f>
        <v>2</v>
      </c>
      <c r="D9" s="317" t="s">
        <v>1823</v>
      </c>
      <c r="E9" s="310"/>
      <c r="F9" s="310"/>
      <c r="G9" s="310"/>
      <c r="H9" s="310"/>
      <c r="I9" s="310"/>
      <c r="J9" s="310"/>
      <c r="K9" s="190">
        <f>A17</f>
        <v>26</v>
      </c>
      <c r="L9" s="317" t="s">
        <v>4502</v>
      </c>
      <c r="M9" s="310"/>
      <c r="N9" s="310"/>
      <c r="O9" s="310"/>
      <c r="P9" s="310"/>
      <c r="Q9" s="311"/>
      <c r="R9" s="85"/>
      <c r="S9" s="148"/>
      <c r="T9" s="148"/>
      <c r="U9" s="148"/>
      <c r="V9" s="148"/>
      <c r="W9" s="148"/>
    </row>
    <row r="10" spans="1:23" ht="12" customHeight="1" x14ac:dyDescent="0.35">
      <c r="A10" s="115">
        <v>10</v>
      </c>
      <c r="B10" s="85"/>
      <c r="C10" s="321"/>
      <c r="D10" s="1836"/>
      <c r="E10" s="310"/>
      <c r="F10" s="310"/>
      <c r="G10" s="310"/>
      <c r="H10" s="310"/>
      <c r="I10" s="310"/>
      <c r="J10" s="311"/>
      <c r="K10" s="321"/>
      <c r="L10" s="1318"/>
      <c r="M10" s="310" t="s">
        <v>4984</v>
      </c>
      <c r="N10" s="310"/>
      <c r="O10" s="310"/>
      <c r="P10" s="310"/>
      <c r="Q10" s="311"/>
      <c r="R10" s="85"/>
      <c r="S10" s="148"/>
      <c r="T10" s="148"/>
      <c r="U10" s="148"/>
      <c r="V10" s="148"/>
      <c r="W10" s="148"/>
    </row>
    <row r="11" spans="1:23" ht="12" customHeight="1" x14ac:dyDescent="0.35">
      <c r="A11" s="115">
        <v>11</v>
      </c>
      <c r="B11" s="85"/>
      <c r="C11" s="323"/>
      <c r="D11" s="1168"/>
      <c r="E11" s="1169"/>
      <c r="F11" s="1169"/>
      <c r="G11" s="1169"/>
      <c r="H11" s="1169"/>
      <c r="I11" s="1169"/>
      <c r="J11" s="1170"/>
      <c r="K11" s="322"/>
      <c r="L11" s="310"/>
      <c r="M11" s="310"/>
      <c r="N11" s="310"/>
      <c r="O11" s="310"/>
      <c r="P11" s="310"/>
      <c r="Q11" s="311"/>
      <c r="R11" s="85"/>
      <c r="S11" s="148"/>
      <c r="T11" s="148"/>
      <c r="U11" s="148"/>
      <c r="V11" s="148"/>
      <c r="W11" s="148"/>
    </row>
    <row r="12" spans="1:23" ht="12" customHeight="1" x14ac:dyDescent="0.35">
      <c r="A12" s="115">
        <v>12</v>
      </c>
      <c r="B12" s="85"/>
      <c r="C12" s="340"/>
      <c r="D12" s="337"/>
      <c r="E12" s="337"/>
      <c r="F12" s="337"/>
      <c r="G12" s="337"/>
      <c r="H12" s="337"/>
      <c r="I12" s="337"/>
      <c r="J12" s="460" t="str">
        <f>FOR</f>
        <v>FOR</v>
      </c>
      <c r="K12" s="342" t="s">
        <v>3084</v>
      </c>
      <c r="L12" s="310"/>
      <c r="M12" s="317"/>
      <c r="N12" s="317"/>
      <c r="O12" s="333" t="s">
        <v>984</v>
      </c>
      <c r="P12" s="317"/>
      <c r="Q12" s="311"/>
      <c r="R12" s="85"/>
      <c r="S12" s="148"/>
      <c r="T12" s="148"/>
      <c r="U12" s="148"/>
      <c r="V12" s="148"/>
      <c r="W12" s="148"/>
    </row>
    <row r="13" spans="1:23" ht="12" customHeight="1" x14ac:dyDescent="0.35">
      <c r="A13" s="115">
        <v>13</v>
      </c>
      <c r="B13" s="85"/>
      <c r="C13" s="341" t="s">
        <v>4684</v>
      </c>
      <c r="D13" s="1167"/>
      <c r="E13" s="1167"/>
      <c r="F13" s="1167"/>
      <c r="G13" s="1167"/>
      <c r="H13" s="1167"/>
      <c r="I13" s="1167"/>
      <c r="J13" s="311"/>
      <c r="K13" s="190">
        <f>A18</f>
        <v>29</v>
      </c>
      <c r="L13" s="317" t="s">
        <v>1055</v>
      </c>
      <c r="M13" s="317"/>
      <c r="N13" s="317"/>
      <c r="O13" s="190">
        <f>A19</f>
        <v>30</v>
      </c>
      <c r="P13" s="317" t="s">
        <v>1055</v>
      </c>
      <c r="Q13" s="311"/>
      <c r="R13" s="85"/>
      <c r="S13" s="148"/>
      <c r="T13" s="148"/>
      <c r="U13" s="148"/>
      <c r="V13" s="148"/>
      <c r="W13" s="148"/>
    </row>
    <row r="14" spans="1:23" ht="12" customHeight="1" x14ac:dyDescent="0.35">
      <c r="A14" s="115">
        <v>13.1</v>
      </c>
      <c r="B14" s="85"/>
      <c r="C14" s="321"/>
      <c r="D14" s="1167"/>
      <c r="E14" s="1167"/>
      <c r="F14" s="1167"/>
      <c r="G14" s="1167"/>
      <c r="H14" s="1167"/>
      <c r="I14" s="1167"/>
      <c r="J14" s="311"/>
      <c r="K14" s="321"/>
      <c r="L14" s="1014"/>
      <c r="M14" s="317"/>
      <c r="N14" s="317"/>
      <c r="O14" s="317"/>
      <c r="P14" s="1014"/>
      <c r="Q14" s="311"/>
      <c r="R14" s="85"/>
      <c r="S14" s="148"/>
      <c r="T14" s="148"/>
      <c r="U14" s="148"/>
      <c r="V14" s="148"/>
      <c r="W14" s="148"/>
    </row>
    <row r="15" spans="1:23" ht="12" customHeight="1" x14ac:dyDescent="0.35">
      <c r="A15" s="115">
        <v>24</v>
      </c>
      <c r="B15" s="85"/>
      <c r="C15" s="321"/>
      <c r="D15" s="1166" t="s">
        <v>3084</v>
      </c>
      <c r="E15" s="317"/>
      <c r="F15" s="317"/>
      <c r="G15" s="317"/>
      <c r="H15" s="1166" t="s">
        <v>984</v>
      </c>
      <c r="I15" s="317"/>
      <c r="J15" s="311"/>
      <c r="K15" s="321"/>
      <c r="L15" s="317"/>
      <c r="M15" s="317"/>
      <c r="N15" s="317"/>
      <c r="O15" s="317"/>
      <c r="P15" s="317"/>
      <c r="Q15" s="311"/>
      <c r="R15" s="85"/>
      <c r="S15" s="148"/>
      <c r="T15" s="148"/>
      <c r="U15" s="148"/>
      <c r="V15" s="148"/>
      <c r="W15" s="148"/>
    </row>
    <row r="16" spans="1:23" ht="12" customHeight="1" x14ac:dyDescent="0.35">
      <c r="A16" s="115">
        <v>24.1</v>
      </c>
      <c r="B16" s="85"/>
      <c r="C16" s="190">
        <f>A3</f>
        <v>3</v>
      </c>
      <c r="D16" s="317" t="s">
        <v>2913</v>
      </c>
      <c r="E16" s="310"/>
      <c r="F16" s="310"/>
      <c r="G16" s="190">
        <f>A4</f>
        <v>4</v>
      </c>
      <c r="H16" s="317" t="s">
        <v>2913</v>
      </c>
      <c r="I16" s="317"/>
      <c r="J16" s="311"/>
      <c r="K16" s="345" t="s">
        <v>4191</v>
      </c>
      <c r="L16" s="310"/>
      <c r="M16" s="310"/>
      <c r="N16" s="310"/>
      <c r="O16" s="317"/>
      <c r="P16" s="317"/>
      <c r="Q16" s="311"/>
      <c r="R16" s="85"/>
      <c r="S16" s="148"/>
      <c r="T16" s="148"/>
      <c r="U16" s="148"/>
      <c r="V16" s="148"/>
      <c r="W16" s="148"/>
    </row>
    <row r="17" spans="1:23" ht="12" customHeight="1" x14ac:dyDescent="0.35">
      <c r="A17" s="115">
        <v>26</v>
      </c>
      <c r="B17" s="85"/>
      <c r="C17" s="321"/>
      <c r="D17" s="1014"/>
      <c r="E17" s="310"/>
      <c r="F17" s="310"/>
      <c r="G17" s="310"/>
      <c r="H17" s="1700"/>
      <c r="I17" s="317"/>
      <c r="J17" s="311"/>
      <c r="K17" s="190">
        <f>A20</f>
        <v>31</v>
      </c>
      <c r="L17" s="317" t="s">
        <v>1059</v>
      </c>
      <c r="M17" s="310"/>
      <c r="N17" s="310"/>
      <c r="O17" s="334">
        <f>A21</f>
        <v>32</v>
      </c>
      <c r="P17" s="317" t="s">
        <v>4978</v>
      </c>
      <c r="Q17" s="311"/>
      <c r="R17" s="85"/>
      <c r="S17" s="148"/>
      <c r="T17" s="148"/>
      <c r="U17" s="148"/>
      <c r="V17" s="148"/>
      <c r="W17" s="148"/>
    </row>
    <row r="18" spans="1:23" ht="12" customHeight="1" x14ac:dyDescent="0.35">
      <c r="A18" s="115">
        <v>29</v>
      </c>
      <c r="B18" s="327"/>
      <c r="C18" s="321"/>
      <c r="D18" s="317"/>
      <c r="E18" s="310"/>
      <c r="F18" s="310"/>
      <c r="G18" s="310"/>
      <c r="H18" s="310"/>
      <c r="I18" s="310"/>
      <c r="J18" s="311"/>
      <c r="K18" s="321"/>
      <c r="L18" s="1839"/>
      <c r="M18" s="310"/>
      <c r="N18" s="310"/>
      <c r="O18" s="310"/>
      <c r="P18" s="1840"/>
      <c r="Q18" s="311"/>
      <c r="R18" s="85"/>
      <c r="S18" s="148"/>
      <c r="T18" s="148"/>
      <c r="U18" s="148"/>
      <c r="V18" s="148"/>
      <c r="W18" s="148"/>
    </row>
    <row r="19" spans="1:23" ht="12" customHeight="1" x14ac:dyDescent="0.35">
      <c r="A19" s="115">
        <v>30</v>
      </c>
      <c r="B19" s="85"/>
      <c r="C19" s="190">
        <f>A5</f>
        <v>5</v>
      </c>
      <c r="D19" s="317" t="s">
        <v>708</v>
      </c>
      <c r="E19" s="310"/>
      <c r="F19" s="310"/>
      <c r="G19" s="190">
        <f>A6</f>
        <v>6</v>
      </c>
      <c r="H19" s="317" t="s">
        <v>708</v>
      </c>
      <c r="I19" s="317"/>
      <c r="J19" s="311"/>
      <c r="K19" s="323"/>
      <c r="L19" s="324"/>
      <c r="M19" s="324"/>
      <c r="N19" s="324"/>
      <c r="O19" s="324"/>
      <c r="P19" s="324"/>
      <c r="Q19" s="325"/>
      <c r="R19" s="85"/>
      <c r="S19" s="148"/>
      <c r="T19" s="148"/>
      <c r="U19" s="148"/>
      <c r="V19" s="148"/>
      <c r="W19" s="148"/>
    </row>
    <row r="20" spans="1:23" ht="12" customHeight="1" x14ac:dyDescent="0.35">
      <c r="A20" s="115">
        <v>31</v>
      </c>
      <c r="B20" s="85"/>
      <c r="C20" s="321"/>
      <c r="D20" s="1014"/>
      <c r="E20" s="310"/>
      <c r="F20" s="310"/>
      <c r="G20" s="310"/>
      <c r="H20" s="1837"/>
      <c r="I20" s="317"/>
      <c r="J20" s="311"/>
      <c r="K20" s="319"/>
      <c r="L20" s="319"/>
      <c r="M20" s="319"/>
      <c r="N20" s="319"/>
      <c r="O20" s="319"/>
      <c r="P20" s="319"/>
      <c r="Q20" s="460" t="str">
        <f>FOR</f>
        <v>FOR</v>
      </c>
      <c r="R20" s="85"/>
      <c r="S20" s="147" t="b">
        <v>0</v>
      </c>
      <c r="T20" s="148"/>
      <c r="U20" s="148"/>
      <c r="V20" s="148"/>
      <c r="W20" s="148"/>
    </row>
    <row r="21" spans="1:23" ht="12" customHeight="1" x14ac:dyDescent="0.35">
      <c r="A21" s="115">
        <v>32</v>
      </c>
      <c r="B21" s="85"/>
      <c r="C21" s="321"/>
      <c r="D21" s="317"/>
      <c r="E21" s="310"/>
      <c r="F21" s="310"/>
      <c r="G21" s="310"/>
      <c r="H21" s="310"/>
      <c r="I21" s="317"/>
      <c r="J21" s="311"/>
      <c r="K21" s="333" t="s">
        <v>1005</v>
      </c>
      <c r="L21" s="310"/>
      <c r="M21" s="310"/>
      <c r="N21" s="310"/>
      <c r="O21" s="310"/>
      <c r="P21" s="310"/>
      <c r="Q21" s="311"/>
      <c r="R21" s="85"/>
      <c r="S21" s="148"/>
      <c r="T21" s="148"/>
      <c r="U21" s="148"/>
      <c r="V21" s="148"/>
      <c r="W21" s="148"/>
    </row>
    <row r="22" spans="1:23" ht="12" customHeight="1" x14ac:dyDescent="0.35">
      <c r="A22" s="115">
        <v>39</v>
      </c>
      <c r="B22" s="85"/>
      <c r="C22" s="321"/>
      <c r="D22" s="317"/>
      <c r="E22" s="310"/>
      <c r="F22" s="310"/>
      <c r="G22" s="310"/>
      <c r="H22" s="310"/>
      <c r="I22" s="310"/>
      <c r="J22" s="311"/>
      <c r="K22" s="310"/>
      <c r="L22" s="310"/>
      <c r="M22" s="310"/>
      <c r="N22" s="310"/>
      <c r="O22" s="310"/>
      <c r="P22" s="310"/>
      <c r="Q22" s="311"/>
      <c r="R22" s="85"/>
      <c r="S22" s="148"/>
      <c r="T22" s="148"/>
      <c r="U22" s="148"/>
      <c r="V22" s="148"/>
      <c r="W22" s="148"/>
    </row>
    <row r="23" spans="1:23" ht="12" customHeight="1" x14ac:dyDescent="0.35">
      <c r="A23" s="115">
        <v>40</v>
      </c>
      <c r="B23" s="85"/>
      <c r="C23" s="321"/>
      <c r="D23" s="317"/>
      <c r="E23" s="310"/>
      <c r="F23" s="310"/>
      <c r="G23" s="310"/>
      <c r="H23" s="310"/>
      <c r="I23" s="310"/>
      <c r="J23" s="311"/>
      <c r="K23" s="334">
        <f>A22</f>
        <v>39</v>
      </c>
      <c r="L23" s="317" t="s">
        <v>1061</v>
      </c>
      <c r="M23" s="310"/>
      <c r="N23" s="310"/>
      <c r="O23" s="334">
        <f>A23</f>
        <v>40</v>
      </c>
      <c r="P23" s="317" t="s">
        <v>1213</v>
      </c>
      <c r="Q23" s="311"/>
      <c r="R23" s="85"/>
      <c r="S23" s="148"/>
      <c r="T23" s="148"/>
      <c r="U23" s="148"/>
      <c r="V23" s="148"/>
      <c r="W23" s="148"/>
    </row>
    <row r="24" spans="1:23" ht="12" customHeight="1" x14ac:dyDescent="0.35">
      <c r="A24" s="115">
        <v>41</v>
      </c>
      <c r="B24" s="85"/>
      <c r="C24" s="321"/>
      <c r="D24" s="317"/>
      <c r="E24" s="310"/>
      <c r="F24" s="310"/>
      <c r="G24" s="310"/>
      <c r="H24" s="310"/>
      <c r="I24" s="310"/>
      <c r="J24" s="311"/>
      <c r="K24" s="310"/>
      <c r="L24" s="1838"/>
      <c r="M24" s="310"/>
      <c r="N24" s="310"/>
      <c r="O24" s="310"/>
      <c r="P24" s="1838"/>
      <c r="Q24" s="311"/>
      <c r="R24" s="85"/>
    </row>
    <row r="25" spans="1:23" ht="12" customHeight="1" x14ac:dyDescent="0.35">
      <c r="A25" s="115">
        <v>42</v>
      </c>
      <c r="B25" s="85"/>
      <c r="C25" s="321"/>
      <c r="D25" s="317"/>
      <c r="E25" s="310"/>
      <c r="F25" s="310"/>
      <c r="G25" s="310"/>
      <c r="H25" s="310"/>
      <c r="I25" s="317"/>
      <c r="J25" s="311"/>
      <c r="K25" s="324"/>
      <c r="L25" s="324"/>
      <c r="M25" s="324"/>
      <c r="N25" s="324"/>
      <c r="O25" s="324"/>
      <c r="P25" s="324"/>
      <c r="Q25" s="325"/>
      <c r="R25" s="85"/>
    </row>
    <row r="26" spans="1:23" ht="12" customHeight="1" x14ac:dyDescent="0.35">
      <c r="A26" s="115">
        <v>43</v>
      </c>
      <c r="B26" s="85"/>
      <c r="C26" s="321"/>
      <c r="D26" s="317"/>
      <c r="E26" s="310"/>
      <c r="F26" s="310"/>
      <c r="G26" s="310"/>
      <c r="H26" s="310"/>
      <c r="I26" s="317"/>
      <c r="J26" s="311"/>
      <c r="K26" s="310"/>
      <c r="L26" s="310"/>
      <c r="M26" s="310"/>
      <c r="N26" s="310"/>
      <c r="O26" s="310"/>
      <c r="P26" s="310"/>
      <c r="Q26" s="460" t="str">
        <f>FOR</f>
        <v>FOR</v>
      </c>
      <c r="R26" s="85"/>
    </row>
    <row r="27" spans="1:23" ht="12" customHeight="1" x14ac:dyDescent="0.35">
      <c r="A27" s="115">
        <v>44</v>
      </c>
      <c r="B27" s="85"/>
      <c r="C27" s="190">
        <f>A8</f>
        <v>8</v>
      </c>
      <c r="D27" s="317" t="s">
        <v>2914</v>
      </c>
      <c r="E27" s="310"/>
      <c r="F27" s="310"/>
      <c r="G27" s="190">
        <f>A9</f>
        <v>9</v>
      </c>
      <c r="H27" s="317" t="s">
        <v>2914</v>
      </c>
      <c r="I27" s="317"/>
      <c r="J27" s="311"/>
      <c r="K27" s="310"/>
      <c r="L27" s="310"/>
      <c r="M27" s="310"/>
      <c r="N27" s="310"/>
      <c r="O27" s="310"/>
      <c r="P27" s="310"/>
      <c r="Q27" s="311"/>
      <c r="R27" s="85"/>
    </row>
    <row r="28" spans="1:23" ht="12" customHeight="1" x14ac:dyDescent="0.35">
      <c r="A28" s="115">
        <v>45</v>
      </c>
      <c r="B28" s="85"/>
      <c r="C28" s="321"/>
      <c r="D28" s="1014"/>
      <c r="E28" s="310"/>
      <c r="F28" s="310"/>
      <c r="G28" s="317"/>
      <c r="H28" s="191"/>
      <c r="I28" s="317"/>
      <c r="J28" s="311"/>
      <c r="K28" s="310"/>
      <c r="L28" s="310"/>
      <c r="M28" s="310"/>
      <c r="N28" s="310"/>
      <c r="O28" s="310"/>
      <c r="P28" s="310"/>
      <c r="Q28" s="311"/>
      <c r="R28" s="85"/>
    </row>
    <row r="29" spans="1:23" ht="12" customHeight="1" x14ac:dyDescent="0.35">
      <c r="B29" s="85"/>
      <c r="C29" s="321"/>
      <c r="D29" s="317"/>
      <c r="E29" s="310"/>
      <c r="F29" s="310"/>
      <c r="G29" s="317"/>
      <c r="H29" s="310"/>
      <c r="I29" s="317"/>
      <c r="J29" s="311"/>
      <c r="K29" s="310"/>
      <c r="L29" s="310"/>
      <c r="M29" s="310"/>
      <c r="N29" s="310"/>
      <c r="O29" s="310"/>
      <c r="P29" s="310"/>
      <c r="Q29" s="311"/>
      <c r="R29" s="85"/>
    </row>
    <row r="30" spans="1:23" x14ac:dyDescent="0.35">
      <c r="B30" s="85"/>
      <c r="C30" s="190">
        <f>A10</f>
        <v>10</v>
      </c>
      <c r="D30" s="317" t="s">
        <v>2915</v>
      </c>
      <c r="E30" s="310"/>
      <c r="F30" s="310"/>
      <c r="G30" s="190">
        <f>A11</f>
        <v>11</v>
      </c>
      <c r="H30" s="317" t="s">
        <v>2915</v>
      </c>
      <c r="I30" s="317"/>
      <c r="J30" s="311"/>
      <c r="K30" s="310"/>
      <c r="L30" s="317" t="s">
        <v>1057</v>
      </c>
      <c r="M30" s="310"/>
      <c r="N30" s="310"/>
      <c r="O30" s="310"/>
      <c r="P30" s="310"/>
      <c r="Q30" s="311"/>
      <c r="R30" s="85"/>
    </row>
    <row r="31" spans="1:23" ht="12" customHeight="1" x14ac:dyDescent="0.35">
      <c r="B31" s="85"/>
      <c r="C31" s="321"/>
      <c r="D31" s="1014"/>
      <c r="E31" s="317"/>
      <c r="F31" s="317"/>
      <c r="G31" s="317"/>
      <c r="H31" s="191"/>
      <c r="I31" s="317"/>
      <c r="J31" s="311"/>
      <c r="K31" s="344">
        <f>A24</f>
        <v>41</v>
      </c>
      <c r="L31" s="310" t="s">
        <v>1058</v>
      </c>
      <c r="M31" s="310"/>
      <c r="N31" s="310"/>
      <c r="O31" s="190">
        <f>A27</f>
        <v>44</v>
      </c>
      <c r="P31" s="317" t="s">
        <v>1056</v>
      </c>
      <c r="Q31" s="311"/>
      <c r="R31" s="85"/>
    </row>
    <row r="32" spans="1:23" ht="12" customHeight="1" x14ac:dyDescent="0.35">
      <c r="B32" s="85"/>
      <c r="C32" s="321"/>
      <c r="D32" s="317"/>
      <c r="E32" s="317"/>
      <c r="F32" s="317"/>
      <c r="G32" s="317"/>
      <c r="H32" s="310"/>
      <c r="I32" s="261"/>
      <c r="J32" s="269"/>
      <c r="K32" s="310"/>
      <c r="L32" s="191"/>
      <c r="M32" s="310"/>
      <c r="N32" s="310"/>
      <c r="O32" s="317"/>
      <c r="P32" s="568"/>
      <c r="Q32" s="311"/>
      <c r="R32" s="85"/>
    </row>
    <row r="33" spans="2:18" x14ac:dyDescent="0.35">
      <c r="B33" s="85"/>
      <c r="C33" s="190">
        <f>A12</f>
        <v>12</v>
      </c>
      <c r="D33" s="317" t="s">
        <v>2916</v>
      </c>
      <c r="E33" s="317"/>
      <c r="F33" s="317"/>
      <c r="G33" s="190">
        <f>A13</f>
        <v>13</v>
      </c>
      <c r="H33" s="317" t="s">
        <v>2916</v>
      </c>
      <c r="I33" s="261"/>
      <c r="J33" s="269"/>
      <c r="K33" s="310"/>
      <c r="L33" s="310"/>
      <c r="M33" s="310"/>
      <c r="N33" s="310"/>
      <c r="O33" s="310"/>
      <c r="P33" s="310"/>
      <c r="Q33" s="311"/>
      <c r="R33" s="85"/>
    </row>
    <row r="34" spans="2:18" x14ac:dyDescent="0.35">
      <c r="B34" s="85"/>
      <c r="C34" s="321"/>
      <c r="D34" s="1014"/>
      <c r="E34" s="317"/>
      <c r="F34" s="317"/>
      <c r="G34" s="317"/>
      <c r="H34" s="191"/>
      <c r="I34" s="261"/>
      <c r="J34" s="269"/>
      <c r="K34" s="344">
        <f>A25</f>
        <v>42</v>
      </c>
      <c r="L34" s="317" t="s">
        <v>4203</v>
      </c>
      <c r="M34" s="310"/>
      <c r="N34" s="310"/>
      <c r="O34" s="190">
        <f>A28</f>
        <v>45</v>
      </c>
      <c r="P34" s="331" t="s">
        <v>876</v>
      </c>
      <c r="Q34" s="311"/>
      <c r="R34" s="85"/>
    </row>
    <row r="35" spans="2:18" x14ac:dyDescent="0.35">
      <c r="B35" s="85"/>
      <c r="C35" s="321"/>
      <c r="D35" s="1167"/>
      <c r="E35" s="1167"/>
      <c r="F35" s="1167"/>
      <c r="G35" s="1167"/>
      <c r="H35" s="1167"/>
      <c r="I35" s="1167"/>
      <c r="J35" s="311"/>
      <c r="K35" s="310"/>
      <c r="L35" s="191"/>
      <c r="M35" s="310"/>
      <c r="N35" s="310"/>
      <c r="O35" s="310"/>
      <c r="P35" s="1841"/>
      <c r="Q35" s="311"/>
      <c r="R35" s="85"/>
    </row>
    <row r="36" spans="2:18" x14ac:dyDescent="0.35">
      <c r="B36" s="85"/>
      <c r="C36" s="321"/>
      <c r="D36" s="1167"/>
      <c r="E36" s="1167"/>
      <c r="F36" s="1167"/>
      <c r="G36" s="1167"/>
      <c r="H36" s="3118" t="s">
        <v>7028</v>
      </c>
      <c r="I36" s="3127"/>
      <c r="J36" s="311"/>
      <c r="K36" s="343"/>
      <c r="L36" s="343"/>
      <c r="M36" s="343"/>
      <c r="N36" s="343"/>
      <c r="O36" s="343"/>
      <c r="P36" s="343"/>
      <c r="Q36" s="311"/>
      <c r="R36" s="85"/>
    </row>
    <row r="37" spans="2:18" x14ac:dyDescent="0.35">
      <c r="B37" s="85"/>
      <c r="C37" s="321"/>
      <c r="D37" s="1167"/>
      <c r="E37" s="1167"/>
      <c r="F37" s="1167"/>
      <c r="G37" s="3120">
        <f>A14</f>
        <v>13.1</v>
      </c>
      <c r="H37" s="3118" t="s">
        <v>7689</v>
      </c>
      <c r="I37" s="3119"/>
      <c r="J37" s="311"/>
      <c r="K37" s="344">
        <f>A26</f>
        <v>43</v>
      </c>
      <c r="L37" s="263" t="s">
        <v>1371</v>
      </c>
      <c r="M37" s="343"/>
      <c r="N37" s="343"/>
      <c r="O37" s="343"/>
      <c r="P37" s="343"/>
      <c r="Q37" s="311"/>
      <c r="R37" s="85"/>
    </row>
    <row r="38" spans="2:18" x14ac:dyDescent="0.35">
      <c r="B38" s="85"/>
      <c r="C38" s="321"/>
      <c r="D38" s="1167"/>
      <c r="E38" s="1167"/>
      <c r="F38" s="1167"/>
      <c r="G38" s="317"/>
      <c r="H38" s="191"/>
      <c r="I38" s="261"/>
      <c r="J38" s="311"/>
      <c r="K38" s="310"/>
      <c r="L38" s="1700"/>
      <c r="M38" s="343"/>
      <c r="N38" s="343"/>
      <c r="O38" s="343"/>
      <c r="P38" s="343"/>
      <c r="Q38" s="311"/>
      <c r="R38" s="85"/>
    </row>
    <row r="39" spans="2:18" x14ac:dyDescent="0.35">
      <c r="B39" s="85"/>
      <c r="C39" s="338"/>
      <c r="D39" s="339"/>
      <c r="E39" s="339"/>
      <c r="F39" s="339"/>
      <c r="G39" s="339"/>
      <c r="H39" s="324"/>
      <c r="I39" s="324"/>
      <c r="J39" s="325"/>
      <c r="K39" s="324"/>
      <c r="L39" s="339"/>
      <c r="M39" s="324"/>
      <c r="N39" s="324"/>
      <c r="O39" s="324"/>
      <c r="P39" s="324"/>
      <c r="Q39" s="325"/>
      <c r="R39" s="85"/>
    </row>
    <row r="40" spans="2:18" x14ac:dyDescent="0.35">
      <c r="B40" s="85"/>
      <c r="C40" s="85"/>
      <c r="D40" s="85"/>
      <c r="E40" s="85"/>
      <c r="F40" s="85"/>
      <c r="G40" s="85"/>
      <c r="H40" s="85"/>
      <c r="I40" s="85"/>
      <c r="J40" s="85"/>
      <c r="K40" s="85"/>
      <c r="L40" s="85"/>
      <c r="M40" s="85"/>
      <c r="N40" s="85"/>
      <c r="O40" s="85"/>
      <c r="P40" s="85"/>
      <c r="Q40" s="85"/>
      <c r="R40" s="85"/>
    </row>
  </sheetData>
  <phoneticPr fontId="68" type="noConversion"/>
  <pageMargins left="0.196850393700787" right="0.196850393700787" top="0.196850393700787" bottom="0.196850393700787" header="0" footer="0"/>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autoFill="0" autoPict="0" macro="[0]!Show_TCR">
                <anchor>
                  <from>
                    <xdr:col>6</xdr:col>
                    <xdr:colOff>57150</xdr:colOff>
                    <xdr:row>6</xdr:row>
                    <xdr:rowOff>57150</xdr:rowOff>
                  </from>
                  <to>
                    <xdr:col>8</xdr:col>
                    <xdr:colOff>361950</xdr:colOff>
                    <xdr:row>9</xdr:row>
                    <xdr:rowOff>9525</xdr:rowOff>
                  </to>
                </anchor>
              </controlPr>
            </control>
          </mc:Choice>
        </mc:AlternateContent>
        <mc:AlternateContent xmlns:mc="http://schemas.openxmlformats.org/markup-compatibility/2006">
          <mc:Choice Requires="x14">
            <control shapeId="23563" r:id="rId5" name="Button 11">
              <controlPr defaultSize="0" print="0" autoFill="0" autoPict="0" macro="[0]!show_multi_foreign_gains">
                <anchor>
                  <from>
                    <xdr:col>14</xdr:col>
                    <xdr:colOff>19050</xdr:colOff>
                    <xdr:row>36</xdr:row>
                    <xdr:rowOff>47625</xdr:rowOff>
                  </from>
                  <to>
                    <xdr:col>16</xdr:col>
                    <xdr:colOff>762000</xdr:colOff>
                    <xdr:row>38</xdr:row>
                    <xdr:rowOff>9525</xdr:rowOff>
                  </to>
                </anchor>
              </controlPr>
            </control>
          </mc:Choice>
        </mc:AlternateContent>
        <mc:AlternateContent xmlns:mc="http://schemas.openxmlformats.org/markup-compatibility/2006">
          <mc:Choice Requires="x14">
            <control shapeId="23567" r:id="rId6" name="Check Box 15">
              <controlPr defaultSize="0" autoFill="0" autoLine="0" autoPict="0" macro="[0]!show_swiss">
                <anchor moveWithCells="1">
                  <from>
                    <xdr:col>4</xdr:col>
                    <xdr:colOff>333375</xdr:colOff>
                    <xdr:row>20</xdr:row>
                    <xdr:rowOff>123825</xdr:rowOff>
                  </from>
                  <to>
                    <xdr:col>5</xdr:col>
                    <xdr:colOff>171450</xdr:colOff>
                    <xdr:row>22</xdr:row>
                    <xdr:rowOff>85725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O30"/>
  <sheetViews>
    <sheetView showRowColHeaders="0" workbookViewId="0">
      <selection activeCell="H9" sqref="H9"/>
    </sheetView>
  </sheetViews>
  <sheetFormatPr defaultRowHeight="12.75" x14ac:dyDescent="0.35"/>
  <cols>
    <col min="1" max="1" width="3.73046875" customWidth="1"/>
    <col min="4" max="4" width="4.59765625" customWidth="1"/>
    <col min="7" max="7" width="5.265625" customWidth="1"/>
    <col min="8" max="8" width="13.1328125" customWidth="1"/>
    <col min="10" max="10" width="14.86328125" customWidth="1"/>
    <col min="11" max="11" width="4.3984375" customWidth="1"/>
    <col min="12" max="12" width="5.3984375" customWidth="1"/>
    <col min="13" max="13" width="8.3984375" style="1019" customWidth="1"/>
    <col min="14" max="14" width="10.265625" customWidth="1"/>
    <col min="15" max="15" width="15.1328125" customWidth="1"/>
  </cols>
  <sheetData>
    <row r="1" spans="1:15" x14ac:dyDescent="0.35">
      <c r="A1" s="85"/>
      <c r="B1" s="85"/>
      <c r="C1" s="85"/>
      <c r="D1" s="85"/>
      <c r="E1" s="85"/>
      <c r="F1" s="85"/>
      <c r="G1" s="85"/>
      <c r="H1" s="85"/>
      <c r="I1" s="85"/>
      <c r="J1" s="85"/>
      <c r="K1" s="85"/>
      <c r="L1" s="85"/>
      <c r="M1" s="1009"/>
      <c r="N1" s="85"/>
      <c r="O1" s="85"/>
    </row>
    <row r="2" spans="1:15" x14ac:dyDescent="0.35">
      <c r="A2" s="85"/>
      <c r="B2" s="85"/>
      <c r="C2" s="530" t="s">
        <v>3945</v>
      </c>
      <c r="D2" s="85"/>
      <c r="E2" s="85"/>
      <c r="F2" s="85"/>
      <c r="G2" s="85"/>
      <c r="H2" s="85"/>
      <c r="I2" s="85"/>
      <c r="J2" s="85"/>
      <c r="K2" s="85"/>
      <c r="L2" s="85"/>
      <c r="M2" s="1009"/>
      <c r="N2" s="85"/>
      <c r="O2" s="85"/>
    </row>
    <row r="3" spans="1:15" x14ac:dyDescent="0.35">
      <c r="A3" s="85"/>
      <c r="B3" s="85"/>
      <c r="C3" s="530" t="str">
        <f>"meet his total UK tax liability."</f>
        <v>meet his total UK tax liability.</v>
      </c>
      <c r="D3" s="85"/>
      <c r="E3" s="85"/>
      <c r="F3" s="85"/>
      <c r="G3" s="85"/>
      <c r="H3" s="85"/>
      <c r="I3" s="85"/>
      <c r="J3" s="85"/>
      <c r="K3" s="85"/>
      <c r="L3" s="85"/>
      <c r="M3" s="1009"/>
      <c r="N3" s="85"/>
      <c r="O3" s="85"/>
    </row>
    <row r="4" spans="1:15" x14ac:dyDescent="0.35">
      <c r="A4" s="85"/>
      <c r="B4" s="85"/>
      <c r="C4" s="85" t="str">
        <f>"Swiss income included in boxes "&amp;FOR!G16&amp;" and "&amp;FOR!G19&amp;" of the foreign pages."</f>
        <v>Swiss income included in boxes 4 and 6 of the foreign pages.</v>
      </c>
      <c r="D4" s="85"/>
      <c r="E4" s="85"/>
      <c r="F4" s="85"/>
      <c r="G4" s="85"/>
      <c r="H4" s="85"/>
      <c r="I4" s="85"/>
      <c r="J4" s="85"/>
      <c r="K4" s="85"/>
      <c r="L4" s="85"/>
      <c r="M4" s="1009"/>
      <c r="N4" s="1010" t="s">
        <v>3946</v>
      </c>
      <c r="O4" s="85"/>
    </row>
    <row r="5" spans="1:15" x14ac:dyDescent="0.35">
      <c r="A5" s="85"/>
      <c r="B5" s="85"/>
      <c r="C5" s="85"/>
      <c r="D5" s="85"/>
      <c r="E5" s="85"/>
      <c r="F5" s="85"/>
      <c r="G5" s="85"/>
      <c r="H5" s="85"/>
      <c r="I5" s="85"/>
      <c r="J5" s="85"/>
      <c r="K5" s="85"/>
      <c r="L5" s="85"/>
      <c r="M5" s="1009"/>
      <c r="N5" s="1010" t="s">
        <v>3947</v>
      </c>
      <c r="O5" s="85"/>
    </row>
    <row r="6" spans="1:15" x14ac:dyDescent="0.35">
      <c r="A6" s="85"/>
      <c r="B6" s="85"/>
      <c r="C6" s="530" t="s">
        <v>3948</v>
      </c>
      <c r="D6" s="85"/>
      <c r="E6" s="85"/>
      <c r="F6" s="85"/>
      <c r="G6" s="85"/>
      <c r="H6" s="85"/>
      <c r="I6" s="85"/>
      <c r="J6" s="85"/>
      <c r="K6" s="85"/>
      <c r="L6" s="85"/>
      <c r="M6" s="1009"/>
      <c r="N6" s="85"/>
      <c r="O6" s="85"/>
    </row>
    <row r="7" spans="1:15" x14ac:dyDescent="0.35">
      <c r="A7" s="85"/>
      <c r="B7" s="85"/>
      <c r="C7" s="1011" t="s">
        <v>3949</v>
      </c>
      <c r="D7" s="319"/>
      <c r="E7" s="319"/>
      <c r="F7" s="319"/>
      <c r="G7" s="336" t="s">
        <v>3084</v>
      </c>
      <c r="H7" s="319"/>
      <c r="I7" s="319"/>
      <c r="J7" s="337" t="s">
        <v>984</v>
      </c>
      <c r="K7" s="320"/>
      <c r="L7" s="85"/>
      <c r="M7" s="1009"/>
      <c r="N7" s="85"/>
      <c r="O7" s="85"/>
    </row>
    <row r="8" spans="1:15" x14ac:dyDescent="0.35">
      <c r="A8" s="85"/>
      <c r="B8" s="85"/>
      <c r="C8" s="321"/>
      <c r="D8" s="317"/>
      <c r="E8" s="317"/>
      <c r="F8" s="317"/>
      <c r="G8" s="317"/>
      <c r="H8" s="317"/>
      <c r="I8" s="317"/>
      <c r="J8" s="317"/>
      <c r="K8" s="1012"/>
      <c r="L8" s="85"/>
      <c r="M8" s="1009"/>
      <c r="N8" s="85"/>
      <c r="O8" s="85"/>
    </row>
    <row r="9" spans="1:15" x14ac:dyDescent="0.35">
      <c r="A9" s="85"/>
      <c r="B9" s="85"/>
      <c r="C9" s="321"/>
      <c r="D9" s="1013" t="s">
        <v>3950</v>
      </c>
      <c r="E9" s="317"/>
      <c r="F9" s="317"/>
      <c r="G9" s="317"/>
      <c r="H9" s="1014"/>
      <c r="I9" s="317"/>
      <c r="J9" s="191"/>
      <c r="K9" s="1012"/>
      <c r="L9" s="85"/>
      <c r="M9" s="1015">
        <f>FOR!G16</f>
        <v>4</v>
      </c>
      <c r="N9" s="1016">
        <f>FOR!H17</f>
        <v>0</v>
      </c>
      <c r="O9" s="85"/>
    </row>
    <row r="10" spans="1:15" x14ac:dyDescent="0.35">
      <c r="A10" s="85"/>
      <c r="B10" s="85"/>
      <c r="C10" s="338"/>
      <c r="D10" s="339"/>
      <c r="E10" s="339"/>
      <c r="F10" s="339"/>
      <c r="G10" s="339"/>
      <c r="H10" s="339"/>
      <c r="I10" s="339"/>
      <c r="J10" s="339"/>
      <c r="K10" s="1017"/>
      <c r="L10" s="85"/>
      <c r="M10" s="1009"/>
      <c r="N10" s="85"/>
      <c r="O10" s="85"/>
    </row>
    <row r="11" spans="1:15" x14ac:dyDescent="0.35">
      <c r="A11" s="85"/>
      <c r="B11" s="85"/>
      <c r="C11" s="85"/>
      <c r="D11" s="85"/>
      <c r="E11" s="85"/>
      <c r="F11" s="85"/>
      <c r="G11" s="85"/>
      <c r="H11" s="85"/>
      <c r="I11" s="85"/>
      <c r="J11" s="85"/>
      <c r="K11" s="85"/>
      <c r="L11" s="85"/>
      <c r="M11" s="1009"/>
      <c r="N11" s="85"/>
      <c r="O11" s="85"/>
    </row>
    <row r="12" spans="1:15" x14ac:dyDescent="0.35">
      <c r="A12" s="85"/>
      <c r="B12" s="85"/>
      <c r="C12" s="530" t="s">
        <v>3201</v>
      </c>
      <c r="D12" s="85"/>
      <c r="E12" s="85"/>
      <c r="F12" s="85"/>
      <c r="G12" s="85"/>
      <c r="H12" s="85"/>
      <c r="I12" s="85"/>
      <c r="J12" s="85"/>
      <c r="K12" s="85"/>
      <c r="L12" s="85"/>
      <c r="M12" s="1009"/>
      <c r="N12" s="85"/>
      <c r="O12" s="85"/>
    </row>
    <row r="13" spans="1:15" x14ac:dyDescent="0.35">
      <c r="A13" s="85"/>
      <c r="B13" s="85"/>
      <c r="C13" s="85" t="s">
        <v>958</v>
      </c>
      <c r="D13" s="85"/>
      <c r="E13" s="85"/>
      <c r="F13" s="85"/>
      <c r="G13" s="85"/>
      <c r="H13" s="85"/>
      <c r="I13" s="85"/>
      <c r="J13" s="85"/>
      <c r="K13" s="85"/>
      <c r="L13" s="85"/>
      <c r="M13" s="1009"/>
      <c r="N13" s="85"/>
      <c r="O13" s="85"/>
    </row>
    <row r="14" spans="1:15" x14ac:dyDescent="0.35">
      <c r="A14" s="85"/>
      <c r="B14" s="85"/>
      <c r="C14" s="1011" t="s">
        <v>3949</v>
      </c>
      <c r="D14" s="319"/>
      <c r="E14" s="319"/>
      <c r="F14" s="319"/>
      <c r="G14" s="336" t="s">
        <v>3084</v>
      </c>
      <c r="H14" s="319"/>
      <c r="I14" s="319"/>
      <c r="J14" s="337" t="s">
        <v>984</v>
      </c>
      <c r="K14" s="320"/>
      <c r="L14" s="85"/>
      <c r="M14" s="1009"/>
      <c r="N14" s="85"/>
      <c r="O14" s="85"/>
    </row>
    <row r="15" spans="1:15" x14ac:dyDescent="0.35">
      <c r="A15" s="85"/>
      <c r="B15" s="85"/>
      <c r="C15" s="321"/>
      <c r="D15" s="317"/>
      <c r="E15" s="317"/>
      <c r="F15" s="317"/>
      <c r="G15" s="317"/>
      <c r="H15" s="317"/>
      <c r="I15" s="317"/>
      <c r="J15" s="317"/>
      <c r="K15" s="1012"/>
      <c r="L15" s="85"/>
      <c r="M15" s="1009"/>
      <c r="N15" s="85"/>
      <c r="O15" s="85"/>
    </row>
    <row r="16" spans="1:15" x14ac:dyDescent="0.35">
      <c r="A16" s="85"/>
      <c r="B16" s="85"/>
      <c r="C16" s="321"/>
      <c r="D16" s="1013" t="s">
        <v>3950</v>
      </c>
      <c r="E16" s="317"/>
      <c r="F16" s="317"/>
      <c r="G16" s="317"/>
      <c r="H16" s="1014"/>
      <c r="I16" s="317"/>
      <c r="J16" s="191"/>
      <c r="K16" s="1012"/>
      <c r="L16" s="85"/>
      <c r="M16" s="1015" t="str">
        <f>FOR!G19&amp;" minus "&amp;FOR!G23</f>
        <v xml:space="preserve">6 minus </v>
      </c>
      <c r="N16" s="1016">
        <f>MAX(FOR!H20-FOR!H24,0)</f>
        <v>0</v>
      </c>
      <c r="O16" s="85"/>
    </row>
    <row r="17" spans="1:15" x14ac:dyDescent="0.35">
      <c r="A17" s="85"/>
      <c r="B17" s="85"/>
      <c r="C17" s="338"/>
      <c r="D17" s="339"/>
      <c r="E17" s="339"/>
      <c r="F17" s="339"/>
      <c r="G17" s="339"/>
      <c r="H17" s="339"/>
      <c r="I17" s="339"/>
      <c r="J17" s="339"/>
      <c r="K17" s="1017"/>
      <c r="L17" s="85"/>
      <c r="M17" s="1009"/>
      <c r="N17" s="85"/>
      <c r="O17" s="85"/>
    </row>
    <row r="18" spans="1:15" x14ac:dyDescent="0.35">
      <c r="A18" s="85"/>
      <c r="B18" s="85"/>
      <c r="C18" s="1018" t="s">
        <v>3951</v>
      </c>
      <c r="D18" s="85"/>
      <c r="E18" s="85"/>
      <c r="F18" s="85"/>
      <c r="G18" s="85"/>
      <c r="H18" s="85"/>
      <c r="I18" s="85"/>
      <c r="J18" s="85"/>
      <c r="K18" s="85"/>
      <c r="L18" s="85"/>
      <c r="M18" s="1009"/>
      <c r="N18" s="85"/>
      <c r="O18" s="85"/>
    </row>
    <row r="19" spans="1:15" x14ac:dyDescent="0.35">
      <c r="A19" s="85"/>
      <c r="B19" s="85"/>
      <c r="C19" s="85"/>
      <c r="D19" s="85"/>
      <c r="E19" s="85"/>
      <c r="F19" s="85"/>
      <c r="G19" s="85"/>
      <c r="H19" s="85"/>
      <c r="I19" s="85"/>
      <c r="J19" s="85"/>
      <c r="K19" s="85"/>
      <c r="L19" s="85"/>
      <c r="M19" s="1009"/>
      <c r="N19" s="85"/>
      <c r="O19" s="85"/>
    </row>
    <row r="20" spans="1:15" x14ac:dyDescent="0.35">
      <c r="A20" s="85"/>
      <c r="B20" s="85"/>
      <c r="C20" s="85" t="s">
        <v>3952</v>
      </c>
      <c r="D20" s="85"/>
      <c r="E20" s="85"/>
      <c r="F20" s="85"/>
      <c r="G20" s="85"/>
      <c r="H20" s="85"/>
      <c r="I20" s="85"/>
      <c r="J20" s="85"/>
      <c r="K20" s="85"/>
      <c r="L20" s="85"/>
      <c r="M20" s="1009"/>
      <c r="N20" s="85"/>
      <c r="O20" s="85"/>
    </row>
    <row r="21" spans="1:15" x14ac:dyDescent="0.35">
      <c r="A21" s="85"/>
      <c r="B21" s="85"/>
      <c r="C21" s="1011" t="s">
        <v>3949</v>
      </c>
      <c r="D21" s="319"/>
      <c r="E21" s="319"/>
      <c r="F21" s="319"/>
      <c r="G21" s="336" t="s">
        <v>3084</v>
      </c>
      <c r="H21" s="319"/>
      <c r="I21" s="319"/>
      <c r="J21" s="337" t="s">
        <v>984</v>
      </c>
      <c r="K21" s="320"/>
      <c r="L21" s="85"/>
      <c r="M21" s="1009"/>
      <c r="N21" s="85"/>
      <c r="O21" s="85"/>
    </row>
    <row r="22" spans="1:15" x14ac:dyDescent="0.35">
      <c r="A22" s="85"/>
      <c r="B22" s="85"/>
      <c r="C22" s="321"/>
      <c r="D22" s="317"/>
      <c r="E22" s="317"/>
      <c r="F22" s="317"/>
      <c r="G22" s="317"/>
      <c r="H22" s="317"/>
      <c r="I22" s="317"/>
      <c r="J22" s="317"/>
      <c r="K22" s="1012"/>
      <c r="L22" s="85"/>
      <c r="M22" s="1009"/>
      <c r="N22" s="85"/>
      <c r="O22" s="85"/>
    </row>
    <row r="23" spans="1:15" x14ac:dyDescent="0.35">
      <c r="A23" s="85"/>
      <c r="B23" s="85"/>
      <c r="C23" s="321"/>
      <c r="D23" s="1013" t="s">
        <v>3950</v>
      </c>
      <c r="E23" s="317"/>
      <c r="F23" s="317"/>
      <c r="G23" s="317"/>
      <c r="H23" s="1014"/>
      <c r="I23" s="317"/>
      <c r="J23" s="191"/>
      <c r="K23" s="1012"/>
      <c r="L23" s="85"/>
      <c r="M23" s="1015">
        <f>FOR!G23</f>
        <v>0</v>
      </c>
      <c r="N23" s="1016">
        <f>FOR!H24</f>
        <v>0</v>
      </c>
      <c r="O23" s="85"/>
    </row>
    <row r="24" spans="1:15" x14ac:dyDescent="0.35">
      <c r="A24" s="85"/>
      <c r="B24" s="85"/>
      <c r="C24" s="338"/>
      <c r="D24" s="339"/>
      <c r="E24" s="339"/>
      <c r="F24" s="339"/>
      <c r="G24" s="339"/>
      <c r="H24" s="339"/>
      <c r="I24" s="339"/>
      <c r="J24" s="339"/>
      <c r="K24" s="1017"/>
      <c r="L24" s="85"/>
      <c r="M24" s="1009"/>
      <c r="N24" s="85"/>
      <c r="O24" s="85"/>
    </row>
    <row r="25" spans="1:15" x14ac:dyDescent="0.35">
      <c r="A25" s="85"/>
      <c r="B25" s="85"/>
      <c r="C25" s="1018" t="s">
        <v>3953</v>
      </c>
      <c r="D25" s="85"/>
      <c r="E25" s="85"/>
      <c r="F25" s="85"/>
      <c r="G25" s="85"/>
      <c r="H25" s="85"/>
      <c r="I25" s="85"/>
      <c r="J25" s="85"/>
      <c r="K25" s="85"/>
      <c r="L25" s="85"/>
      <c r="M25" s="1009"/>
      <c r="N25" s="85"/>
      <c r="O25" s="85"/>
    </row>
    <row r="26" spans="1:15" x14ac:dyDescent="0.35">
      <c r="A26" s="85"/>
      <c r="B26" s="85"/>
      <c r="C26" s="1018"/>
      <c r="D26" s="85"/>
      <c r="E26" s="85"/>
      <c r="F26" s="85"/>
      <c r="G26" s="85"/>
      <c r="H26" s="85"/>
      <c r="I26" s="85"/>
      <c r="J26" s="85"/>
      <c r="K26" s="85"/>
      <c r="L26" s="85"/>
      <c r="M26" s="1009"/>
      <c r="N26" s="85"/>
      <c r="O26" s="85"/>
    </row>
    <row r="27" spans="1:15" x14ac:dyDescent="0.35">
      <c r="A27" s="85"/>
      <c r="B27" s="85"/>
      <c r="C27" s="85"/>
      <c r="D27" s="85"/>
      <c r="E27" s="85"/>
      <c r="F27" s="85"/>
      <c r="G27" s="85"/>
      <c r="H27" s="85"/>
      <c r="I27" s="85"/>
      <c r="J27" s="85"/>
      <c r="K27" s="85"/>
      <c r="L27" s="85"/>
      <c r="M27" s="1009"/>
      <c r="N27" s="85"/>
      <c r="O27" s="85"/>
    </row>
    <row r="28" spans="1:15" x14ac:dyDescent="0.35">
      <c r="A28" s="85"/>
      <c r="B28" s="85"/>
      <c r="C28" s="85"/>
      <c r="D28" s="85"/>
      <c r="E28" s="85"/>
      <c r="F28" s="85"/>
      <c r="G28" s="85"/>
      <c r="H28" s="85"/>
      <c r="I28" s="85"/>
      <c r="J28" s="85"/>
      <c r="K28" s="85"/>
      <c r="L28" s="85"/>
      <c r="M28" s="1009"/>
      <c r="N28" s="85"/>
      <c r="O28" s="85"/>
    </row>
    <row r="29" spans="1:15" x14ac:dyDescent="0.35">
      <c r="A29" s="85"/>
      <c r="B29" s="85"/>
      <c r="C29" s="85"/>
      <c r="D29" s="85"/>
      <c r="E29" s="85"/>
      <c r="F29" s="85"/>
      <c r="G29" s="85"/>
      <c r="H29" s="85"/>
      <c r="I29" s="85"/>
      <c r="J29" s="85"/>
      <c r="K29" s="85"/>
      <c r="L29" s="85"/>
      <c r="M29" s="1009"/>
      <c r="N29" s="85"/>
      <c r="O29" s="85"/>
    </row>
    <row r="30" spans="1:15" x14ac:dyDescent="0.35">
      <c r="A30" s="85"/>
      <c r="B30" s="85"/>
      <c r="C30" s="85"/>
      <c r="D30" s="85"/>
      <c r="E30" s="85"/>
      <c r="F30" s="85"/>
      <c r="G30" s="85"/>
      <c r="H30" s="85"/>
      <c r="I30" s="85"/>
      <c r="J30" s="85"/>
      <c r="K30" s="85"/>
      <c r="L30" s="85"/>
      <c r="M30" s="1009"/>
      <c r="N30" s="85"/>
      <c r="O30" s="85"/>
    </row>
  </sheetData>
  <sheetProtection sheet="1" objects="1" scenarios="1"/>
  <phoneticPr fontId="68" type="noConversion"/>
  <dataValidations count="3">
    <dataValidation type="whole" operator="lessThanOrEqual" allowBlank="1" showErrorMessage="1" error="Taxable amount cannot exceed box FOR7" prompt="Taxable amount cannot exceed box 7" sqref="J23">
      <formula1>N23</formula1>
    </dataValidation>
    <dataValidation type="whole" operator="lessThanOrEqual" allowBlank="1" showErrorMessage="1" error="Taxable amount cannot exceed box FOR6 minus box FOR7" prompt="Taxable amount cannot exceed box FOR6" sqref="J16">
      <formula1>N16</formula1>
    </dataValidation>
    <dataValidation type="whole" operator="lessThanOrEqual" allowBlank="1" showErrorMessage="1" error="Taxable amount cannot exceed box FOR4" prompt="Taxable amount cannot exceed box FOR4" sqref="J9">
      <formula1>N9</formula1>
    </dataValidation>
  </dataValidations>
  <pageMargins left="0.75" right="0.75" top="1" bottom="1" header="0.5" footer="0.5"/>
  <headerFooter alignWithMargins="0"/>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A1:AH245"/>
  <sheetViews>
    <sheetView showGridLines="0" showRowColHeaders="0" zoomScale="90" workbookViewId="0">
      <selection activeCell="I10" sqref="I10"/>
    </sheetView>
  </sheetViews>
  <sheetFormatPr defaultRowHeight="12.75" x14ac:dyDescent="0.35"/>
  <cols>
    <col min="1" max="1" width="2.1328125" customWidth="1"/>
    <col min="2" max="2" width="7.265625" customWidth="1"/>
    <col min="3" max="3" width="33" customWidth="1"/>
    <col min="4" max="4" width="6.1328125" customWidth="1"/>
    <col min="5" max="5" width="13.86328125" bestFit="1" customWidth="1"/>
    <col min="6" max="6" width="6.1328125" customWidth="1"/>
    <col min="7" max="7" width="14.73046875" customWidth="1"/>
    <col min="8" max="8" width="6.1328125" customWidth="1"/>
    <col min="9" max="9" width="14.73046875" customWidth="1"/>
    <col min="10" max="10" width="6.1328125" customWidth="1"/>
    <col min="11" max="11" width="16.73046875" customWidth="1"/>
    <col min="12" max="12" width="6.1328125" customWidth="1"/>
    <col min="13" max="13" width="14.73046875" customWidth="1"/>
    <col min="14" max="14" width="1.73046875" customWidth="1"/>
    <col min="15" max="15" width="35.86328125" customWidth="1"/>
    <col min="16" max="16" width="7.59765625" hidden="1" customWidth="1"/>
    <col min="17" max="17" width="7.265625" hidden="1" customWidth="1"/>
    <col min="18" max="18" width="6.73046875" hidden="1" customWidth="1"/>
    <col min="19" max="19" width="38.1328125" hidden="1" customWidth="1"/>
    <col min="20" max="20" width="2.1328125" hidden="1" customWidth="1"/>
    <col min="21" max="21" width="7.73046875" hidden="1" customWidth="1"/>
    <col min="22" max="22" width="13.3984375" hidden="1" customWidth="1"/>
    <col min="23" max="23" width="26.3984375" hidden="1" customWidth="1"/>
    <col min="24" max="24" width="4.73046875" hidden="1" customWidth="1"/>
    <col min="25" max="25" width="39.73046875" hidden="1" customWidth="1"/>
    <col min="26" max="26" width="19.73046875" hidden="1" customWidth="1"/>
    <col min="27" max="27" width="11.73046875" hidden="1" customWidth="1"/>
    <col min="28" max="28" width="17.86328125" hidden="1" customWidth="1"/>
    <col min="29" max="29" width="37.59765625" hidden="1" customWidth="1"/>
    <col min="30" max="30" width="8.73046875" hidden="1" customWidth="1"/>
    <col min="31" max="31" width="9.3984375" hidden="1" customWidth="1"/>
    <col min="32" max="32" width="12.3984375" hidden="1" customWidth="1"/>
    <col min="33" max="33" width="14.59765625" hidden="1" customWidth="1"/>
    <col min="34" max="34" width="8.1328125" hidden="1" customWidth="1"/>
  </cols>
  <sheetData>
    <row r="1" spans="1:34" ht="12.75" customHeight="1" x14ac:dyDescent="0.4">
      <c r="A1" s="67"/>
      <c r="B1" s="67"/>
      <c r="C1" s="67"/>
      <c r="D1" s="67"/>
      <c r="E1" s="67"/>
      <c r="F1" s="67"/>
      <c r="G1" s="67"/>
      <c r="H1" s="67"/>
      <c r="I1" s="67"/>
      <c r="J1" s="67"/>
      <c r="K1" s="67"/>
      <c r="L1" s="67"/>
      <c r="M1" s="67"/>
      <c r="N1" s="67"/>
      <c r="O1" s="67"/>
      <c r="P1" s="889"/>
      <c r="Q1" s="889"/>
      <c r="R1" s="1031" t="s">
        <v>3723</v>
      </c>
      <c r="S1" s="889"/>
      <c r="T1" s="889"/>
      <c r="V1" s="3886" t="s">
        <v>1244</v>
      </c>
      <c r="W1" s="3886" t="s">
        <v>5018</v>
      </c>
      <c r="X1" s="3886" t="s">
        <v>2644</v>
      </c>
      <c r="Y1" s="3886" t="s">
        <v>2643</v>
      </c>
      <c r="Z1" s="3883" t="s">
        <v>2835</v>
      </c>
      <c r="AA1" s="3883" t="s">
        <v>935</v>
      </c>
      <c r="AB1" s="3883" t="s">
        <v>936</v>
      </c>
      <c r="AC1" s="3883" t="s">
        <v>958</v>
      </c>
      <c r="AD1" s="3883" t="s">
        <v>959</v>
      </c>
      <c r="AE1" s="3883" t="s">
        <v>988</v>
      </c>
      <c r="AF1" s="3883" t="s">
        <v>1092</v>
      </c>
      <c r="AG1" s="3883" t="s">
        <v>5019</v>
      </c>
      <c r="AH1" s="3883" t="s">
        <v>5020</v>
      </c>
    </row>
    <row r="2" spans="1:34" ht="12.75" customHeight="1" x14ac:dyDescent="0.4">
      <c r="A2" s="67"/>
      <c r="B2" s="358" t="s">
        <v>877</v>
      </c>
      <c r="C2" s="346"/>
      <c r="D2" s="346"/>
      <c r="E2" s="346"/>
      <c r="F2" s="346"/>
      <c r="G2" s="346"/>
      <c r="H2" s="1359" t="s">
        <v>5355</v>
      </c>
      <c r="I2" s="346"/>
      <c r="J2" s="346"/>
      <c r="K2" s="346"/>
      <c r="L2" s="346"/>
      <c r="M2" s="346"/>
      <c r="N2" s="347"/>
      <c r="O2" s="67"/>
      <c r="R2">
        <v>1</v>
      </c>
      <c r="S2" t="s">
        <v>2835</v>
      </c>
      <c r="V2" s="3887"/>
      <c r="W2" s="3887"/>
      <c r="X2" s="3887"/>
      <c r="Y2" s="3887"/>
      <c r="Z2" s="3884"/>
      <c r="AA2" s="3884"/>
      <c r="AB2" s="3884"/>
      <c r="AC2" s="3884"/>
      <c r="AD2" s="3884"/>
      <c r="AE2" s="3884"/>
      <c r="AF2" s="3884"/>
      <c r="AG2" s="3884"/>
      <c r="AH2" s="3884"/>
    </row>
    <row r="3" spans="1:34" ht="12.75" customHeight="1" x14ac:dyDescent="0.35">
      <c r="A3" s="67"/>
      <c r="B3" s="361" t="s">
        <v>5357</v>
      </c>
      <c r="C3" s="348"/>
      <c r="D3" s="348"/>
      <c r="E3" s="348"/>
      <c r="F3" s="348"/>
      <c r="G3" s="348"/>
      <c r="H3" s="1360" t="s">
        <v>5358</v>
      </c>
      <c r="I3" s="348"/>
      <c r="J3" s="348"/>
      <c r="K3" s="348"/>
      <c r="L3" s="348"/>
      <c r="M3" s="348"/>
      <c r="N3" s="350"/>
      <c r="O3" s="67"/>
      <c r="R3">
        <v>2</v>
      </c>
      <c r="S3" t="s">
        <v>935</v>
      </c>
      <c r="V3" s="3887"/>
      <c r="W3" s="3887"/>
      <c r="X3" s="3887"/>
      <c r="Y3" s="3887"/>
      <c r="Z3" s="3884"/>
      <c r="AA3" s="3884"/>
      <c r="AB3" s="3884"/>
      <c r="AC3" s="3884"/>
      <c r="AD3" s="3884"/>
      <c r="AE3" s="3884"/>
      <c r="AF3" s="3884"/>
      <c r="AG3" s="3884"/>
      <c r="AH3" s="3884"/>
    </row>
    <row r="4" spans="1:34" ht="12.75" customHeight="1" x14ac:dyDescent="0.35">
      <c r="A4" s="67"/>
      <c r="B4" s="361" t="s">
        <v>5356</v>
      </c>
      <c r="C4" s="348"/>
      <c r="D4" s="348"/>
      <c r="E4" s="348"/>
      <c r="F4" s="348"/>
      <c r="G4" s="348"/>
      <c r="H4" s="1361" t="s">
        <v>1004</v>
      </c>
      <c r="I4" s="1105" t="s">
        <v>3790</v>
      </c>
      <c r="J4" s="348"/>
      <c r="K4" s="348"/>
      <c r="L4" s="1362" t="s">
        <v>5369</v>
      </c>
      <c r="M4" s="348"/>
      <c r="N4" s="350"/>
      <c r="O4" s="67"/>
      <c r="R4">
        <v>3</v>
      </c>
      <c r="S4" t="s">
        <v>936</v>
      </c>
      <c r="V4" s="3888"/>
      <c r="W4" s="3888"/>
      <c r="X4" s="3888"/>
      <c r="Y4" s="3888"/>
      <c r="Z4" s="3885"/>
      <c r="AA4" s="3885"/>
      <c r="AB4" s="3885"/>
      <c r="AC4" s="3885"/>
      <c r="AD4" s="3885"/>
      <c r="AE4" s="3885"/>
      <c r="AF4" s="3885"/>
      <c r="AG4" s="3885"/>
      <c r="AH4" s="3885"/>
    </row>
    <row r="5" spans="1:34" ht="12.75" customHeight="1" x14ac:dyDescent="0.4">
      <c r="A5" s="67"/>
      <c r="B5" s="361" t="s">
        <v>5359</v>
      </c>
      <c r="C5" s="1105"/>
      <c r="D5" s="1105"/>
      <c r="E5" s="1105"/>
      <c r="F5" s="1108"/>
      <c r="G5" s="1108"/>
      <c r="H5" s="1361" t="s">
        <v>5367</v>
      </c>
      <c r="I5" s="1105" t="s">
        <v>5368</v>
      </c>
      <c r="J5" s="348"/>
      <c r="K5" s="1362" t="s">
        <v>5373</v>
      </c>
      <c r="L5" s="348"/>
      <c r="M5" s="348"/>
      <c r="N5" s="350"/>
      <c r="O5" s="67"/>
      <c r="R5" s="1117">
        <v>4</v>
      </c>
      <c r="S5" s="1155" t="s">
        <v>708</v>
      </c>
      <c r="V5" s="1110" t="s">
        <v>4997</v>
      </c>
      <c r="W5" s="1110" t="s">
        <v>4997</v>
      </c>
      <c r="X5" s="3"/>
      <c r="Y5" s="3"/>
      <c r="Z5" s="1321"/>
      <c r="AA5" s="1321"/>
      <c r="AB5" s="1322"/>
      <c r="AC5" s="1322"/>
      <c r="AD5" s="1322"/>
      <c r="AE5" s="1321"/>
      <c r="AF5" s="1321"/>
      <c r="AG5" s="1320"/>
      <c r="AH5" s="1323"/>
    </row>
    <row r="6" spans="1:34" ht="12.75" customHeight="1" x14ac:dyDescent="0.4">
      <c r="A6" s="67"/>
      <c r="B6" s="361" t="s">
        <v>5360</v>
      </c>
      <c r="C6" s="1105"/>
      <c r="D6" s="1105"/>
      <c r="E6" s="1105"/>
      <c r="F6" s="348"/>
      <c r="G6" s="348"/>
      <c r="H6" s="348"/>
      <c r="I6" s="348"/>
      <c r="J6" s="348"/>
      <c r="K6" s="348"/>
      <c r="L6" s="348"/>
      <c r="M6" s="349"/>
      <c r="N6" s="350"/>
      <c r="O6" s="67"/>
      <c r="R6" s="1117">
        <v>5</v>
      </c>
      <c r="S6" s="1117" t="s">
        <v>988</v>
      </c>
      <c r="V6" s="1111" t="s">
        <v>1245</v>
      </c>
      <c r="W6" s="1110" t="s">
        <v>1245</v>
      </c>
      <c r="X6" s="1109" t="s">
        <v>1237</v>
      </c>
      <c r="Y6" s="1110" t="s">
        <v>307</v>
      </c>
      <c r="Z6" s="1321"/>
      <c r="AA6" s="1321"/>
      <c r="AB6" s="1322"/>
      <c r="AC6" s="1322"/>
      <c r="AD6" s="1322"/>
      <c r="AE6" s="1321"/>
      <c r="AF6" s="1321"/>
      <c r="AG6" s="1320" t="s">
        <v>1245</v>
      </c>
      <c r="AH6" s="1323"/>
    </row>
    <row r="7" spans="1:34" ht="12.75" customHeight="1" x14ac:dyDescent="0.4">
      <c r="A7" s="67"/>
      <c r="B7" s="361" t="s">
        <v>5361</v>
      </c>
      <c r="C7" s="348"/>
      <c r="D7" s="348"/>
      <c r="E7" s="348"/>
      <c r="F7" s="348"/>
      <c r="G7" s="348"/>
      <c r="H7" s="348"/>
      <c r="I7" s="348"/>
      <c r="J7" s="348"/>
      <c r="K7" s="348"/>
      <c r="L7" s="348"/>
      <c r="M7" s="547"/>
      <c r="N7" s="350"/>
      <c r="O7" s="67"/>
      <c r="R7" s="1117">
        <v>6</v>
      </c>
      <c r="S7" s="1117" t="s">
        <v>1092</v>
      </c>
      <c r="V7" s="1109" t="s">
        <v>1246</v>
      </c>
      <c r="W7" s="1110" t="s">
        <v>1246</v>
      </c>
      <c r="X7" s="1109" t="s">
        <v>1237</v>
      </c>
      <c r="Y7" s="1110" t="s">
        <v>308</v>
      </c>
      <c r="Z7" s="1321"/>
      <c r="AA7" s="1321"/>
      <c r="AB7" s="1325"/>
      <c r="AC7" s="1325"/>
      <c r="AD7" s="1325"/>
      <c r="AE7" s="1321"/>
      <c r="AF7" s="1321"/>
      <c r="AG7" s="1324" t="s">
        <v>1246</v>
      </c>
      <c r="AH7" s="1326"/>
    </row>
    <row r="8" spans="1:34" ht="12.75" customHeight="1" x14ac:dyDescent="0.4">
      <c r="A8" s="67"/>
      <c r="B8" s="351"/>
      <c r="C8" s="359" t="s">
        <v>1088</v>
      </c>
      <c r="D8" s="359"/>
      <c r="E8" s="359" t="s">
        <v>1239</v>
      </c>
      <c r="F8" s="554"/>
      <c r="G8" s="359" t="s">
        <v>3204</v>
      </c>
      <c r="H8" s="554"/>
      <c r="I8" s="359" t="s">
        <v>3205</v>
      </c>
      <c r="J8" s="348"/>
      <c r="K8" s="359" t="s">
        <v>2591</v>
      </c>
      <c r="L8" s="348"/>
      <c r="M8" s="548" t="s">
        <v>1238</v>
      </c>
      <c r="N8" s="350"/>
      <c r="O8" s="67"/>
      <c r="V8" s="1109" t="s">
        <v>1247</v>
      </c>
      <c r="W8" s="1110" t="s">
        <v>1247</v>
      </c>
      <c r="X8" s="1109" t="s">
        <v>1237</v>
      </c>
      <c r="Y8" s="1110" t="s">
        <v>309</v>
      </c>
      <c r="Z8" s="1321"/>
      <c r="AA8" s="1321"/>
      <c r="AB8" s="1325"/>
      <c r="AC8" s="1325"/>
      <c r="AD8" s="1325"/>
      <c r="AE8" s="1321"/>
      <c r="AF8" s="1321"/>
      <c r="AG8" s="1324" t="s">
        <v>1247</v>
      </c>
      <c r="AH8" s="1326"/>
    </row>
    <row r="9" spans="1:34" ht="12.75" customHeight="1" x14ac:dyDescent="0.4">
      <c r="A9" s="67"/>
      <c r="B9" s="352"/>
      <c r="C9" s="554"/>
      <c r="D9" s="554"/>
      <c r="E9" s="359" t="s">
        <v>1240</v>
      </c>
      <c r="F9" s="353"/>
      <c r="G9" s="854" t="s">
        <v>2689</v>
      </c>
      <c r="H9" s="353"/>
      <c r="I9" s="854" t="s">
        <v>3722</v>
      </c>
      <c r="J9" s="348"/>
      <c r="K9" s="890" t="s">
        <v>20</v>
      </c>
      <c r="L9" s="348"/>
      <c r="M9" s="547" t="s">
        <v>989</v>
      </c>
      <c r="N9" s="350"/>
      <c r="O9" s="67"/>
      <c r="V9" s="1109" t="s">
        <v>1248</v>
      </c>
      <c r="W9" s="1110" t="s">
        <v>1248</v>
      </c>
      <c r="X9" s="1109" t="s">
        <v>1237</v>
      </c>
      <c r="Y9" s="1110" t="s">
        <v>310</v>
      </c>
      <c r="Z9" s="1321"/>
      <c r="AA9" s="1321"/>
      <c r="AB9" s="1325"/>
      <c r="AC9" s="1325"/>
      <c r="AD9" s="1325"/>
      <c r="AE9" s="1321"/>
      <c r="AF9" s="1321"/>
      <c r="AG9" s="1324" t="s">
        <v>1248</v>
      </c>
      <c r="AH9" s="1326"/>
    </row>
    <row r="10" spans="1:34" ht="12.75" customHeight="1" x14ac:dyDescent="0.4">
      <c r="A10" s="67"/>
      <c r="B10" s="354" t="s">
        <v>1089</v>
      </c>
      <c r="C10" s="348"/>
      <c r="D10" s="348"/>
      <c r="E10" s="1319" t="s">
        <v>4997</v>
      </c>
      <c r="F10" s="348"/>
      <c r="G10" s="690"/>
      <c r="H10" s="348"/>
      <c r="I10" s="689"/>
      <c r="J10" s="348"/>
      <c r="K10" s="348"/>
      <c r="L10" s="348"/>
      <c r="M10" s="690"/>
      <c r="N10" s="350"/>
      <c r="O10" s="67"/>
      <c r="Q10" t="s">
        <v>1243</v>
      </c>
      <c r="R10" t="s">
        <v>3723</v>
      </c>
      <c r="S10" s="888" t="s">
        <v>20</v>
      </c>
      <c r="U10" t="s">
        <v>21</v>
      </c>
      <c r="V10" s="1109" t="s">
        <v>1249</v>
      </c>
      <c r="W10" s="1110" t="s">
        <v>1249</v>
      </c>
      <c r="X10" s="1109" t="s">
        <v>1237</v>
      </c>
      <c r="Y10" s="1110" t="s">
        <v>311</v>
      </c>
      <c r="Z10" s="1321"/>
      <c r="AA10" s="1321"/>
      <c r="AB10" s="1325"/>
      <c r="AC10" s="1325"/>
      <c r="AD10" s="1325"/>
      <c r="AE10" s="1321"/>
      <c r="AF10" s="1321"/>
      <c r="AG10" s="1324" t="s">
        <v>1249</v>
      </c>
      <c r="AH10" s="1326"/>
    </row>
    <row r="11" spans="1:34" ht="12.75" customHeight="1" x14ac:dyDescent="0.4">
      <c r="A11" s="67"/>
      <c r="B11" s="352"/>
      <c r="C11" s="348"/>
      <c r="D11" s="348"/>
      <c r="E11" s="348"/>
      <c r="F11" s="348"/>
      <c r="G11" s="348"/>
      <c r="H11" s="348"/>
      <c r="I11" s="348"/>
      <c r="J11" s="348"/>
      <c r="K11" s="560" t="s">
        <v>5228</v>
      </c>
      <c r="L11" s="348"/>
      <c r="M11" s="348"/>
      <c r="N11" s="350"/>
      <c r="O11" s="67"/>
      <c r="P11" s="8" t="s">
        <v>3095</v>
      </c>
      <c r="Q11" s="16">
        <v>1</v>
      </c>
      <c r="R11" s="886">
        <v>1</v>
      </c>
      <c r="S11" s="3">
        <f>VLOOKUP(T11,Q$22:R$33,2,FALSE)</f>
        <v>1</v>
      </c>
      <c r="T11" s="886">
        <v>1</v>
      </c>
      <c r="U11" s="887">
        <f>MIN(TRUNC(G10*S11,2),I10)</f>
        <v>0</v>
      </c>
      <c r="V11" s="1109" t="s">
        <v>1250</v>
      </c>
      <c r="W11" s="1110" t="s">
        <v>1250</v>
      </c>
      <c r="X11" s="1109" t="s">
        <v>1237</v>
      </c>
      <c r="Y11" s="1110" t="s">
        <v>312</v>
      </c>
      <c r="Z11" s="1321"/>
      <c r="AA11" s="1321"/>
      <c r="AB11" s="1325"/>
      <c r="AC11" s="1325"/>
      <c r="AD11" s="1325"/>
      <c r="AE11" s="1321"/>
      <c r="AF11" s="1321"/>
      <c r="AG11" s="1324" t="s">
        <v>1250</v>
      </c>
      <c r="AH11" s="1326"/>
    </row>
    <row r="12" spans="1:34" ht="12.75" customHeight="1" x14ac:dyDescent="0.4">
      <c r="A12" s="67"/>
      <c r="B12" s="351"/>
      <c r="C12" s="348"/>
      <c r="D12" s="348"/>
      <c r="E12" s="348"/>
      <c r="F12" s="348"/>
      <c r="G12" s="348"/>
      <c r="H12" s="360" t="s">
        <v>3546</v>
      </c>
      <c r="I12" s="585"/>
      <c r="J12" s="348"/>
      <c r="K12" s="1337" t="str">
        <f>IF(ISNA(VLOOKUP(E10,V$5:AF$245,R11+4,FALSE)),"",IF(VLOOKUP(E10,V$5:AF$245,R11+4,FALSE)="","",VLOOKUP(E10,V$5:AF$245,R11+4,FALSE)))</f>
        <v/>
      </c>
      <c r="L12" s="348"/>
      <c r="M12" s="349"/>
      <c r="N12" s="350"/>
      <c r="O12" s="67"/>
      <c r="P12" s="8" t="s">
        <v>3096</v>
      </c>
      <c r="Q12" s="16">
        <v>1</v>
      </c>
      <c r="R12" s="886">
        <v>1</v>
      </c>
      <c r="S12" s="3">
        <f t="shared" ref="S12:S20" si="0">VLOOKUP(T12,Q$22:R$33,2,FALSE)</f>
        <v>1</v>
      </c>
      <c r="T12" s="886">
        <v>1</v>
      </c>
      <c r="U12" s="887">
        <f>MIN(TRUNC(G14*S12,2),I14)</f>
        <v>0</v>
      </c>
      <c r="V12" s="1109" t="s">
        <v>1251</v>
      </c>
      <c r="W12" s="1110" t="s">
        <v>1251</v>
      </c>
      <c r="X12" s="1109" t="s">
        <v>1237</v>
      </c>
      <c r="Y12" s="1110" t="s">
        <v>313</v>
      </c>
      <c r="Z12" s="1321"/>
      <c r="AA12" s="1321"/>
      <c r="AB12" s="1327"/>
      <c r="AC12" s="1327"/>
      <c r="AD12" s="1327"/>
      <c r="AE12" s="1321"/>
      <c r="AF12" s="1321"/>
      <c r="AG12" s="1324" t="s">
        <v>1251</v>
      </c>
      <c r="AH12" s="1326"/>
    </row>
    <row r="13" spans="1:34" ht="12.75" customHeight="1" x14ac:dyDescent="0.4">
      <c r="A13" s="67"/>
      <c r="B13" s="352"/>
      <c r="C13" s="348"/>
      <c r="D13" s="348"/>
      <c r="E13" s="348"/>
      <c r="F13" s="348"/>
      <c r="G13" s="348"/>
      <c r="H13" s="348"/>
      <c r="I13" s="348"/>
      <c r="J13" s="348"/>
      <c r="K13" s="348"/>
      <c r="L13" s="348"/>
      <c r="M13" s="348"/>
      <c r="N13" s="350"/>
      <c r="O13" s="67"/>
      <c r="P13" s="8" t="s">
        <v>3097</v>
      </c>
      <c r="Q13" s="16">
        <v>1</v>
      </c>
      <c r="R13" s="886">
        <v>1</v>
      </c>
      <c r="S13" s="3">
        <f t="shared" si="0"/>
        <v>1</v>
      </c>
      <c r="T13" s="886">
        <v>1</v>
      </c>
      <c r="U13" s="887">
        <f>MIN(TRUNC(G18*S13,2),I18)</f>
        <v>0</v>
      </c>
      <c r="V13" s="1109" t="s">
        <v>2971</v>
      </c>
      <c r="W13" s="1110" t="s">
        <v>177</v>
      </c>
      <c r="X13" s="1109" t="s">
        <v>583</v>
      </c>
      <c r="Y13" s="1110" t="s">
        <v>314</v>
      </c>
      <c r="Z13" s="1321"/>
      <c r="AA13" s="1321"/>
      <c r="AB13" s="1328">
        <v>0.12</v>
      </c>
      <c r="AC13" s="1328">
        <v>0.15</v>
      </c>
      <c r="AD13" s="1328"/>
      <c r="AE13" s="1321"/>
      <c r="AF13" s="1321"/>
      <c r="AG13" s="1324" t="s">
        <v>5021</v>
      </c>
      <c r="AH13" s="1329"/>
    </row>
    <row r="14" spans="1:34" ht="12.75" customHeight="1" x14ac:dyDescent="0.4">
      <c r="A14" s="67"/>
      <c r="B14" s="354" t="s">
        <v>1090</v>
      </c>
      <c r="C14" s="348"/>
      <c r="D14" s="348"/>
      <c r="E14" s="1319" t="s">
        <v>4997</v>
      </c>
      <c r="F14" s="348"/>
      <c r="G14" s="690"/>
      <c r="H14" s="348"/>
      <c r="I14" s="689"/>
      <c r="J14" s="348"/>
      <c r="K14" s="348"/>
      <c r="L14" s="348"/>
      <c r="M14" s="690"/>
      <c r="N14" s="350"/>
      <c r="O14" s="67"/>
      <c r="P14" s="8" t="s">
        <v>2289</v>
      </c>
      <c r="Q14" s="16">
        <v>1</v>
      </c>
      <c r="R14" s="886">
        <v>1</v>
      </c>
      <c r="S14" s="3">
        <f t="shared" si="0"/>
        <v>1</v>
      </c>
      <c r="T14" s="886">
        <v>1</v>
      </c>
      <c r="U14" s="887">
        <f>MIN(TRUNC(G22*S14,2),I22)</f>
        <v>0</v>
      </c>
      <c r="V14" s="1109" t="s">
        <v>1989</v>
      </c>
      <c r="W14" s="1110" t="s">
        <v>2639</v>
      </c>
      <c r="X14" s="1109" t="s">
        <v>583</v>
      </c>
      <c r="Y14" s="1110" t="s">
        <v>315</v>
      </c>
      <c r="Z14" s="1321"/>
      <c r="AA14" s="1321"/>
      <c r="AB14" s="1328">
        <v>0.05</v>
      </c>
      <c r="AC14" s="1328">
        <v>0.1</v>
      </c>
      <c r="AD14" s="1328"/>
      <c r="AE14" s="1321"/>
      <c r="AF14" s="1321"/>
      <c r="AG14" s="1324" t="s">
        <v>5022</v>
      </c>
      <c r="AH14" s="1329" t="s">
        <v>5023</v>
      </c>
    </row>
    <row r="15" spans="1:34" ht="12.75" customHeight="1" x14ac:dyDescent="0.4">
      <c r="A15" s="67"/>
      <c r="B15" s="352"/>
      <c r="C15" s="348"/>
      <c r="D15" s="348"/>
      <c r="E15" s="348"/>
      <c r="F15" s="348"/>
      <c r="G15" s="348"/>
      <c r="H15" s="348"/>
      <c r="I15" s="348"/>
      <c r="J15" s="348"/>
      <c r="K15" s="560" t="s">
        <v>5228</v>
      </c>
      <c r="L15" s="348"/>
      <c r="M15" s="348"/>
      <c r="N15" s="350"/>
      <c r="O15" s="67"/>
      <c r="P15" s="8" t="s">
        <v>2330</v>
      </c>
      <c r="Q15" s="16">
        <v>1</v>
      </c>
      <c r="R15" s="886">
        <v>1</v>
      </c>
      <c r="S15" s="3">
        <f t="shared" si="0"/>
        <v>1</v>
      </c>
      <c r="T15" s="886">
        <v>1</v>
      </c>
      <c r="U15" s="887">
        <f>MIN(TRUNC(G26*S15,2),I26)</f>
        <v>0</v>
      </c>
      <c r="V15" s="1109" t="s">
        <v>1252</v>
      </c>
      <c r="W15" s="1110" t="s">
        <v>1252</v>
      </c>
      <c r="X15" s="1109" t="s">
        <v>1237</v>
      </c>
      <c r="Y15" s="1110" t="s">
        <v>316</v>
      </c>
      <c r="Z15" s="1321"/>
      <c r="AA15" s="1321"/>
      <c r="AB15" s="1325"/>
      <c r="AC15" s="1325"/>
      <c r="AD15" s="1325"/>
      <c r="AE15" s="1321"/>
      <c r="AF15" s="1321"/>
      <c r="AG15" s="1324" t="s">
        <v>1252</v>
      </c>
      <c r="AH15" s="1326"/>
    </row>
    <row r="16" spans="1:34" ht="12.75" customHeight="1" x14ac:dyDescent="0.4">
      <c r="A16" s="67"/>
      <c r="B16" s="352"/>
      <c r="C16" s="348"/>
      <c r="D16" s="348"/>
      <c r="E16" s="348"/>
      <c r="F16" s="348"/>
      <c r="G16" s="348"/>
      <c r="H16" s="360" t="s">
        <v>3901</v>
      </c>
      <c r="I16" s="585"/>
      <c r="J16" s="348"/>
      <c r="K16" s="1337" t="str">
        <f>IF(ISNA(VLOOKUP(E14,V$5:AF$245,R12+4,FALSE)),"",IF(VLOOKUP(E14,V$5:AF$245,R12+4,FALSE)="","",VLOOKUP(E14,V$5:AF$245,R12+4,FALSE)))</f>
        <v/>
      </c>
      <c r="L16" s="348"/>
      <c r="M16" s="348"/>
      <c r="N16" s="350"/>
      <c r="O16" s="67"/>
      <c r="P16" s="8" t="s">
        <v>2331</v>
      </c>
      <c r="Q16" s="16">
        <v>1</v>
      </c>
      <c r="R16" s="886">
        <v>1</v>
      </c>
      <c r="S16" s="3">
        <f t="shared" si="0"/>
        <v>1</v>
      </c>
      <c r="T16" s="886">
        <v>1</v>
      </c>
      <c r="U16" s="887">
        <f>MIN(TRUNC(G30*S16,2),I30)</f>
        <v>0</v>
      </c>
      <c r="V16" s="1109" t="s">
        <v>1990</v>
      </c>
      <c r="W16" s="1110" t="s">
        <v>178</v>
      </c>
      <c r="X16" s="1109" t="s">
        <v>583</v>
      </c>
      <c r="Y16" s="1110" t="s">
        <v>317</v>
      </c>
      <c r="Z16" s="1321"/>
      <c r="AA16" s="1321"/>
      <c r="AB16" s="1330" t="s">
        <v>5024</v>
      </c>
      <c r="AC16" s="1330" t="s">
        <v>5025</v>
      </c>
      <c r="AD16" s="1330" t="s">
        <v>5025</v>
      </c>
      <c r="AE16" s="1321"/>
      <c r="AF16" s="1321"/>
      <c r="AG16" s="1324" t="s">
        <v>5026</v>
      </c>
      <c r="AH16" s="1329"/>
    </row>
    <row r="17" spans="1:34" ht="12.75" customHeight="1" x14ac:dyDescent="0.4">
      <c r="A17" s="67"/>
      <c r="B17" s="352"/>
      <c r="C17" s="348"/>
      <c r="D17" s="348"/>
      <c r="E17" s="348"/>
      <c r="F17" s="348"/>
      <c r="G17" s="348"/>
      <c r="H17" s="348"/>
      <c r="I17" s="348"/>
      <c r="J17" s="348"/>
      <c r="K17" s="348"/>
      <c r="L17" s="348"/>
      <c r="M17" s="348"/>
      <c r="N17" s="350"/>
      <c r="O17" s="67"/>
      <c r="P17" s="8" t="s">
        <v>2332</v>
      </c>
      <c r="Q17" s="16">
        <v>1</v>
      </c>
      <c r="R17" s="886">
        <v>1</v>
      </c>
      <c r="S17" s="3">
        <f t="shared" si="0"/>
        <v>1</v>
      </c>
      <c r="T17" s="886">
        <v>1</v>
      </c>
      <c r="U17" s="887">
        <f>MIN(TRUNC(G34*S17,2),I34)</f>
        <v>0</v>
      </c>
      <c r="V17" s="1109" t="s">
        <v>1991</v>
      </c>
      <c r="W17" s="1110" t="s">
        <v>179</v>
      </c>
      <c r="X17" s="1109" t="s">
        <v>583</v>
      </c>
      <c r="Y17" s="1110" t="s">
        <v>318</v>
      </c>
      <c r="Z17" s="1321"/>
      <c r="AA17" s="1321"/>
      <c r="AB17" s="1328">
        <v>0.1</v>
      </c>
      <c r="AC17" s="1328" t="s">
        <v>5027</v>
      </c>
      <c r="AD17" s="1328"/>
      <c r="AE17" s="1321"/>
      <c r="AF17" s="1321"/>
      <c r="AG17" s="1324" t="s">
        <v>5028</v>
      </c>
      <c r="AH17" s="1329" t="s">
        <v>5029</v>
      </c>
    </row>
    <row r="18" spans="1:34" ht="12.75" customHeight="1" x14ac:dyDescent="0.4">
      <c r="A18" s="67"/>
      <c r="B18" s="354" t="s">
        <v>1091</v>
      </c>
      <c r="C18" s="348"/>
      <c r="D18" s="348"/>
      <c r="E18" s="1319" t="s">
        <v>4997</v>
      </c>
      <c r="F18" s="348"/>
      <c r="G18" s="690"/>
      <c r="H18" s="348"/>
      <c r="I18" s="689"/>
      <c r="J18" s="348"/>
      <c r="K18" s="348"/>
      <c r="L18" s="348"/>
      <c r="M18" s="690"/>
      <c r="N18" s="350"/>
      <c r="O18" s="67"/>
      <c r="P18" s="8" t="s">
        <v>2333</v>
      </c>
      <c r="Q18" s="16">
        <v>1</v>
      </c>
      <c r="R18" s="886">
        <v>1</v>
      </c>
      <c r="S18" s="3">
        <f t="shared" si="0"/>
        <v>1</v>
      </c>
      <c r="T18" s="886">
        <v>1</v>
      </c>
      <c r="U18" s="887">
        <f>MIN(TRUNC(G38*S18,2),I38)</f>
        <v>0</v>
      </c>
      <c r="V18" s="1109" t="s">
        <v>1992</v>
      </c>
      <c r="W18" s="1110" t="s">
        <v>180</v>
      </c>
      <c r="X18" s="1109" t="s">
        <v>583</v>
      </c>
      <c r="Y18" s="1110" t="s">
        <v>319</v>
      </c>
      <c r="Z18" s="1321"/>
      <c r="AA18" s="1321"/>
      <c r="AB18" s="1328">
        <v>0</v>
      </c>
      <c r="AC18" s="1328">
        <v>0.15</v>
      </c>
      <c r="AD18" s="1328"/>
      <c r="AE18" s="1321"/>
      <c r="AF18" s="1321"/>
      <c r="AG18" s="1324" t="s">
        <v>5030</v>
      </c>
      <c r="AH18" s="1329"/>
    </row>
    <row r="19" spans="1:34" ht="12.75" customHeight="1" x14ac:dyDescent="0.4">
      <c r="A19" s="67"/>
      <c r="B19" s="352"/>
      <c r="C19" s="348"/>
      <c r="D19" s="348"/>
      <c r="E19" s="348"/>
      <c r="F19" s="348"/>
      <c r="G19" s="348"/>
      <c r="H19" s="348"/>
      <c r="I19" s="348"/>
      <c r="J19" s="348"/>
      <c r="K19" s="560" t="s">
        <v>5228</v>
      </c>
      <c r="L19" s="348"/>
      <c r="M19" s="348"/>
      <c r="N19" s="350"/>
      <c r="O19" s="67"/>
      <c r="P19" s="8" t="s">
        <v>1241</v>
      </c>
      <c r="Q19" s="16">
        <v>1</v>
      </c>
      <c r="R19" s="886">
        <v>1</v>
      </c>
      <c r="S19" s="3">
        <f t="shared" si="0"/>
        <v>1</v>
      </c>
      <c r="T19" s="886">
        <v>1</v>
      </c>
      <c r="U19" s="887">
        <f>MIN(TRUNC(G36*S19,2),I36)</f>
        <v>0</v>
      </c>
      <c r="V19" s="1109" t="s">
        <v>1993</v>
      </c>
      <c r="W19" s="1110" t="s">
        <v>181</v>
      </c>
      <c r="X19" s="1109" t="s">
        <v>583</v>
      </c>
      <c r="Y19" s="1110" t="s">
        <v>320</v>
      </c>
      <c r="Z19" s="1321"/>
      <c r="AA19" s="1321"/>
      <c r="AB19" s="1328">
        <v>0.1</v>
      </c>
      <c r="AC19" s="1328">
        <v>0.15</v>
      </c>
      <c r="AD19" s="1328"/>
      <c r="AE19" s="1321"/>
      <c r="AF19" s="1321"/>
      <c r="AG19" s="1324" t="s">
        <v>5031</v>
      </c>
      <c r="AH19" s="1329" t="s">
        <v>5032</v>
      </c>
    </row>
    <row r="20" spans="1:34" ht="12.75" customHeight="1" x14ac:dyDescent="0.4">
      <c r="A20" s="67"/>
      <c r="B20" s="352"/>
      <c r="C20" s="348"/>
      <c r="D20" s="348"/>
      <c r="E20" s="348"/>
      <c r="F20" s="348"/>
      <c r="G20" s="348"/>
      <c r="H20" s="360" t="s">
        <v>547</v>
      </c>
      <c r="I20" s="585"/>
      <c r="J20" s="348"/>
      <c r="K20" s="1337" t="str">
        <f>IF(ISNA(VLOOKUP(E18,V$5:AF$245,R13+4,FALSE)),"",IF(VLOOKUP(E18,V$5:AF$245,R13+4,FALSE)="","",VLOOKUP(E18,V$5:AF$245,R13+4,FALSE)))</f>
        <v/>
      </c>
      <c r="L20" s="348"/>
      <c r="M20" s="348"/>
      <c r="N20" s="350"/>
      <c r="O20" s="67"/>
      <c r="P20" s="8" t="s">
        <v>1242</v>
      </c>
      <c r="Q20" s="16">
        <v>1</v>
      </c>
      <c r="R20" s="886">
        <v>1</v>
      </c>
      <c r="S20" s="3">
        <f t="shared" si="0"/>
        <v>1</v>
      </c>
      <c r="T20" s="886">
        <v>1</v>
      </c>
      <c r="U20" s="887">
        <f>MIN(TRUNC(G40*S20,2),I40)</f>
        <v>0</v>
      </c>
      <c r="V20" s="1109" t="s">
        <v>1253</v>
      </c>
      <c r="W20" s="1110" t="s">
        <v>1253</v>
      </c>
      <c r="X20" s="1109" t="s">
        <v>1237</v>
      </c>
      <c r="Y20" s="1110" t="s">
        <v>321</v>
      </c>
      <c r="Z20" s="1321"/>
      <c r="AA20" s="1321"/>
      <c r="AB20" s="1331"/>
      <c r="AC20" s="1331"/>
      <c r="AD20" s="1331"/>
      <c r="AE20" s="1321"/>
      <c r="AF20" s="1321"/>
      <c r="AG20" s="1324" t="s">
        <v>1253</v>
      </c>
      <c r="AH20" s="1332"/>
    </row>
    <row r="21" spans="1:34" ht="12.75" customHeight="1" x14ac:dyDescent="0.4">
      <c r="A21" s="67"/>
      <c r="B21" s="352"/>
      <c r="C21" s="348"/>
      <c r="D21" s="348"/>
      <c r="E21" s="348"/>
      <c r="F21" s="348"/>
      <c r="G21" s="348"/>
      <c r="H21" s="348"/>
      <c r="I21" s="348"/>
      <c r="J21" s="348"/>
      <c r="K21" s="348"/>
      <c r="L21" s="348"/>
      <c r="M21" s="348"/>
      <c r="N21" s="350"/>
      <c r="O21" s="67"/>
      <c r="V21" s="1109" t="s">
        <v>1194</v>
      </c>
      <c r="W21" s="1110" t="s">
        <v>182</v>
      </c>
      <c r="X21" s="1109" t="s">
        <v>583</v>
      </c>
      <c r="Y21" s="1110" t="s">
        <v>322</v>
      </c>
      <c r="Z21" s="1333"/>
      <c r="AA21" s="1333"/>
      <c r="AB21" s="1334">
        <v>0.15</v>
      </c>
      <c r="AC21" s="1334">
        <v>0.1</v>
      </c>
      <c r="AD21" s="1334"/>
      <c r="AE21" s="1333"/>
      <c r="AF21" s="1333"/>
      <c r="AG21" s="1324" t="s">
        <v>5033</v>
      </c>
      <c r="AH21" s="1326"/>
    </row>
    <row r="22" spans="1:34" ht="12.75" customHeight="1" x14ac:dyDescent="0.4">
      <c r="A22" s="67"/>
      <c r="B22" s="354" t="s">
        <v>1369</v>
      </c>
      <c r="C22" s="348"/>
      <c r="D22" s="348"/>
      <c r="E22" s="1319" t="s">
        <v>4997</v>
      </c>
      <c r="F22" s="348"/>
      <c r="G22" s="690"/>
      <c r="H22" s="348"/>
      <c r="I22" s="689"/>
      <c r="J22" s="348"/>
      <c r="K22" s="348"/>
      <c r="L22" s="348"/>
      <c r="M22" s="690"/>
      <c r="N22" s="350"/>
      <c r="O22" s="67"/>
      <c r="Q22" s="32">
        <v>1</v>
      </c>
      <c r="R22" s="885">
        <v>1</v>
      </c>
      <c r="V22" s="1109" t="s">
        <v>1254</v>
      </c>
      <c r="W22" s="1110" t="s">
        <v>1254</v>
      </c>
      <c r="X22" s="1109" t="s">
        <v>1237</v>
      </c>
      <c r="Y22" s="1110" t="s">
        <v>323</v>
      </c>
      <c r="Z22" s="1333"/>
      <c r="AA22" s="1333"/>
      <c r="AB22" s="1327"/>
      <c r="AC22" s="1327"/>
      <c r="AD22" s="1327"/>
      <c r="AE22" s="1333"/>
      <c r="AF22" s="1333"/>
      <c r="AG22" s="1324" t="s">
        <v>1254</v>
      </c>
      <c r="AH22" s="1326"/>
    </row>
    <row r="23" spans="1:34" ht="12.75" customHeight="1" x14ac:dyDescent="0.4">
      <c r="A23" s="67"/>
      <c r="B23" s="352"/>
      <c r="C23" s="348"/>
      <c r="D23" s="348"/>
      <c r="E23" s="348"/>
      <c r="F23" s="348"/>
      <c r="G23" s="348"/>
      <c r="H23" s="348"/>
      <c r="I23" s="348"/>
      <c r="J23" s="348"/>
      <c r="K23" s="560" t="s">
        <v>5228</v>
      </c>
      <c r="L23" s="348"/>
      <c r="M23" s="348"/>
      <c r="N23" s="350"/>
      <c r="O23" s="67"/>
      <c r="Q23" s="32">
        <v>2</v>
      </c>
      <c r="R23" s="883">
        <v>0</v>
      </c>
      <c r="V23" s="1109" t="s">
        <v>1994</v>
      </c>
      <c r="W23" s="1110" t="s">
        <v>183</v>
      </c>
      <c r="X23" s="1109" t="s">
        <v>583</v>
      </c>
      <c r="Y23" s="1110" t="s">
        <v>324</v>
      </c>
      <c r="Z23" s="1333"/>
      <c r="AA23" s="1333"/>
      <c r="AB23" s="1327"/>
      <c r="AC23" s="1327"/>
      <c r="AD23" s="1327"/>
      <c r="AE23" s="1333"/>
      <c r="AF23" s="1333"/>
      <c r="AG23" s="1324" t="s">
        <v>5034</v>
      </c>
      <c r="AH23" s="1326"/>
    </row>
    <row r="24" spans="1:34" ht="12.75" customHeight="1" x14ac:dyDescent="0.4">
      <c r="A24" s="67"/>
      <c r="B24" s="352"/>
      <c r="C24" s="348"/>
      <c r="D24" s="348"/>
      <c r="E24" s="348"/>
      <c r="F24" s="348"/>
      <c r="G24" s="348"/>
      <c r="H24" s="360" t="s">
        <v>548</v>
      </c>
      <c r="I24" s="585"/>
      <c r="J24" s="348"/>
      <c r="K24" s="1337" t="str">
        <f>IF(ISNA(VLOOKUP(E22,V$5:AF$245,R14+4,FALSE)),"",IF(VLOOKUP(E22,V$5:AF$245,R14+4,FALSE)="","",VLOOKUP(E22,V$5:AF$245,R14+4,FALSE)))</f>
        <v/>
      </c>
      <c r="L24" s="348"/>
      <c r="M24" s="348"/>
      <c r="N24" s="350"/>
      <c r="O24" s="67"/>
      <c r="Q24" s="32">
        <v>3</v>
      </c>
      <c r="R24" s="883">
        <v>0.05</v>
      </c>
      <c r="V24" s="1109" t="s">
        <v>1994</v>
      </c>
      <c r="W24" s="1110" t="s">
        <v>183</v>
      </c>
      <c r="X24" s="1109" t="s">
        <v>583</v>
      </c>
      <c r="Y24" s="1110" t="s">
        <v>325</v>
      </c>
      <c r="Z24" s="1333"/>
      <c r="AA24" s="1333"/>
      <c r="AB24" s="1327"/>
      <c r="AC24" s="1327"/>
      <c r="AD24" s="1327"/>
      <c r="AE24" s="1333"/>
      <c r="AF24" s="1333"/>
      <c r="AG24" s="1324" t="s">
        <v>5034</v>
      </c>
      <c r="AH24" s="1326"/>
    </row>
    <row r="25" spans="1:34" ht="12.75" customHeight="1" x14ac:dyDescent="0.4">
      <c r="A25" s="67"/>
      <c r="B25" s="352"/>
      <c r="C25" s="348"/>
      <c r="D25" s="348"/>
      <c r="E25" s="348"/>
      <c r="F25" s="348"/>
      <c r="G25" s="348"/>
      <c r="H25" s="348"/>
      <c r="I25" s="348"/>
      <c r="J25" s="348"/>
      <c r="K25" s="348"/>
      <c r="L25" s="348"/>
      <c r="M25" s="348"/>
      <c r="N25" s="350"/>
      <c r="O25" s="67"/>
      <c r="Q25" s="32">
        <v>4</v>
      </c>
      <c r="R25" s="885">
        <v>7.0000000000000007E-2</v>
      </c>
      <c r="V25" s="1109" t="s">
        <v>1994</v>
      </c>
      <c r="W25" s="1110" t="s">
        <v>183</v>
      </c>
      <c r="X25" s="1109" t="s">
        <v>583</v>
      </c>
      <c r="Y25" s="1110" t="s">
        <v>326</v>
      </c>
      <c r="Z25" s="1333"/>
      <c r="AA25" s="1333"/>
      <c r="AB25" s="1327"/>
      <c r="AC25" s="1327"/>
      <c r="AD25" s="1327"/>
      <c r="AE25" s="1333"/>
      <c r="AF25" s="1333"/>
      <c r="AG25" s="1324" t="s">
        <v>5034</v>
      </c>
      <c r="AH25" s="1326"/>
    </row>
    <row r="26" spans="1:34" ht="12.75" customHeight="1" x14ac:dyDescent="0.4">
      <c r="A26" s="67"/>
      <c r="B26" s="354" t="s">
        <v>2322</v>
      </c>
      <c r="C26" s="348"/>
      <c r="D26" s="348"/>
      <c r="E26" s="1319" t="s">
        <v>4997</v>
      </c>
      <c r="F26" s="348"/>
      <c r="G26" s="690"/>
      <c r="H26" s="348"/>
      <c r="I26" s="689"/>
      <c r="J26" s="348"/>
      <c r="K26" s="348"/>
      <c r="L26" s="348"/>
      <c r="M26" s="690"/>
      <c r="N26" s="350"/>
      <c r="O26" s="67"/>
      <c r="Q26" s="32">
        <v>5</v>
      </c>
      <c r="R26" s="883">
        <v>0.08</v>
      </c>
      <c r="V26" s="1109" t="s">
        <v>1255</v>
      </c>
      <c r="W26" s="1110" t="s">
        <v>1255</v>
      </c>
      <c r="X26" s="1109" t="s">
        <v>1237</v>
      </c>
      <c r="Y26" s="1110" t="s">
        <v>327</v>
      </c>
      <c r="Z26" s="1333"/>
      <c r="AA26" s="1333"/>
      <c r="AB26" s="1327"/>
      <c r="AC26" s="1327"/>
      <c r="AD26" s="1327"/>
      <c r="AE26" s="1333"/>
      <c r="AF26" s="1333"/>
      <c r="AG26" s="1324" t="s">
        <v>1255</v>
      </c>
      <c r="AH26" s="1326"/>
    </row>
    <row r="27" spans="1:34" ht="12.75" customHeight="1" x14ac:dyDescent="0.4">
      <c r="A27" s="67"/>
      <c r="B27" s="352"/>
      <c r="C27" s="348"/>
      <c r="D27" s="348"/>
      <c r="E27" s="348"/>
      <c r="F27" s="348"/>
      <c r="G27" s="348"/>
      <c r="H27" s="348"/>
      <c r="I27" s="348"/>
      <c r="J27" s="348"/>
      <c r="K27" s="560" t="s">
        <v>5228</v>
      </c>
      <c r="L27" s="348"/>
      <c r="M27" s="348"/>
      <c r="N27" s="350"/>
      <c r="O27" s="67"/>
      <c r="Q27" s="32">
        <v>6</v>
      </c>
      <c r="R27" s="883">
        <v>0.1</v>
      </c>
      <c r="V27" s="1109" t="s">
        <v>1995</v>
      </c>
      <c r="W27" s="1110" t="s">
        <v>184</v>
      </c>
      <c r="X27" s="1109" t="s">
        <v>583</v>
      </c>
      <c r="Y27" s="1110" t="s">
        <v>328</v>
      </c>
      <c r="Z27" s="1333"/>
      <c r="AA27" s="1333"/>
      <c r="AB27" s="1334">
        <v>0.1</v>
      </c>
      <c r="AC27" s="1334">
        <v>0.15</v>
      </c>
      <c r="AD27" s="1334"/>
      <c r="AE27" s="1333"/>
      <c r="AF27" s="1333"/>
      <c r="AG27" s="1324" t="s">
        <v>5035</v>
      </c>
      <c r="AH27" s="1326"/>
    </row>
    <row r="28" spans="1:34" ht="13.15" x14ac:dyDescent="0.4">
      <c r="A28" s="67"/>
      <c r="B28" s="352"/>
      <c r="C28" s="348"/>
      <c r="D28" s="348"/>
      <c r="E28" s="348"/>
      <c r="F28" s="348"/>
      <c r="G28" s="348"/>
      <c r="H28" s="360" t="s">
        <v>2326</v>
      </c>
      <c r="I28" s="585"/>
      <c r="J28" s="348"/>
      <c r="K28" s="1337" t="str">
        <f>IF(ISNA(VLOOKUP(E26,V$5:AF$245,R15+4,FALSE)),"",IF(VLOOKUP(E26,V$5:AF$245,R15+4,FALSE)="","",VLOOKUP(E26,V$5:AF$245,R15+4,FALSE)))</f>
        <v/>
      </c>
      <c r="L28" s="348"/>
      <c r="M28" s="348"/>
      <c r="N28" s="350"/>
      <c r="O28" s="67"/>
      <c r="Q28" s="32">
        <v>7</v>
      </c>
      <c r="R28" s="883">
        <v>0.12</v>
      </c>
      <c r="V28" s="1109" t="s">
        <v>1996</v>
      </c>
      <c r="W28" s="1110" t="s">
        <v>185</v>
      </c>
      <c r="X28" s="1109" t="s">
        <v>583</v>
      </c>
      <c r="Y28" s="1110" t="s">
        <v>329</v>
      </c>
      <c r="Z28" s="1333"/>
      <c r="AA28" s="1333"/>
      <c r="AB28" s="1328">
        <v>0</v>
      </c>
      <c r="AC28" s="1334">
        <v>0.1</v>
      </c>
      <c r="AD28" s="1334"/>
      <c r="AE28" s="1333"/>
      <c r="AF28" s="1333"/>
      <c r="AG28" s="1324" t="s">
        <v>5036</v>
      </c>
      <c r="AH28" s="1326"/>
    </row>
    <row r="29" spans="1:34" ht="13.15" x14ac:dyDescent="0.4">
      <c r="A29" s="67"/>
      <c r="B29" s="352"/>
      <c r="C29" s="348"/>
      <c r="D29" s="348"/>
      <c r="E29" s="348"/>
      <c r="F29" s="348"/>
      <c r="G29" s="348"/>
      <c r="H29" s="348"/>
      <c r="I29" s="348"/>
      <c r="J29" s="348"/>
      <c r="K29" s="348"/>
      <c r="L29" s="348"/>
      <c r="M29" s="348"/>
      <c r="N29" s="350"/>
      <c r="O29" s="67"/>
      <c r="Q29" s="32">
        <v>8</v>
      </c>
      <c r="R29" s="884">
        <v>0.125</v>
      </c>
      <c r="V29" s="1109" t="s">
        <v>1997</v>
      </c>
      <c r="W29" s="1110" t="s">
        <v>2640</v>
      </c>
      <c r="X29" s="1109" t="s">
        <v>583</v>
      </c>
      <c r="Y29" s="1110" t="s">
        <v>330</v>
      </c>
      <c r="Z29" s="1333"/>
      <c r="AA29" s="1333"/>
      <c r="AB29" s="1328">
        <v>0</v>
      </c>
      <c r="AC29" s="1334">
        <v>0</v>
      </c>
      <c r="AD29" s="1334"/>
      <c r="AE29" s="1333"/>
      <c r="AF29" s="1333"/>
      <c r="AG29" s="1324" t="s">
        <v>5037</v>
      </c>
      <c r="AH29" s="1326" t="s">
        <v>5038</v>
      </c>
    </row>
    <row r="30" spans="1:34" ht="13.15" x14ac:dyDescent="0.4">
      <c r="A30" s="67"/>
      <c r="B30" s="354" t="s">
        <v>2323</v>
      </c>
      <c r="C30" s="348"/>
      <c r="D30" s="348"/>
      <c r="E30" s="1319" t="s">
        <v>4997</v>
      </c>
      <c r="F30" s="348"/>
      <c r="G30" s="690"/>
      <c r="H30" s="348"/>
      <c r="I30" s="689"/>
      <c r="J30" s="348"/>
      <c r="K30" s="348"/>
      <c r="L30" s="348"/>
      <c r="M30" s="690"/>
      <c r="N30" s="350"/>
      <c r="O30" s="67"/>
      <c r="Q30" s="32">
        <v>9</v>
      </c>
      <c r="R30" s="883">
        <v>0.15</v>
      </c>
      <c r="V30" s="1109" t="s">
        <v>1256</v>
      </c>
      <c r="W30" s="1110" t="s">
        <v>1256</v>
      </c>
      <c r="X30" s="1109" t="s">
        <v>1237</v>
      </c>
      <c r="Y30" s="1110" t="s">
        <v>331</v>
      </c>
      <c r="Z30" s="1333"/>
      <c r="AA30" s="1333"/>
      <c r="AB30" s="1327"/>
      <c r="AC30" s="1327"/>
      <c r="AD30" s="1327"/>
      <c r="AE30" s="1333"/>
      <c r="AF30" s="1333"/>
      <c r="AG30" s="1324" t="s">
        <v>1256</v>
      </c>
      <c r="AH30" s="1326"/>
    </row>
    <row r="31" spans="1:34" ht="13.15" x14ac:dyDescent="0.4">
      <c r="A31" s="67"/>
      <c r="B31" s="352"/>
      <c r="C31" s="348"/>
      <c r="D31" s="348"/>
      <c r="E31" s="348"/>
      <c r="F31" s="348"/>
      <c r="G31" s="348"/>
      <c r="H31" s="348"/>
      <c r="I31" s="348"/>
      <c r="J31" s="348"/>
      <c r="K31" s="560" t="s">
        <v>5228</v>
      </c>
      <c r="L31" s="348"/>
      <c r="M31" s="348"/>
      <c r="N31" s="350"/>
      <c r="O31" s="67"/>
      <c r="Q31" s="32">
        <v>10</v>
      </c>
      <c r="R31" s="883">
        <v>0.17</v>
      </c>
      <c r="V31" s="1109" t="s">
        <v>1998</v>
      </c>
      <c r="W31" s="1110" t="s">
        <v>186</v>
      </c>
      <c r="X31" s="1109" t="s">
        <v>583</v>
      </c>
      <c r="Y31" s="1110" t="s">
        <v>332</v>
      </c>
      <c r="Z31" s="1333"/>
      <c r="AA31" s="1333"/>
      <c r="AB31" s="1334">
        <v>0.1</v>
      </c>
      <c r="AC31" s="1334">
        <v>0.15</v>
      </c>
      <c r="AD31" s="1334"/>
      <c r="AE31" s="1333"/>
      <c r="AF31" s="1333"/>
      <c r="AG31" s="1324" t="s">
        <v>5039</v>
      </c>
      <c r="AH31" s="1326"/>
    </row>
    <row r="32" spans="1:34" ht="13.15" x14ac:dyDescent="0.4">
      <c r="A32" s="67"/>
      <c r="B32" s="352"/>
      <c r="C32" s="348"/>
      <c r="D32" s="348"/>
      <c r="E32" s="348"/>
      <c r="F32" s="348"/>
      <c r="G32" s="348"/>
      <c r="H32" s="360" t="s">
        <v>2327</v>
      </c>
      <c r="I32" s="585"/>
      <c r="J32" s="348"/>
      <c r="K32" s="1337" t="str">
        <f>IF(ISNA(VLOOKUP(E30,V$5:AF$245,R16+4,FALSE)),"",IF(VLOOKUP(E30,V$5:AF$245,R16+4,FALSE)="","",VLOOKUP(E30,V$5:AF$245,R16+4,FALSE)))</f>
        <v/>
      </c>
      <c r="L32" s="348"/>
      <c r="M32" s="348"/>
      <c r="N32" s="350"/>
      <c r="O32" s="67"/>
      <c r="Q32" s="32">
        <v>11</v>
      </c>
      <c r="R32" s="883">
        <v>0.2</v>
      </c>
      <c r="V32" s="1109" t="s">
        <v>1999</v>
      </c>
      <c r="W32" s="1110" t="s">
        <v>187</v>
      </c>
      <c r="X32" s="1109" t="s">
        <v>583</v>
      </c>
      <c r="Y32" s="1110" t="s">
        <v>333</v>
      </c>
      <c r="Z32" s="1333"/>
      <c r="AA32" s="1333"/>
      <c r="AB32" s="1328">
        <v>0</v>
      </c>
      <c r="AC32" s="1334">
        <v>0</v>
      </c>
      <c r="AD32" s="1334"/>
      <c r="AE32" s="1333"/>
      <c r="AF32" s="1333"/>
      <c r="AG32" s="1324" t="s">
        <v>5040</v>
      </c>
      <c r="AH32" s="1326"/>
    </row>
    <row r="33" spans="1:34" ht="13.15" x14ac:dyDescent="0.4">
      <c r="A33" s="67"/>
      <c r="B33" s="352"/>
      <c r="C33" s="348"/>
      <c r="D33" s="348"/>
      <c r="E33" s="348"/>
      <c r="F33" s="348"/>
      <c r="G33" s="348"/>
      <c r="H33" s="348"/>
      <c r="I33" s="348"/>
      <c r="J33" s="348"/>
      <c r="K33" s="348"/>
      <c r="L33" s="348"/>
      <c r="M33" s="348"/>
      <c r="N33" s="350"/>
      <c r="O33" s="67"/>
      <c r="Q33" s="32">
        <v>12</v>
      </c>
      <c r="R33" s="883">
        <v>0.25</v>
      </c>
      <c r="V33" s="1109" t="s">
        <v>2000</v>
      </c>
      <c r="W33" s="1110" t="s">
        <v>188</v>
      </c>
      <c r="X33" s="1109" t="s">
        <v>583</v>
      </c>
      <c r="Y33" s="1110" t="s">
        <v>334</v>
      </c>
      <c r="Z33" s="1333"/>
      <c r="AA33" s="1333"/>
      <c r="AB33" s="1327" t="s">
        <v>5024</v>
      </c>
      <c r="AC33" s="1330" t="s">
        <v>5025</v>
      </c>
      <c r="AD33" s="1330" t="s">
        <v>5025</v>
      </c>
      <c r="AE33" s="1333"/>
      <c r="AF33" s="1333"/>
      <c r="AG33" s="1324" t="s">
        <v>5041</v>
      </c>
      <c r="AH33" s="1326"/>
    </row>
    <row r="34" spans="1:34" ht="13.15" x14ac:dyDescent="0.4">
      <c r="A34" s="67"/>
      <c r="B34" s="354" t="s">
        <v>2324</v>
      </c>
      <c r="C34" s="348"/>
      <c r="D34" s="348"/>
      <c r="E34" s="1319" t="s">
        <v>4997</v>
      </c>
      <c r="F34" s="348"/>
      <c r="G34" s="690"/>
      <c r="H34" s="348"/>
      <c r="I34" s="689"/>
      <c r="J34" s="348"/>
      <c r="K34" s="348"/>
      <c r="L34" s="348"/>
      <c r="M34" s="690"/>
      <c r="N34" s="350"/>
      <c r="O34" s="67"/>
      <c r="V34" s="1109" t="s">
        <v>2688</v>
      </c>
      <c r="W34" s="1110" t="s">
        <v>2688</v>
      </c>
      <c r="X34" s="1109" t="s">
        <v>1237</v>
      </c>
      <c r="Y34" s="1110" t="s">
        <v>335</v>
      </c>
      <c r="Z34" s="1333"/>
      <c r="AA34" s="1333"/>
      <c r="AB34" s="1327"/>
      <c r="AC34" s="1327"/>
      <c r="AD34" s="1327"/>
      <c r="AE34" s="1333"/>
      <c r="AF34" s="1333"/>
      <c r="AG34" s="1324" t="s">
        <v>2688</v>
      </c>
      <c r="AH34" s="1326"/>
    </row>
    <row r="35" spans="1:34" ht="13.15" x14ac:dyDescent="0.4">
      <c r="A35" s="67"/>
      <c r="B35" s="352"/>
      <c r="C35" s="348"/>
      <c r="D35" s="348"/>
      <c r="E35" s="348"/>
      <c r="F35" s="348"/>
      <c r="G35" s="348"/>
      <c r="H35" s="348"/>
      <c r="I35" s="348"/>
      <c r="J35" s="348"/>
      <c r="K35" s="560" t="s">
        <v>5228</v>
      </c>
      <c r="L35" s="348"/>
      <c r="M35" s="348"/>
      <c r="N35" s="350"/>
      <c r="O35" s="67"/>
      <c r="V35" s="1109" t="s">
        <v>2001</v>
      </c>
      <c r="W35" s="1110" t="s">
        <v>189</v>
      </c>
      <c r="X35" s="1109" t="s">
        <v>583</v>
      </c>
      <c r="Y35" s="1110" t="s">
        <v>336</v>
      </c>
      <c r="Z35" s="1333"/>
      <c r="AA35" s="1333"/>
      <c r="AB35" s="1334">
        <v>0.15</v>
      </c>
      <c r="AC35" s="1334">
        <v>0.15</v>
      </c>
      <c r="AD35" s="1334"/>
      <c r="AE35" s="1333"/>
      <c r="AF35" s="1333"/>
      <c r="AG35" s="1324" t="s">
        <v>5042</v>
      </c>
      <c r="AH35" s="1326"/>
    </row>
    <row r="36" spans="1:34" ht="13.15" x14ac:dyDescent="0.4">
      <c r="A36" s="67"/>
      <c r="B36" s="352"/>
      <c r="C36" s="348"/>
      <c r="D36" s="348"/>
      <c r="E36" s="348"/>
      <c r="F36" s="348"/>
      <c r="G36" s="348"/>
      <c r="H36" s="360" t="s">
        <v>2328</v>
      </c>
      <c r="I36" s="585"/>
      <c r="J36" s="348"/>
      <c r="K36" s="1337" t="str">
        <f>IF(ISNA(VLOOKUP(E34,V$5:AF$245,R17+4,FALSE)),"",IF(VLOOKUP(E34,V$5:AF$245,R17+4,FALSE)="","",VLOOKUP(E34,V$5:AF$245,R17+4,FALSE)))</f>
        <v/>
      </c>
      <c r="L36" s="348"/>
      <c r="M36" s="348"/>
      <c r="N36" s="350"/>
      <c r="O36" s="67"/>
      <c r="V36" s="1109" t="s">
        <v>1257</v>
      </c>
      <c r="W36" s="1110" t="s">
        <v>1257</v>
      </c>
      <c r="X36" s="1109" t="s">
        <v>1237</v>
      </c>
      <c r="Y36" s="1110" t="s">
        <v>337</v>
      </c>
      <c r="Z36" s="1333"/>
      <c r="AA36" s="1333"/>
      <c r="AB36" s="1327"/>
      <c r="AC36" s="1327"/>
      <c r="AD36" s="1327"/>
      <c r="AE36" s="1333"/>
      <c r="AF36" s="1333"/>
      <c r="AG36" s="1324" t="s">
        <v>1257</v>
      </c>
      <c r="AH36" s="1326"/>
    </row>
    <row r="37" spans="1:34" ht="13.15" x14ac:dyDescent="0.4">
      <c r="A37" s="67"/>
      <c r="B37" s="352"/>
      <c r="C37" s="348"/>
      <c r="D37" s="348"/>
      <c r="E37" s="348"/>
      <c r="F37" s="348"/>
      <c r="G37" s="348"/>
      <c r="H37" s="348"/>
      <c r="I37" s="348"/>
      <c r="J37" s="348"/>
      <c r="K37" s="348"/>
      <c r="L37" s="348"/>
      <c r="M37" s="348"/>
      <c r="N37" s="350"/>
      <c r="O37" s="67"/>
      <c r="V37" s="1109" t="s">
        <v>2002</v>
      </c>
      <c r="W37" s="1110" t="s">
        <v>190</v>
      </c>
      <c r="X37" s="1109" t="s">
        <v>583</v>
      </c>
      <c r="Y37" s="1110" t="s">
        <v>338</v>
      </c>
      <c r="Z37" s="1333"/>
      <c r="AA37" s="1333"/>
      <c r="AB37" s="1334" t="s">
        <v>5043</v>
      </c>
      <c r="AC37" s="1327" t="s">
        <v>5044</v>
      </c>
      <c r="AD37" s="1327"/>
      <c r="AE37" s="1333"/>
      <c r="AF37" s="1333"/>
      <c r="AG37" s="1324" t="s">
        <v>5045</v>
      </c>
      <c r="AH37" s="1326" t="s">
        <v>5046</v>
      </c>
    </row>
    <row r="38" spans="1:34" ht="13.15" x14ac:dyDescent="0.4">
      <c r="A38" s="67"/>
      <c r="B38" s="354" t="s">
        <v>2325</v>
      </c>
      <c r="C38" s="348"/>
      <c r="D38" s="348"/>
      <c r="E38" s="1319" t="s">
        <v>4997</v>
      </c>
      <c r="F38" s="348"/>
      <c r="G38" s="690"/>
      <c r="H38" s="348"/>
      <c r="I38" s="689"/>
      <c r="J38" s="348"/>
      <c r="K38" s="348"/>
      <c r="L38" s="348"/>
      <c r="M38" s="690"/>
      <c r="N38" s="350"/>
      <c r="O38" s="67"/>
      <c r="V38" s="1109" t="s">
        <v>2003</v>
      </c>
      <c r="W38" s="1110" t="s">
        <v>191</v>
      </c>
      <c r="X38" s="1109" t="s">
        <v>583</v>
      </c>
      <c r="Y38" s="1110" t="s">
        <v>339</v>
      </c>
      <c r="Z38" s="1333"/>
      <c r="AA38" s="1333"/>
      <c r="AB38" s="1327" t="s">
        <v>5024</v>
      </c>
      <c r="AC38" s="1327" t="s">
        <v>5044</v>
      </c>
      <c r="AD38" s="1327" t="s">
        <v>5044</v>
      </c>
      <c r="AE38" s="1333"/>
      <c r="AF38" s="1333"/>
      <c r="AG38" s="1324" t="s">
        <v>5047</v>
      </c>
      <c r="AH38" s="1326"/>
    </row>
    <row r="39" spans="1:34" ht="13.15" x14ac:dyDescent="0.4">
      <c r="A39" s="67"/>
      <c r="B39" s="352"/>
      <c r="C39" s="348"/>
      <c r="D39" s="348"/>
      <c r="E39" s="348"/>
      <c r="F39" s="348"/>
      <c r="G39" s="348"/>
      <c r="H39" s="348"/>
      <c r="I39" s="348"/>
      <c r="J39" s="348"/>
      <c r="K39" s="560" t="s">
        <v>5228</v>
      </c>
      <c r="L39" s="348"/>
      <c r="M39" s="348"/>
      <c r="N39" s="350"/>
      <c r="O39" s="67"/>
      <c r="V39" s="1109" t="s">
        <v>1258</v>
      </c>
      <c r="W39" s="1110" t="s">
        <v>1258</v>
      </c>
      <c r="X39" s="1109" t="s">
        <v>1237</v>
      </c>
      <c r="Y39" s="1110" t="s">
        <v>340</v>
      </c>
      <c r="Z39" s="1333"/>
      <c r="AA39" s="1333"/>
      <c r="AB39" s="1327"/>
      <c r="AC39" s="1327"/>
      <c r="AD39" s="1327"/>
      <c r="AE39" s="1333"/>
      <c r="AF39" s="1333"/>
      <c r="AG39" s="1324" t="s">
        <v>1258</v>
      </c>
      <c r="AH39" s="1326"/>
    </row>
    <row r="40" spans="1:34" ht="13.15" x14ac:dyDescent="0.4">
      <c r="A40" s="67"/>
      <c r="B40" s="352"/>
      <c r="C40" s="348"/>
      <c r="D40" s="348"/>
      <c r="E40" s="348"/>
      <c r="F40" s="348"/>
      <c r="G40" s="348"/>
      <c r="H40" s="360" t="s">
        <v>2329</v>
      </c>
      <c r="I40" s="585"/>
      <c r="J40" s="348"/>
      <c r="K40" s="1337" t="str">
        <f>IF(ISNA(VLOOKUP(E38,V$5:AF$245,R18+4,FALSE)),"",IF(VLOOKUP(E38,V$5:AF$245,R18+4,FALSE)="","",VLOOKUP(E38,V$5:AF$245,R18+4,FALSE)))</f>
        <v/>
      </c>
      <c r="L40" s="348"/>
      <c r="M40" s="348"/>
      <c r="N40" s="350"/>
      <c r="O40" s="67"/>
      <c r="V40" s="1109" t="s">
        <v>2004</v>
      </c>
      <c r="W40" s="1110" t="s">
        <v>192</v>
      </c>
      <c r="X40" s="1109" t="s">
        <v>583</v>
      </c>
      <c r="Y40" s="1110" t="s">
        <v>341</v>
      </c>
      <c r="Z40" s="1333"/>
      <c r="AA40" s="1333"/>
      <c r="AB40" s="1334">
        <v>0.1</v>
      </c>
      <c r="AC40" s="1334">
        <v>0.12</v>
      </c>
      <c r="AD40" s="1334"/>
      <c r="AE40" s="1333"/>
      <c r="AF40" s="1333"/>
      <c r="AG40" s="1324" t="s">
        <v>5048</v>
      </c>
      <c r="AH40" s="1326"/>
    </row>
    <row r="41" spans="1:34" ht="13.15" x14ac:dyDescent="0.4">
      <c r="A41" s="67"/>
      <c r="B41" s="352"/>
      <c r="C41" s="348"/>
      <c r="D41" s="348"/>
      <c r="E41" s="348"/>
      <c r="F41" s="348"/>
      <c r="G41" s="348"/>
      <c r="H41" s="348"/>
      <c r="I41" s="348"/>
      <c r="J41" s="348"/>
      <c r="K41" s="348"/>
      <c r="L41" s="348"/>
      <c r="M41" s="348"/>
      <c r="N41" s="350"/>
      <c r="O41" s="67"/>
      <c r="V41" s="1109" t="s">
        <v>1259</v>
      </c>
      <c r="W41" s="1110" t="s">
        <v>1259</v>
      </c>
      <c r="X41" s="1109" t="s">
        <v>1237</v>
      </c>
      <c r="Y41" s="1110" t="s">
        <v>342</v>
      </c>
      <c r="Z41" s="1333"/>
      <c r="AA41" s="1333"/>
      <c r="AB41" s="1327"/>
      <c r="AC41" s="1327"/>
      <c r="AD41" s="1327"/>
      <c r="AE41" s="1333"/>
      <c r="AF41" s="1333"/>
      <c r="AG41" s="1324" t="s">
        <v>1259</v>
      </c>
      <c r="AH41" s="1326"/>
    </row>
    <row r="42" spans="1:34" ht="13.15" x14ac:dyDescent="0.4">
      <c r="A42" s="67"/>
      <c r="B42" s="354" t="s">
        <v>1345</v>
      </c>
      <c r="C42" s="348"/>
      <c r="D42" s="348"/>
      <c r="E42" s="1319" t="s">
        <v>4997</v>
      </c>
      <c r="F42" s="348"/>
      <c r="G42" s="690"/>
      <c r="H42" s="348"/>
      <c r="I42" s="689"/>
      <c r="J42" s="348"/>
      <c r="K42" s="348"/>
      <c r="L42" s="348"/>
      <c r="M42" s="690"/>
      <c r="N42" s="350"/>
      <c r="O42" s="67"/>
      <c r="V42" s="1109" t="s">
        <v>3242</v>
      </c>
      <c r="W42" s="1110" t="s">
        <v>193</v>
      </c>
      <c r="X42" s="1109" t="s">
        <v>583</v>
      </c>
      <c r="Y42" s="1110" t="s">
        <v>343</v>
      </c>
      <c r="Z42" s="1333"/>
      <c r="AA42" s="1333"/>
      <c r="AB42" s="1327" t="s">
        <v>5049</v>
      </c>
      <c r="AC42" s="1334">
        <v>0.15</v>
      </c>
      <c r="AD42" s="1334"/>
      <c r="AE42" s="1333"/>
      <c r="AF42" s="1333"/>
      <c r="AG42" s="1324" t="s">
        <v>5050</v>
      </c>
      <c r="AH42" s="1326" t="s">
        <v>5051</v>
      </c>
    </row>
    <row r="43" spans="1:34" ht="13.15" x14ac:dyDescent="0.4">
      <c r="A43" s="67"/>
      <c r="B43" s="352"/>
      <c r="C43" s="348"/>
      <c r="D43" s="348"/>
      <c r="E43" s="348"/>
      <c r="F43" s="348"/>
      <c r="G43" s="348"/>
      <c r="H43" s="348"/>
      <c r="I43" s="348"/>
      <c r="J43" s="348"/>
      <c r="K43" s="560" t="s">
        <v>5228</v>
      </c>
      <c r="L43" s="348"/>
      <c r="M43" s="348"/>
      <c r="N43" s="350"/>
      <c r="O43" s="67"/>
      <c r="V43" s="1109" t="s">
        <v>2005</v>
      </c>
      <c r="W43" s="1110" t="s">
        <v>194</v>
      </c>
      <c r="X43" s="1109" t="s">
        <v>583</v>
      </c>
      <c r="Y43" s="1110" t="s">
        <v>344</v>
      </c>
      <c r="Z43" s="1333"/>
      <c r="AA43" s="1333"/>
      <c r="AB43" s="1327"/>
      <c r="AC43" s="1327"/>
      <c r="AD43" s="1327"/>
      <c r="AE43" s="1333"/>
      <c r="AF43" s="1333"/>
      <c r="AG43" s="1324" t="s">
        <v>5052</v>
      </c>
      <c r="AH43" s="1326"/>
    </row>
    <row r="44" spans="1:34" ht="13.15" x14ac:dyDescent="0.4">
      <c r="A44" s="67"/>
      <c r="B44" s="352"/>
      <c r="C44" s="348"/>
      <c r="D44" s="348"/>
      <c r="E44" s="348"/>
      <c r="F44" s="348"/>
      <c r="G44" s="348"/>
      <c r="H44" s="360" t="s">
        <v>1347</v>
      </c>
      <c r="I44" s="585"/>
      <c r="J44" s="348"/>
      <c r="K44" s="1337" t="str">
        <f>IF(ISNA(VLOOKUP(E42,V$5:AF$245,R19+4,FALSE)),"",IF(VLOOKUP(E42,V$5:AF$245,R19+4,FALSE)="","",VLOOKUP(E42,V$5:AF$245,R19+4,FALSE)))</f>
        <v/>
      </c>
      <c r="L44" s="348"/>
      <c r="M44" s="348"/>
      <c r="N44" s="350"/>
      <c r="O44" s="67"/>
      <c r="V44" s="1109" t="s">
        <v>3950</v>
      </c>
      <c r="W44" s="1110" t="s">
        <v>195</v>
      </c>
      <c r="X44" s="1109" t="s">
        <v>583</v>
      </c>
      <c r="Y44" s="1110" t="s">
        <v>345</v>
      </c>
      <c r="Z44" s="1333"/>
      <c r="AA44" s="1333"/>
      <c r="AB44" s="1328">
        <v>0</v>
      </c>
      <c r="AC44" s="1334">
        <v>0.15</v>
      </c>
      <c r="AD44" s="1334"/>
      <c r="AE44" s="1333"/>
      <c r="AF44" s="1333"/>
      <c r="AG44" s="1324" t="s">
        <v>5053</v>
      </c>
      <c r="AH44" s="1326"/>
    </row>
    <row r="45" spans="1:34" ht="13.15" x14ac:dyDescent="0.4">
      <c r="A45" s="67"/>
      <c r="B45" s="352"/>
      <c r="C45" s="348"/>
      <c r="D45" s="348"/>
      <c r="E45" s="348"/>
      <c r="F45" s="348"/>
      <c r="G45" s="348"/>
      <c r="H45" s="348"/>
      <c r="I45" s="348"/>
      <c r="J45" s="348"/>
      <c r="K45" s="348"/>
      <c r="L45" s="348"/>
      <c r="M45" s="348"/>
      <c r="N45" s="350"/>
      <c r="O45" s="67"/>
      <c r="V45" s="1109" t="s">
        <v>2006</v>
      </c>
      <c r="W45" s="1110" t="s">
        <v>196</v>
      </c>
      <c r="X45" s="1109" t="s">
        <v>583</v>
      </c>
      <c r="Y45" s="1110" t="s">
        <v>346</v>
      </c>
      <c r="Z45" s="1333"/>
      <c r="AA45" s="1333"/>
      <c r="AB45" s="1334">
        <v>0.15</v>
      </c>
      <c r="AC45" s="1334">
        <v>0.15</v>
      </c>
      <c r="AD45" s="1334"/>
      <c r="AE45" s="1333"/>
      <c r="AF45" s="1333"/>
      <c r="AG45" s="1324" t="s">
        <v>5054</v>
      </c>
      <c r="AH45" s="1326"/>
    </row>
    <row r="46" spans="1:34" ht="13.15" x14ac:dyDescent="0.4">
      <c r="A46" s="67"/>
      <c r="B46" s="354" t="s">
        <v>1346</v>
      </c>
      <c r="C46" s="348"/>
      <c r="D46" s="348"/>
      <c r="E46" s="1319" t="s">
        <v>4997</v>
      </c>
      <c r="F46" s="348"/>
      <c r="G46" s="690"/>
      <c r="H46" s="348"/>
      <c r="I46" s="689"/>
      <c r="J46" s="348"/>
      <c r="K46" s="348"/>
      <c r="L46" s="348"/>
      <c r="M46" s="690"/>
      <c r="N46" s="350"/>
      <c r="O46" s="67"/>
      <c r="V46" s="1109" t="s">
        <v>2007</v>
      </c>
      <c r="W46" s="1110" t="s">
        <v>197</v>
      </c>
      <c r="X46" s="1109" t="s">
        <v>583</v>
      </c>
      <c r="Y46" s="1110" t="s">
        <v>347</v>
      </c>
      <c r="Z46" s="1333"/>
      <c r="AA46" s="1333"/>
      <c r="AB46" s="1327" t="s">
        <v>5049</v>
      </c>
      <c r="AC46" s="1334">
        <v>0.1</v>
      </c>
      <c r="AD46" s="1334"/>
      <c r="AE46" s="1333"/>
      <c r="AF46" s="1333"/>
      <c r="AG46" s="1324" t="s">
        <v>5055</v>
      </c>
      <c r="AH46" s="1326" t="s">
        <v>5056</v>
      </c>
    </row>
    <row r="47" spans="1:34" ht="13.15" x14ac:dyDescent="0.4">
      <c r="A47" s="1657"/>
      <c r="B47" s="352"/>
      <c r="C47" s="348"/>
      <c r="D47" s="348"/>
      <c r="E47" s="348"/>
      <c r="F47" s="348"/>
      <c r="G47" s="348"/>
      <c r="H47" s="348"/>
      <c r="I47" s="348"/>
      <c r="J47" s="348"/>
      <c r="K47" s="560" t="s">
        <v>5228</v>
      </c>
      <c r="L47" s="348"/>
      <c r="M47" s="348"/>
      <c r="N47" s="350"/>
      <c r="O47" s="67"/>
      <c r="V47" s="1109" t="s">
        <v>2008</v>
      </c>
      <c r="W47" s="1110" t="s">
        <v>198</v>
      </c>
      <c r="X47" s="1109" t="s">
        <v>583</v>
      </c>
      <c r="Y47" s="1110" t="s">
        <v>348</v>
      </c>
      <c r="Z47" s="1333"/>
      <c r="AA47" s="1333"/>
      <c r="AB47" s="1334">
        <v>0.15</v>
      </c>
      <c r="AC47" s="1327" t="s">
        <v>5027</v>
      </c>
      <c r="AD47" s="1327"/>
      <c r="AE47" s="1333"/>
      <c r="AF47" s="1333"/>
      <c r="AG47" s="1324" t="s">
        <v>5057</v>
      </c>
      <c r="AH47" s="1326" t="s">
        <v>5058</v>
      </c>
    </row>
    <row r="48" spans="1:34" ht="13.15" x14ac:dyDescent="0.4">
      <c r="A48" s="1657"/>
      <c r="B48" s="352"/>
      <c r="C48" s="348"/>
      <c r="D48" s="348"/>
      <c r="E48" s="348"/>
      <c r="F48" s="348"/>
      <c r="G48" s="348"/>
      <c r="H48" s="360" t="s">
        <v>1348</v>
      </c>
      <c r="I48" s="585"/>
      <c r="J48" s="348"/>
      <c r="K48" s="1337" t="str">
        <f>IF(ISNA(VLOOKUP(E46,V$5:AF$245,R20+4,FALSE)),"",IF(VLOOKUP(E46,V$5:AF$245,R20+4,FALSE)="","",VLOOKUP(E46,V$5:AF$245,R20+4,FALSE)))</f>
        <v/>
      </c>
      <c r="L48" s="348"/>
      <c r="M48" s="348"/>
      <c r="N48" s="350"/>
      <c r="O48" s="67"/>
      <c r="V48" s="1109" t="s">
        <v>1260</v>
      </c>
      <c r="W48" s="1110" t="s">
        <v>1260</v>
      </c>
      <c r="X48" s="1109" t="s">
        <v>1237</v>
      </c>
      <c r="Y48" s="1110" t="s">
        <v>349</v>
      </c>
      <c r="Z48" s="1333"/>
      <c r="AA48" s="1333"/>
      <c r="AB48" s="1327"/>
      <c r="AC48" s="1327"/>
      <c r="AD48" s="1327"/>
      <c r="AE48" s="1333"/>
      <c r="AF48" s="1333"/>
      <c r="AG48" s="1324" t="s">
        <v>1260</v>
      </c>
      <c r="AH48" s="1326"/>
    </row>
    <row r="49" spans="1:34" ht="13.15" x14ac:dyDescent="0.4">
      <c r="A49" s="1657"/>
      <c r="B49" s="355"/>
      <c r="C49" s="356"/>
      <c r="D49" s="356"/>
      <c r="E49" s="356"/>
      <c r="F49" s="356"/>
      <c r="G49" s="356"/>
      <c r="H49" s="356"/>
      <c r="I49" s="356"/>
      <c r="J49" s="356"/>
      <c r="K49" s="356"/>
      <c r="L49" s="356"/>
      <c r="M49" s="356"/>
      <c r="N49" s="357"/>
      <c r="O49" s="67"/>
      <c r="V49" s="1109" t="s">
        <v>1261</v>
      </c>
      <c r="W49" s="1110" t="s">
        <v>1261</v>
      </c>
      <c r="X49" s="1109" t="s">
        <v>1237</v>
      </c>
      <c r="Y49" s="1110" t="s">
        <v>350</v>
      </c>
      <c r="Z49" s="1333"/>
      <c r="AA49" s="1333"/>
      <c r="AB49" s="1327"/>
      <c r="AC49" s="1327"/>
      <c r="AD49" s="1327"/>
      <c r="AE49" s="1333"/>
      <c r="AF49" s="1333"/>
      <c r="AG49" s="1324" t="s">
        <v>1261</v>
      </c>
      <c r="AH49" s="1326"/>
    </row>
    <row r="50" spans="1:34" ht="13.15" x14ac:dyDescent="0.4">
      <c r="A50" s="1657"/>
      <c r="B50" s="67"/>
      <c r="C50" s="67"/>
      <c r="D50" s="67"/>
      <c r="E50" s="67"/>
      <c r="F50" s="67"/>
      <c r="G50" s="67"/>
      <c r="H50" s="67"/>
      <c r="I50" s="67"/>
      <c r="J50" s="67"/>
      <c r="K50" s="67"/>
      <c r="L50" s="67"/>
      <c r="M50" s="67"/>
      <c r="N50" s="67"/>
      <c r="O50" s="67"/>
      <c r="V50" s="1109" t="s">
        <v>1262</v>
      </c>
      <c r="W50" s="1110" t="s">
        <v>1262</v>
      </c>
      <c r="X50" s="1109" t="s">
        <v>1237</v>
      </c>
      <c r="Y50" s="1110" t="s">
        <v>351</v>
      </c>
      <c r="Z50" s="1333"/>
      <c r="AA50" s="1333"/>
      <c r="AB50" s="1327"/>
      <c r="AC50" s="1327"/>
      <c r="AD50" s="1327"/>
      <c r="AE50" s="1333"/>
      <c r="AF50" s="1333"/>
      <c r="AG50" s="1324" t="s">
        <v>1262</v>
      </c>
      <c r="AH50" s="1326"/>
    </row>
    <row r="51" spans="1:34" ht="13.15" x14ac:dyDescent="0.4">
      <c r="A51" s="1657"/>
      <c r="B51" s="67"/>
      <c r="C51" s="67"/>
      <c r="D51" s="67"/>
      <c r="E51" s="67"/>
      <c r="F51" s="67"/>
      <c r="G51" s="67"/>
      <c r="H51" s="67"/>
      <c r="I51" s="67"/>
      <c r="J51" s="67"/>
      <c r="K51" s="67"/>
      <c r="L51" s="67"/>
      <c r="M51" s="67"/>
      <c r="N51" s="67"/>
      <c r="O51" s="67"/>
      <c r="V51" s="1109" t="s">
        <v>1263</v>
      </c>
      <c r="W51" s="1110" t="s">
        <v>1263</v>
      </c>
      <c r="X51" s="1109" t="s">
        <v>1237</v>
      </c>
      <c r="Y51" s="1110" t="s">
        <v>352</v>
      </c>
      <c r="Z51" s="1333"/>
      <c r="AA51" s="1333"/>
      <c r="AB51" s="1327"/>
      <c r="AC51" s="1327"/>
      <c r="AD51" s="1327"/>
      <c r="AE51" s="1333"/>
      <c r="AF51" s="1333"/>
      <c r="AG51" s="1324" t="s">
        <v>1263</v>
      </c>
      <c r="AH51" s="1326"/>
    </row>
    <row r="52" spans="1:34" ht="13.15" x14ac:dyDescent="0.4">
      <c r="A52" s="1657"/>
      <c r="B52" s="67"/>
      <c r="C52" s="67"/>
      <c r="D52" s="67"/>
      <c r="E52" s="67"/>
      <c r="F52" s="67"/>
      <c r="G52" s="67"/>
      <c r="H52" s="67"/>
      <c r="I52" s="67"/>
      <c r="J52" s="67"/>
      <c r="K52" s="67"/>
      <c r="L52" s="67"/>
      <c r="M52" s="67"/>
      <c r="N52" s="67"/>
      <c r="O52" s="67"/>
      <c r="V52" s="1109" t="s">
        <v>1264</v>
      </c>
      <c r="W52" s="1110" t="s">
        <v>1264</v>
      </c>
      <c r="X52" s="1109" t="s">
        <v>1237</v>
      </c>
      <c r="Y52" s="1110" t="s">
        <v>353</v>
      </c>
      <c r="Z52" s="1333"/>
      <c r="AA52" s="1333"/>
      <c r="AB52" s="1327"/>
      <c r="AC52" s="1327"/>
      <c r="AD52" s="1327"/>
      <c r="AE52" s="1333"/>
      <c r="AF52" s="1333"/>
      <c r="AG52" s="1324" t="s">
        <v>1264</v>
      </c>
      <c r="AH52" s="1326"/>
    </row>
    <row r="53" spans="1:34" ht="13.15" x14ac:dyDescent="0.4">
      <c r="A53" s="1657"/>
      <c r="B53" s="67"/>
      <c r="C53" s="67"/>
      <c r="D53" s="67"/>
      <c r="E53" s="67"/>
      <c r="F53" s="67"/>
      <c r="G53" s="67"/>
      <c r="H53" s="67"/>
      <c r="I53" s="67"/>
      <c r="J53" s="67"/>
      <c r="K53" s="67"/>
      <c r="L53" s="67"/>
      <c r="M53" s="67"/>
      <c r="N53" s="67"/>
      <c r="O53" s="67"/>
      <c r="V53" s="1109" t="s">
        <v>1265</v>
      </c>
      <c r="W53" s="1110" t="s">
        <v>1265</v>
      </c>
      <c r="X53" s="1109" t="s">
        <v>1237</v>
      </c>
      <c r="Y53" s="1110" t="s">
        <v>354</v>
      </c>
      <c r="Z53" s="1333"/>
      <c r="AA53" s="1333"/>
      <c r="AB53" s="1327"/>
      <c r="AC53" s="1327"/>
      <c r="AD53" s="1327"/>
      <c r="AE53" s="1333"/>
      <c r="AF53" s="1333"/>
      <c r="AG53" s="1324" t="s">
        <v>1265</v>
      </c>
      <c r="AH53" s="1326"/>
    </row>
    <row r="54" spans="1:34" ht="13.15" x14ac:dyDescent="0.4">
      <c r="A54" s="1657"/>
      <c r="B54" s="67"/>
      <c r="C54" s="67"/>
      <c r="D54" s="67"/>
      <c r="E54" s="67"/>
      <c r="F54" s="67"/>
      <c r="G54" s="67"/>
      <c r="H54" s="67"/>
      <c r="I54" s="67"/>
      <c r="J54" s="67"/>
      <c r="K54" s="67"/>
      <c r="L54" s="67"/>
      <c r="M54" s="67"/>
      <c r="N54" s="67"/>
      <c r="O54" s="67"/>
      <c r="V54" s="1109" t="s">
        <v>1266</v>
      </c>
      <c r="W54" s="1110" t="s">
        <v>1266</v>
      </c>
      <c r="X54" s="1109" t="s">
        <v>1237</v>
      </c>
      <c r="Y54" s="1110" t="s">
        <v>355</v>
      </c>
      <c r="Z54" s="1333"/>
      <c r="AA54" s="1333"/>
      <c r="AB54" s="1327"/>
      <c r="AC54" s="1327"/>
      <c r="AD54" s="1327"/>
      <c r="AE54" s="1333"/>
      <c r="AF54" s="1333"/>
      <c r="AG54" s="1324" t="s">
        <v>1266</v>
      </c>
      <c r="AH54" s="1326"/>
    </row>
    <row r="55" spans="1:34" ht="13.15" x14ac:dyDescent="0.4">
      <c r="V55" s="1109" t="s">
        <v>1267</v>
      </c>
      <c r="W55" s="1110" t="s">
        <v>1267</v>
      </c>
      <c r="X55" s="1109" t="s">
        <v>1237</v>
      </c>
      <c r="Y55" s="1110" t="s">
        <v>356</v>
      </c>
      <c r="Z55" s="1333"/>
      <c r="AA55" s="1333"/>
      <c r="AB55" s="1327"/>
      <c r="AC55" s="1327"/>
      <c r="AD55" s="1327"/>
      <c r="AE55" s="1333"/>
      <c r="AF55" s="1333"/>
      <c r="AG55" s="1324" t="s">
        <v>1267</v>
      </c>
      <c r="AH55" s="1326"/>
    </row>
    <row r="56" spans="1:34" ht="13.15" x14ac:dyDescent="0.4">
      <c r="V56" s="1109" t="s">
        <v>1268</v>
      </c>
      <c r="W56" s="1110" t="s">
        <v>1268</v>
      </c>
      <c r="X56" s="1109" t="s">
        <v>1237</v>
      </c>
      <c r="Y56" s="1110" t="s">
        <v>357</v>
      </c>
      <c r="Z56" s="1333"/>
      <c r="AA56" s="1333"/>
      <c r="AB56" s="1327"/>
      <c r="AC56" s="1327"/>
      <c r="AD56" s="1327"/>
      <c r="AE56" s="1333"/>
      <c r="AF56" s="1333"/>
      <c r="AG56" s="1324" t="s">
        <v>1268</v>
      </c>
      <c r="AH56" s="1326"/>
    </row>
    <row r="57" spans="1:34" ht="13.15" x14ac:dyDescent="0.4">
      <c r="V57" s="1109" t="s">
        <v>2009</v>
      </c>
      <c r="W57" s="1110" t="s">
        <v>199</v>
      </c>
      <c r="X57" s="1109" t="s">
        <v>583</v>
      </c>
      <c r="Y57" s="1110" t="s">
        <v>358</v>
      </c>
      <c r="Z57" s="1333"/>
      <c r="AA57" s="1333"/>
      <c r="AB57" s="1327"/>
      <c r="AC57" s="1327"/>
      <c r="AD57" s="1327"/>
      <c r="AE57" s="1333"/>
      <c r="AF57" s="1333"/>
      <c r="AG57" s="1324" t="s">
        <v>5059</v>
      </c>
      <c r="AH57" s="1326"/>
    </row>
    <row r="58" spans="1:34" ht="13.15" x14ac:dyDescent="0.4">
      <c r="V58" s="1109" t="s">
        <v>2010</v>
      </c>
      <c r="W58" s="1110" t="s">
        <v>200</v>
      </c>
      <c r="X58" s="1109" t="s">
        <v>583</v>
      </c>
      <c r="Y58" s="1110" t="s">
        <v>359</v>
      </c>
      <c r="Z58" s="1333"/>
      <c r="AA58" s="1333"/>
      <c r="AB58" s="1327"/>
      <c r="AC58" s="1327"/>
      <c r="AD58" s="1327"/>
      <c r="AE58" s="1333"/>
      <c r="AF58" s="1333"/>
      <c r="AG58" s="1324" t="s">
        <v>5060</v>
      </c>
      <c r="AH58" s="1326"/>
    </row>
    <row r="59" spans="1:34" ht="115.9" x14ac:dyDescent="0.4">
      <c r="V59" s="1109" t="s">
        <v>2011</v>
      </c>
      <c r="W59" s="1110" t="s">
        <v>201</v>
      </c>
      <c r="X59" s="1109" t="s">
        <v>583</v>
      </c>
      <c r="Y59" s="1110" t="s">
        <v>360</v>
      </c>
      <c r="Z59" s="1333"/>
      <c r="AA59" s="1333"/>
      <c r="AB59" s="1327" t="s">
        <v>5061</v>
      </c>
      <c r="AC59" s="1327" t="s">
        <v>5061</v>
      </c>
      <c r="AD59" s="1327" t="s">
        <v>5025</v>
      </c>
      <c r="AE59" s="1333"/>
      <c r="AF59" s="1333"/>
      <c r="AG59" s="1324" t="s">
        <v>5062</v>
      </c>
      <c r="AH59" s="1335" t="s">
        <v>5063</v>
      </c>
    </row>
    <row r="60" spans="1:34" ht="42.4" x14ac:dyDescent="0.4">
      <c r="V60" s="1109" t="s">
        <v>2012</v>
      </c>
      <c r="W60" s="1110" t="s">
        <v>202</v>
      </c>
      <c r="X60" s="1109" t="s">
        <v>583</v>
      </c>
      <c r="Y60" s="1110" t="s">
        <v>361</v>
      </c>
      <c r="Z60" s="1333"/>
      <c r="AA60" s="1333"/>
      <c r="AB60" s="1334">
        <v>0.1</v>
      </c>
      <c r="AC60" s="1327" t="s">
        <v>5025</v>
      </c>
      <c r="AD60" s="1327" t="s">
        <v>5025</v>
      </c>
      <c r="AE60" s="1333"/>
      <c r="AF60" s="1333"/>
      <c r="AG60" s="1324" t="s">
        <v>5064</v>
      </c>
      <c r="AH60" s="1335" t="s">
        <v>5065</v>
      </c>
    </row>
    <row r="61" spans="1:34" ht="31.9" x14ac:dyDescent="0.4">
      <c r="V61" s="1109" t="s">
        <v>2013</v>
      </c>
      <c r="W61" s="1110" t="s">
        <v>203</v>
      </c>
      <c r="X61" s="1109" t="s">
        <v>583</v>
      </c>
      <c r="Y61" s="1110" t="s">
        <v>362</v>
      </c>
      <c r="Z61" s="1333"/>
      <c r="AA61" s="1333"/>
      <c r="AB61" s="1328">
        <v>0</v>
      </c>
      <c r="AC61" s="1334">
        <v>0.15</v>
      </c>
      <c r="AD61" s="1334"/>
      <c r="AE61" s="1333"/>
      <c r="AF61" s="1333"/>
      <c r="AG61" s="1324" t="s">
        <v>5066</v>
      </c>
      <c r="AH61" s="1335" t="s">
        <v>5067</v>
      </c>
    </row>
    <row r="62" spans="1:34" ht="231.4" x14ac:dyDescent="0.4">
      <c r="V62" s="1109" t="s">
        <v>2014</v>
      </c>
      <c r="W62" s="1110" t="s">
        <v>204</v>
      </c>
      <c r="X62" s="1109" t="s">
        <v>583</v>
      </c>
      <c r="Y62" s="1110" t="s">
        <v>363</v>
      </c>
      <c r="Z62" s="1333"/>
      <c r="AA62" s="1333"/>
      <c r="AB62" s="1327" t="s">
        <v>5068</v>
      </c>
      <c r="AC62" s="1327" t="s">
        <v>5069</v>
      </c>
      <c r="AD62" s="1327"/>
      <c r="AE62" s="1333"/>
      <c r="AF62" s="1333"/>
      <c r="AG62" s="1324" t="s">
        <v>5070</v>
      </c>
      <c r="AH62" s="1335" t="s">
        <v>5071</v>
      </c>
    </row>
    <row r="63" spans="1:34" ht="13.15" x14ac:dyDescent="0.4">
      <c r="V63" s="1109" t="s">
        <v>1269</v>
      </c>
      <c r="W63" s="1110" t="s">
        <v>1269</v>
      </c>
      <c r="X63" s="1109" t="s">
        <v>1237</v>
      </c>
      <c r="Y63" s="1110" t="s">
        <v>364</v>
      </c>
      <c r="Z63" s="1333"/>
      <c r="AA63" s="1333"/>
      <c r="AB63" s="1327"/>
      <c r="AC63" s="1327"/>
      <c r="AD63" s="1327"/>
      <c r="AE63" s="1333"/>
      <c r="AF63" s="1333"/>
      <c r="AG63" s="1324" t="s">
        <v>1269</v>
      </c>
      <c r="AH63" s="1335"/>
    </row>
    <row r="64" spans="1:34" ht="13.15" x14ac:dyDescent="0.4">
      <c r="V64" s="1109" t="s">
        <v>1270</v>
      </c>
      <c r="W64" s="1110" t="s">
        <v>1270</v>
      </c>
      <c r="X64" s="1109" t="s">
        <v>1237</v>
      </c>
      <c r="Y64" s="1110" t="s">
        <v>365</v>
      </c>
      <c r="Z64" s="1333"/>
      <c r="AA64" s="1333"/>
      <c r="AB64" s="1327"/>
      <c r="AC64" s="1327"/>
      <c r="AD64" s="1327"/>
      <c r="AE64" s="1333"/>
      <c r="AF64" s="1333"/>
      <c r="AG64" s="1324" t="s">
        <v>1270</v>
      </c>
      <c r="AH64" s="1335"/>
    </row>
    <row r="65" spans="22:34" ht="13.15" x14ac:dyDescent="0.4">
      <c r="V65" s="1109" t="s">
        <v>2937</v>
      </c>
      <c r="W65" s="1110" t="s">
        <v>205</v>
      </c>
      <c r="X65" s="1109" t="s">
        <v>583</v>
      </c>
      <c r="Y65" s="1110" t="s">
        <v>366</v>
      </c>
      <c r="Z65" s="1333"/>
      <c r="AA65" s="1333"/>
      <c r="AB65" s="1328">
        <v>0</v>
      </c>
      <c r="AC65" s="1334">
        <v>0.15</v>
      </c>
      <c r="AD65" s="1334"/>
      <c r="AE65" s="1333"/>
      <c r="AF65" s="1333"/>
      <c r="AG65" s="1324" t="s">
        <v>5072</v>
      </c>
      <c r="AH65" s="1335"/>
    </row>
    <row r="66" spans="22:34" ht="13.15" x14ac:dyDescent="0.4">
      <c r="V66" s="1109" t="s">
        <v>1271</v>
      </c>
      <c r="W66" s="1110" t="s">
        <v>1271</v>
      </c>
      <c r="X66" s="1109" t="s">
        <v>1237</v>
      </c>
      <c r="Y66" s="1110" t="s">
        <v>367</v>
      </c>
      <c r="Z66" s="1333"/>
      <c r="AA66" s="1333"/>
      <c r="AB66" s="1327"/>
      <c r="AC66" s="1327"/>
      <c r="AD66" s="1327"/>
      <c r="AE66" s="1333"/>
      <c r="AF66" s="1333"/>
      <c r="AG66" s="1324" t="s">
        <v>1271</v>
      </c>
      <c r="AH66" s="1335"/>
    </row>
    <row r="67" spans="22:34" ht="13.15" x14ac:dyDescent="0.4">
      <c r="V67" s="1109" t="s">
        <v>1272</v>
      </c>
      <c r="W67" s="1110" t="s">
        <v>1272</v>
      </c>
      <c r="X67" s="1109" t="s">
        <v>1237</v>
      </c>
      <c r="Y67" s="1110" t="s">
        <v>368</v>
      </c>
      <c r="Z67" s="1333"/>
      <c r="AA67" s="1333"/>
      <c r="AB67" s="1327"/>
      <c r="AC67" s="1327"/>
      <c r="AD67" s="1327"/>
      <c r="AE67" s="1333"/>
      <c r="AF67" s="1333"/>
      <c r="AG67" s="1324" t="s">
        <v>1272</v>
      </c>
      <c r="AH67" s="1335"/>
    </row>
    <row r="68" spans="22:34" ht="13.15" x14ac:dyDescent="0.4">
      <c r="V68" s="1109" t="s">
        <v>1273</v>
      </c>
      <c r="W68" s="1110" t="s">
        <v>1273</v>
      </c>
      <c r="X68" s="1109" t="s">
        <v>1237</v>
      </c>
      <c r="Y68" s="1110" t="s">
        <v>369</v>
      </c>
      <c r="Z68" s="1333"/>
      <c r="AA68" s="1333"/>
      <c r="AB68" s="1327"/>
      <c r="AC68" s="1327"/>
      <c r="AD68" s="1327"/>
      <c r="AE68" s="1333"/>
      <c r="AF68" s="1333"/>
      <c r="AG68" s="1324" t="s">
        <v>1273</v>
      </c>
      <c r="AH68" s="1335"/>
    </row>
    <row r="69" spans="22:34" ht="42.4" x14ac:dyDescent="0.4">
      <c r="V69" s="1109" t="s">
        <v>2015</v>
      </c>
      <c r="W69" s="1110" t="s">
        <v>206</v>
      </c>
      <c r="X69" s="1109" t="s">
        <v>583</v>
      </c>
      <c r="Y69" s="1110" t="s">
        <v>370</v>
      </c>
      <c r="Z69" s="1333"/>
      <c r="AA69" s="1333"/>
      <c r="AB69" s="1327" t="s">
        <v>5027</v>
      </c>
      <c r="AC69" s="1334">
        <v>0.2</v>
      </c>
      <c r="AD69" s="1334"/>
      <c r="AE69" s="1333"/>
      <c r="AF69" s="1333"/>
      <c r="AG69" s="1324" t="s">
        <v>5073</v>
      </c>
      <c r="AH69" s="1335" t="s">
        <v>5074</v>
      </c>
    </row>
    <row r="70" spans="22:34" ht="13.15" x14ac:dyDescent="0.4">
      <c r="V70" s="1109" t="s">
        <v>1274</v>
      </c>
      <c r="W70" s="1110" t="s">
        <v>1274</v>
      </c>
      <c r="X70" s="1109" t="s">
        <v>1237</v>
      </c>
      <c r="Y70" s="1110" t="s">
        <v>371</v>
      </c>
      <c r="Z70" s="1333"/>
      <c r="AA70" s="1333"/>
      <c r="AB70" s="1327"/>
      <c r="AC70" s="1327"/>
      <c r="AD70" s="1327"/>
      <c r="AE70" s="1333"/>
      <c r="AF70" s="1333"/>
      <c r="AG70" s="1324" t="s">
        <v>1274</v>
      </c>
      <c r="AH70" s="1335"/>
    </row>
    <row r="71" spans="22:34" ht="13.15" x14ac:dyDescent="0.4">
      <c r="V71" s="1109" t="s">
        <v>2016</v>
      </c>
      <c r="W71" s="1110" t="s">
        <v>207</v>
      </c>
      <c r="X71" s="1109" t="s">
        <v>583</v>
      </c>
      <c r="Y71" s="1110" t="s">
        <v>372</v>
      </c>
      <c r="Z71" s="1333"/>
      <c r="AA71" s="1333"/>
      <c r="AB71" s="1334">
        <v>0.12</v>
      </c>
      <c r="AC71" s="1334">
        <v>0.15</v>
      </c>
      <c r="AD71" s="1334"/>
      <c r="AE71" s="1333"/>
      <c r="AF71" s="1333"/>
      <c r="AG71" s="1324" t="s">
        <v>5075</v>
      </c>
      <c r="AH71" s="1335"/>
    </row>
    <row r="72" spans="22:34" ht="147.4" x14ac:dyDescent="0.4">
      <c r="V72" s="1109" t="s">
        <v>2017</v>
      </c>
      <c r="W72" s="1110" t="s">
        <v>208</v>
      </c>
      <c r="X72" s="1109" t="s">
        <v>583</v>
      </c>
      <c r="Y72" s="1110" t="s">
        <v>373</v>
      </c>
      <c r="Z72" s="1333"/>
      <c r="AA72" s="1333"/>
      <c r="AB72" s="1327" t="s">
        <v>5049</v>
      </c>
      <c r="AC72" s="1334">
        <v>0.15</v>
      </c>
      <c r="AD72" s="1334"/>
      <c r="AE72" s="1333"/>
      <c r="AF72" s="1333"/>
      <c r="AG72" s="1324" t="s">
        <v>5076</v>
      </c>
      <c r="AH72" s="1335" t="s">
        <v>5077</v>
      </c>
    </row>
    <row r="73" spans="22:34" ht="94.9" x14ac:dyDescent="0.4">
      <c r="V73" s="1109" t="s">
        <v>2018</v>
      </c>
      <c r="W73" s="1110" t="s">
        <v>2641</v>
      </c>
      <c r="X73" s="1109" t="s">
        <v>583</v>
      </c>
      <c r="Y73" s="1110" t="s">
        <v>374</v>
      </c>
      <c r="Z73" s="1333"/>
      <c r="AA73" s="1333"/>
      <c r="AB73" s="1334">
        <v>0.05</v>
      </c>
      <c r="AC73" s="1334">
        <v>0.1</v>
      </c>
      <c r="AD73" s="1334"/>
      <c r="AE73" s="1333"/>
      <c r="AF73" s="1333"/>
      <c r="AG73" s="1324" t="s">
        <v>5078</v>
      </c>
      <c r="AH73" s="1335" t="s">
        <v>5079</v>
      </c>
    </row>
    <row r="74" spans="22:34" ht="13.15" x14ac:dyDescent="0.4">
      <c r="V74" s="1109" t="s">
        <v>942</v>
      </c>
      <c r="W74" s="1110" t="s">
        <v>209</v>
      </c>
      <c r="X74" s="1109" t="s">
        <v>583</v>
      </c>
      <c r="Y74" s="1110" t="s">
        <v>375</v>
      </c>
      <c r="Z74" s="1333"/>
      <c r="AA74" s="1333"/>
      <c r="AB74" s="1328">
        <v>0</v>
      </c>
      <c r="AC74" s="1334">
        <v>0</v>
      </c>
      <c r="AD74" s="1334"/>
      <c r="AE74" s="1333"/>
      <c r="AF74" s="1333"/>
      <c r="AG74" s="1324" t="s">
        <v>5080</v>
      </c>
      <c r="AH74" s="1335"/>
    </row>
    <row r="75" spans="22:34" ht="63.4" x14ac:dyDescent="0.4">
      <c r="V75" s="1109" t="s">
        <v>2019</v>
      </c>
      <c r="W75" s="1110" t="s">
        <v>210</v>
      </c>
      <c r="X75" s="1109" t="s">
        <v>583</v>
      </c>
      <c r="Y75" s="1110" t="s">
        <v>376</v>
      </c>
      <c r="Z75" s="1333"/>
      <c r="AA75" s="1333"/>
      <c r="AB75" s="1334">
        <v>0.1</v>
      </c>
      <c r="AC75" s="1334">
        <v>0.15</v>
      </c>
      <c r="AD75" s="1334"/>
      <c r="AE75" s="1333"/>
      <c r="AF75" s="1333"/>
      <c r="AG75" s="1324" t="s">
        <v>5081</v>
      </c>
      <c r="AH75" s="1335" t="s">
        <v>5082</v>
      </c>
    </row>
    <row r="76" spans="22:34" ht="115.9" x14ac:dyDescent="0.4">
      <c r="V76" s="1109" t="s">
        <v>2020</v>
      </c>
      <c r="W76" s="1110" t="s">
        <v>211</v>
      </c>
      <c r="X76" s="1109" t="s">
        <v>583</v>
      </c>
      <c r="Y76" s="1110" t="s">
        <v>377</v>
      </c>
      <c r="Z76" s="1333"/>
      <c r="AA76" s="1333"/>
      <c r="AB76" s="1327" t="s">
        <v>5083</v>
      </c>
      <c r="AC76" s="1327" t="s">
        <v>5084</v>
      </c>
      <c r="AD76" s="1327"/>
      <c r="AE76" s="1333"/>
      <c r="AF76" s="1333"/>
      <c r="AG76" s="1324" t="s">
        <v>5085</v>
      </c>
      <c r="AH76" s="1335" t="s">
        <v>5086</v>
      </c>
    </row>
    <row r="77" spans="22:34" ht="13.15" x14ac:dyDescent="0.4">
      <c r="V77" s="1109" t="s">
        <v>2972</v>
      </c>
      <c r="W77" s="1110" t="s">
        <v>212</v>
      </c>
      <c r="X77" s="1109" t="s">
        <v>583</v>
      </c>
      <c r="Y77" s="1110" t="s">
        <v>378</v>
      </c>
      <c r="Z77" s="1333"/>
      <c r="AA77" s="1333"/>
      <c r="AB77" s="1328">
        <v>0</v>
      </c>
      <c r="AC77" s="1334">
        <v>0.15</v>
      </c>
      <c r="AD77" s="1334"/>
      <c r="AE77" s="1333"/>
      <c r="AF77" s="1333"/>
      <c r="AG77" s="1324" t="s">
        <v>5087</v>
      </c>
      <c r="AH77" s="1335"/>
    </row>
    <row r="78" spans="22:34" ht="73.900000000000006" x14ac:dyDescent="0.4">
      <c r="V78" s="1109" t="s">
        <v>2021</v>
      </c>
      <c r="W78" s="1110" t="s">
        <v>213</v>
      </c>
      <c r="X78" s="1109" t="s">
        <v>583</v>
      </c>
      <c r="Y78" s="1110" t="s">
        <v>379</v>
      </c>
      <c r="Z78" s="1333"/>
      <c r="AA78" s="1333"/>
      <c r="AB78" s="1328">
        <v>0</v>
      </c>
      <c r="AC78" s="1334">
        <v>0.15</v>
      </c>
      <c r="AD78" s="1334"/>
      <c r="AE78" s="1333"/>
      <c r="AF78" s="1333"/>
      <c r="AG78" s="1324" t="s">
        <v>5088</v>
      </c>
      <c r="AH78" s="1335" t="s">
        <v>5089</v>
      </c>
    </row>
    <row r="79" spans="22:34" ht="13.15" x14ac:dyDescent="0.4">
      <c r="V79" s="1109" t="s">
        <v>1275</v>
      </c>
      <c r="W79" s="1110" t="s">
        <v>1275</v>
      </c>
      <c r="X79" s="1109" t="s">
        <v>1237</v>
      </c>
      <c r="Y79" s="1110" t="s">
        <v>380</v>
      </c>
      <c r="Z79" s="1333"/>
      <c r="AA79" s="1333"/>
      <c r="AB79" s="1327"/>
      <c r="AC79" s="1327"/>
      <c r="AD79" s="1327"/>
      <c r="AE79" s="1333"/>
      <c r="AF79" s="1333"/>
      <c r="AG79" s="1324" t="s">
        <v>1275</v>
      </c>
      <c r="AH79" s="1335"/>
    </row>
    <row r="80" spans="22:34" ht="13.15" x14ac:dyDescent="0.4">
      <c r="V80" s="1109" t="s">
        <v>1276</v>
      </c>
      <c r="W80" s="1110" t="s">
        <v>1276</v>
      </c>
      <c r="X80" s="1109" t="s">
        <v>1237</v>
      </c>
      <c r="Y80" s="1110" t="s">
        <v>381</v>
      </c>
      <c r="Z80" s="1333"/>
      <c r="AA80" s="1333"/>
      <c r="AB80" s="1327"/>
      <c r="AC80" s="1327"/>
      <c r="AD80" s="1327"/>
      <c r="AE80" s="1333"/>
      <c r="AF80" s="1333"/>
      <c r="AG80" s="1324" t="s">
        <v>1276</v>
      </c>
      <c r="AH80" s="1335"/>
    </row>
    <row r="81" spans="22:34" ht="13.15" x14ac:dyDescent="0.4">
      <c r="V81" s="1109" t="s">
        <v>1277</v>
      </c>
      <c r="W81" s="1110" t="s">
        <v>1277</v>
      </c>
      <c r="X81" s="1109" t="s">
        <v>1237</v>
      </c>
      <c r="Y81" s="1110" t="s">
        <v>382</v>
      </c>
      <c r="Z81" s="1333"/>
      <c r="AA81" s="1333"/>
      <c r="AB81" s="1327"/>
      <c r="AC81" s="1327"/>
      <c r="AD81" s="1327"/>
      <c r="AE81" s="1333"/>
      <c r="AF81" s="1333"/>
      <c r="AG81" s="1324" t="s">
        <v>1277</v>
      </c>
      <c r="AH81" s="1335"/>
    </row>
    <row r="82" spans="22:34" ht="13.15" x14ac:dyDescent="0.4">
      <c r="V82" s="1109" t="s">
        <v>2022</v>
      </c>
      <c r="W82" s="1110" t="s">
        <v>214</v>
      </c>
      <c r="X82" s="1109" t="s">
        <v>583</v>
      </c>
      <c r="Y82" s="1110" t="s">
        <v>383</v>
      </c>
      <c r="Z82" s="1333"/>
      <c r="AA82" s="1333"/>
      <c r="AB82" s="1328">
        <v>0</v>
      </c>
      <c r="AC82" s="1334">
        <v>0.1</v>
      </c>
      <c r="AD82" s="1334"/>
      <c r="AE82" s="1333"/>
      <c r="AF82" s="1333"/>
      <c r="AG82" s="1324" t="s">
        <v>5090</v>
      </c>
      <c r="AH82" s="1335"/>
    </row>
    <row r="83" spans="22:34" ht="13.15" x14ac:dyDescent="0.4">
      <c r="V83" s="1109" t="s">
        <v>2023</v>
      </c>
      <c r="W83" s="1110" t="s">
        <v>215</v>
      </c>
      <c r="X83" s="1109" t="s">
        <v>583</v>
      </c>
      <c r="Y83" s="1110" t="s">
        <v>384</v>
      </c>
      <c r="Z83" s="1333"/>
      <c r="AA83" s="1333"/>
      <c r="AB83" s="1327" t="s">
        <v>5024</v>
      </c>
      <c r="AC83" s="1327" t="s">
        <v>5025</v>
      </c>
      <c r="AD83" s="1327" t="s">
        <v>5025</v>
      </c>
      <c r="AE83" s="1333"/>
      <c r="AF83" s="1333"/>
      <c r="AG83" s="1324" t="s">
        <v>5091</v>
      </c>
      <c r="AH83" s="1335"/>
    </row>
    <row r="84" spans="22:34" ht="13.15" x14ac:dyDescent="0.4">
      <c r="V84" s="1109" t="s">
        <v>2024</v>
      </c>
      <c r="W84" s="1110" t="s">
        <v>216</v>
      </c>
      <c r="X84" s="1109" t="s">
        <v>583</v>
      </c>
      <c r="Y84" s="1110" t="s">
        <v>385</v>
      </c>
      <c r="Z84" s="1333"/>
      <c r="AA84" s="1333"/>
      <c r="AB84" s="1336" t="s">
        <v>5092</v>
      </c>
      <c r="AC84" s="1334">
        <v>0.15</v>
      </c>
      <c r="AD84" s="1334"/>
      <c r="AE84" s="1333"/>
      <c r="AF84" s="1333"/>
      <c r="AG84" s="1324" t="s">
        <v>5093</v>
      </c>
      <c r="AH84" s="1335"/>
    </row>
    <row r="85" spans="22:34" ht="13.15" x14ac:dyDescent="0.4">
      <c r="V85" s="1109" t="s">
        <v>1278</v>
      </c>
      <c r="W85" s="1110" t="s">
        <v>1278</v>
      </c>
      <c r="X85" s="1109" t="s">
        <v>1237</v>
      </c>
      <c r="Y85" s="1110" t="s">
        <v>386</v>
      </c>
      <c r="Z85" s="1333"/>
      <c r="AA85" s="1333"/>
      <c r="AB85" s="1327"/>
      <c r="AC85" s="1327"/>
      <c r="AD85" s="1327"/>
      <c r="AE85" s="1333"/>
      <c r="AF85" s="1333"/>
      <c r="AG85" s="1324" t="s">
        <v>1278</v>
      </c>
      <c r="AH85" s="1335"/>
    </row>
    <row r="86" spans="22:34" ht="13.15" x14ac:dyDescent="0.4">
      <c r="V86" s="1109" t="s">
        <v>1279</v>
      </c>
      <c r="W86" s="1110" t="s">
        <v>1279</v>
      </c>
      <c r="X86" s="1109" t="s">
        <v>1237</v>
      </c>
      <c r="Y86" s="1110" t="s">
        <v>387</v>
      </c>
      <c r="Z86" s="1333"/>
      <c r="AA86" s="1333"/>
      <c r="AB86" s="1327"/>
      <c r="AC86" s="1327"/>
      <c r="AD86" s="1327"/>
      <c r="AE86" s="1333"/>
      <c r="AF86" s="1333"/>
      <c r="AG86" s="1324" t="s">
        <v>1279</v>
      </c>
      <c r="AH86" s="1335"/>
    </row>
    <row r="87" spans="22:34" ht="13.15" x14ac:dyDescent="0.4">
      <c r="V87" s="1109" t="s">
        <v>2025</v>
      </c>
      <c r="W87" s="1110" t="s">
        <v>217</v>
      </c>
      <c r="X87" s="1109" t="s">
        <v>583</v>
      </c>
      <c r="Y87" s="1110" t="s">
        <v>388</v>
      </c>
      <c r="Z87" s="1333"/>
      <c r="AA87" s="1333"/>
      <c r="AB87" s="1327"/>
      <c r="AC87" s="1327"/>
      <c r="AD87" s="1327"/>
      <c r="AE87" s="1333"/>
      <c r="AF87" s="1333"/>
      <c r="AG87" s="1324" t="s">
        <v>5094</v>
      </c>
      <c r="AH87" s="1335"/>
    </row>
    <row r="88" spans="22:34" ht="13.15" x14ac:dyDescent="0.4">
      <c r="V88" s="1109" t="s">
        <v>2026</v>
      </c>
      <c r="W88" s="1110" t="s">
        <v>218</v>
      </c>
      <c r="X88" s="1109" t="s">
        <v>583</v>
      </c>
      <c r="Y88" s="1110" t="s">
        <v>389</v>
      </c>
      <c r="Z88" s="1333"/>
      <c r="AA88" s="1333"/>
      <c r="AB88" s="1334" t="s">
        <v>5043</v>
      </c>
      <c r="AC88" s="1327" t="s">
        <v>5025</v>
      </c>
      <c r="AD88" s="1327"/>
      <c r="AE88" s="1333"/>
      <c r="AF88" s="1333"/>
      <c r="AG88" s="1324" t="s">
        <v>5095</v>
      </c>
      <c r="AH88" s="1335"/>
    </row>
    <row r="89" spans="22:34" ht="13.15" x14ac:dyDescent="0.4">
      <c r="V89" s="1109" t="s">
        <v>1280</v>
      </c>
      <c r="W89" s="1110" t="s">
        <v>1280</v>
      </c>
      <c r="X89" s="1109" t="s">
        <v>1237</v>
      </c>
      <c r="Y89" s="1110" t="s">
        <v>390</v>
      </c>
      <c r="Z89" s="1333"/>
      <c r="AA89" s="1333"/>
      <c r="AB89" s="1327"/>
      <c r="AC89" s="1327"/>
      <c r="AD89" s="1327"/>
      <c r="AE89" s="1333"/>
      <c r="AF89" s="1333"/>
      <c r="AG89" s="1324" t="s">
        <v>1280</v>
      </c>
      <c r="AH89" s="1335"/>
    </row>
    <row r="90" spans="22:34" ht="13.15" x14ac:dyDescent="0.4">
      <c r="V90" s="1109" t="s">
        <v>1281</v>
      </c>
      <c r="W90" s="1110" t="s">
        <v>1281</v>
      </c>
      <c r="X90" s="1109" t="s">
        <v>1237</v>
      </c>
      <c r="Y90" s="1110" t="s">
        <v>391</v>
      </c>
      <c r="Z90" s="1333"/>
      <c r="AA90" s="1333"/>
      <c r="AB90" s="1327"/>
      <c r="AC90" s="1327"/>
      <c r="AD90" s="1327"/>
      <c r="AE90" s="1333"/>
      <c r="AF90" s="1333"/>
      <c r="AG90" s="1324" t="s">
        <v>1281</v>
      </c>
      <c r="AH90" s="1335"/>
    </row>
    <row r="91" spans="22:34" ht="13.15" x14ac:dyDescent="0.4">
      <c r="V91" s="1109" t="s">
        <v>2027</v>
      </c>
      <c r="W91" s="1110" t="s">
        <v>219</v>
      </c>
      <c r="X91" s="1109" t="s">
        <v>583</v>
      </c>
      <c r="Y91" s="1110" t="s">
        <v>392</v>
      </c>
      <c r="Z91" s="1333"/>
      <c r="AA91" s="1333"/>
      <c r="AB91" s="1327" t="s">
        <v>5044</v>
      </c>
      <c r="AC91" s="1327" t="s">
        <v>5024</v>
      </c>
      <c r="AD91" s="1327"/>
      <c r="AE91" s="1333"/>
      <c r="AF91" s="1333"/>
      <c r="AG91" s="1324" t="s">
        <v>5096</v>
      </c>
      <c r="AH91" s="1335"/>
    </row>
    <row r="92" spans="22:34" ht="13.15" x14ac:dyDescent="0.4">
      <c r="V92" s="1109" t="s">
        <v>2028</v>
      </c>
      <c r="W92" s="1110" t="s">
        <v>220</v>
      </c>
      <c r="X92" s="1109" t="s">
        <v>583</v>
      </c>
      <c r="Y92" s="1110" t="s">
        <v>393</v>
      </c>
      <c r="Z92" s="1333"/>
      <c r="AA92" s="1333"/>
      <c r="AB92" s="1327" t="s">
        <v>5024</v>
      </c>
      <c r="AC92" s="1327" t="s">
        <v>5044</v>
      </c>
      <c r="AD92" s="1327" t="s">
        <v>5044</v>
      </c>
      <c r="AE92" s="1333"/>
      <c r="AF92" s="1333"/>
      <c r="AG92" s="1324" t="s">
        <v>5097</v>
      </c>
      <c r="AH92" s="1335"/>
    </row>
    <row r="93" spans="22:34" ht="13.15" x14ac:dyDescent="0.4">
      <c r="V93" s="1109" t="s">
        <v>1282</v>
      </c>
      <c r="W93" s="1110" t="s">
        <v>1282</v>
      </c>
      <c r="X93" s="1109" t="s">
        <v>1237</v>
      </c>
      <c r="Y93" s="1110" t="s">
        <v>394</v>
      </c>
      <c r="Z93" s="1333"/>
      <c r="AA93" s="1333"/>
      <c r="AB93" s="1327"/>
      <c r="AC93" s="1327"/>
      <c r="AD93" s="1327"/>
      <c r="AE93" s="1333"/>
      <c r="AF93" s="1333"/>
      <c r="AG93" s="1324" t="s">
        <v>1282</v>
      </c>
      <c r="AH93" s="1335"/>
    </row>
    <row r="94" spans="22:34" ht="13.15" x14ac:dyDescent="0.4">
      <c r="V94" s="1109" t="s">
        <v>1283</v>
      </c>
      <c r="W94" s="1110" t="s">
        <v>1283</v>
      </c>
      <c r="X94" s="1109" t="s">
        <v>1237</v>
      </c>
      <c r="Y94" s="1110" t="s">
        <v>395</v>
      </c>
      <c r="Z94" s="1333"/>
      <c r="AA94" s="1333"/>
      <c r="AB94" s="1327"/>
      <c r="AC94" s="1327"/>
      <c r="AD94" s="1327"/>
      <c r="AE94" s="1333"/>
      <c r="AF94" s="1333"/>
      <c r="AG94" s="1324" t="s">
        <v>1283</v>
      </c>
      <c r="AH94" s="1335"/>
    </row>
    <row r="95" spans="22:34" ht="13.15" x14ac:dyDescent="0.4">
      <c r="V95" s="1109" t="s">
        <v>2029</v>
      </c>
      <c r="W95" s="1110" t="s">
        <v>221</v>
      </c>
      <c r="X95" s="1109" t="s">
        <v>583</v>
      </c>
      <c r="Y95" s="1110" t="s">
        <v>396</v>
      </c>
      <c r="Z95" s="1333"/>
      <c r="AA95" s="1333"/>
      <c r="AB95" s="1327"/>
      <c r="AC95" s="1327"/>
      <c r="AD95" s="1327"/>
      <c r="AE95" s="1333"/>
      <c r="AF95" s="1333"/>
      <c r="AG95" s="1324" t="s">
        <v>5098</v>
      </c>
      <c r="AH95" s="1335"/>
    </row>
    <row r="96" spans="22:34" ht="13.15" x14ac:dyDescent="0.4">
      <c r="V96" s="1109" t="s">
        <v>1284</v>
      </c>
      <c r="W96" s="1110" t="s">
        <v>1284</v>
      </c>
      <c r="X96" s="1109" t="s">
        <v>1237</v>
      </c>
      <c r="Y96" s="1110" t="s">
        <v>397</v>
      </c>
      <c r="Z96" s="1333"/>
      <c r="AA96" s="1333"/>
      <c r="AB96" s="1327"/>
      <c r="AC96" s="1327"/>
      <c r="AD96" s="1327"/>
      <c r="AE96" s="1333"/>
      <c r="AF96" s="1333"/>
      <c r="AG96" s="1324" t="s">
        <v>1284</v>
      </c>
      <c r="AH96" s="1335"/>
    </row>
    <row r="97" spans="22:34" ht="168.4" x14ac:dyDescent="0.4">
      <c r="V97" s="1109" t="s">
        <v>2030</v>
      </c>
      <c r="W97" s="1110" t="s">
        <v>222</v>
      </c>
      <c r="X97" s="1109" t="s">
        <v>583</v>
      </c>
      <c r="Y97" s="1110" t="s">
        <v>398</v>
      </c>
      <c r="Z97" s="1333"/>
      <c r="AA97" s="1333"/>
      <c r="AB97" s="1327" t="s">
        <v>5099</v>
      </c>
      <c r="AC97" s="1334">
        <v>0.15</v>
      </c>
      <c r="AD97" s="1334"/>
      <c r="AE97" s="1333"/>
      <c r="AF97" s="1333"/>
      <c r="AG97" s="1324" t="s">
        <v>5100</v>
      </c>
      <c r="AH97" s="1335" t="s">
        <v>5101</v>
      </c>
    </row>
    <row r="98" spans="22:34" ht="13.15" x14ac:dyDescent="0.4">
      <c r="V98" s="1109" t="s">
        <v>2031</v>
      </c>
      <c r="W98" s="1110" t="s">
        <v>223</v>
      </c>
      <c r="X98" s="1109" t="s">
        <v>583</v>
      </c>
      <c r="Y98" s="1110" t="s">
        <v>399</v>
      </c>
      <c r="Z98" s="1333"/>
      <c r="AA98" s="1333"/>
      <c r="AB98" s="1328">
        <v>0</v>
      </c>
      <c r="AC98" s="1334">
        <v>0</v>
      </c>
      <c r="AD98" s="1334"/>
      <c r="AE98" s="1333"/>
      <c r="AF98" s="1333"/>
      <c r="AG98" s="1324" t="s">
        <v>5102</v>
      </c>
      <c r="AH98" s="1335"/>
    </row>
    <row r="99" spans="22:34" ht="13.15" x14ac:dyDescent="0.4">
      <c r="V99" s="1109" t="s">
        <v>1285</v>
      </c>
      <c r="W99" s="1110" t="s">
        <v>1285</v>
      </c>
      <c r="X99" s="1109" t="s">
        <v>1237</v>
      </c>
      <c r="Y99" s="1110" t="s">
        <v>400</v>
      </c>
      <c r="Z99" s="1333"/>
      <c r="AA99" s="1333"/>
      <c r="AB99" s="1327"/>
      <c r="AC99" s="1327"/>
      <c r="AD99" s="1327"/>
      <c r="AE99" s="1333"/>
      <c r="AF99" s="1333"/>
      <c r="AG99" s="1324" t="s">
        <v>1285</v>
      </c>
      <c r="AH99" s="1335"/>
    </row>
    <row r="100" spans="22:34" ht="13.15" x14ac:dyDescent="0.4">
      <c r="V100" s="1109" t="s">
        <v>2032</v>
      </c>
      <c r="W100" s="1110" t="s">
        <v>224</v>
      </c>
      <c r="X100" s="1109" t="s">
        <v>583</v>
      </c>
      <c r="Y100" s="1110" t="s">
        <v>401</v>
      </c>
      <c r="Z100" s="1333"/>
      <c r="AA100" s="1333"/>
      <c r="AB100" s="1334">
        <v>0.1</v>
      </c>
      <c r="AC100" s="1334">
        <v>0.15</v>
      </c>
      <c r="AD100" s="1334"/>
      <c r="AE100" s="1333"/>
      <c r="AF100" s="1333"/>
      <c r="AG100" s="1324" t="s">
        <v>5103</v>
      </c>
      <c r="AH100" s="1335"/>
    </row>
    <row r="101" spans="22:34" ht="13.15" x14ac:dyDescent="0.4">
      <c r="V101" s="1109" t="s">
        <v>1286</v>
      </c>
      <c r="W101" s="1110" t="s">
        <v>1286</v>
      </c>
      <c r="X101" s="1109" t="s">
        <v>1237</v>
      </c>
      <c r="Y101" s="1110" t="s">
        <v>402</v>
      </c>
      <c r="Z101" s="1333"/>
      <c r="AA101" s="1333"/>
      <c r="AB101" s="1327"/>
      <c r="AC101" s="1327"/>
      <c r="AD101" s="1327"/>
      <c r="AE101" s="1333"/>
      <c r="AF101" s="1333"/>
      <c r="AG101" s="1324" t="s">
        <v>1286</v>
      </c>
      <c r="AH101" s="1335"/>
    </row>
    <row r="102" spans="22:34" ht="220.9" x14ac:dyDescent="0.4">
      <c r="V102" s="1109" t="s">
        <v>2033</v>
      </c>
      <c r="W102" s="1110" t="s">
        <v>225</v>
      </c>
      <c r="X102" s="1109" t="s">
        <v>583</v>
      </c>
      <c r="Y102" s="1110" t="s">
        <v>403</v>
      </c>
      <c r="Z102" s="1333"/>
      <c r="AA102" s="1333"/>
      <c r="AB102" s="1328">
        <v>0</v>
      </c>
      <c r="AC102" s="1327" t="s">
        <v>5104</v>
      </c>
      <c r="AD102" s="1327"/>
      <c r="AE102" s="1333"/>
      <c r="AF102" s="1333"/>
      <c r="AG102" s="1324" t="s">
        <v>5105</v>
      </c>
      <c r="AH102" s="1335" t="s">
        <v>5106</v>
      </c>
    </row>
    <row r="103" spans="22:34" ht="94.9" x14ac:dyDescent="0.4">
      <c r="V103" s="1109" t="s">
        <v>2034</v>
      </c>
      <c r="W103" s="1110" t="s">
        <v>226</v>
      </c>
      <c r="X103" s="1109" t="s">
        <v>583</v>
      </c>
      <c r="Y103" s="1110" t="s">
        <v>404</v>
      </c>
      <c r="Z103" s="1333"/>
      <c r="AA103" s="1333"/>
      <c r="AB103" s="1334" t="s">
        <v>5107</v>
      </c>
      <c r="AC103" s="1334">
        <v>0.15</v>
      </c>
      <c r="AD103" s="1334"/>
      <c r="AE103" s="1333"/>
      <c r="AF103" s="1333"/>
      <c r="AG103" s="1324" t="s">
        <v>5108</v>
      </c>
      <c r="AH103" s="1335" t="s">
        <v>5109</v>
      </c>
    </row>
    <row r="104" spans="22:34" ht="13.15" x14ac:dyDescent="0.4">
      <c r="V104" s="1109" t="s">
        <v>2035</v>
      </c>
      <c r="W104" s="1110" t="s">
        <v>227</v>
      </c>
      <c r="X104" s="1109" t="s">
        <v>583</v>
      </c>
      <c r="Y104" s="1110" t="s">
        <v>405</v>
      </c>
      <c r="Z104" s="1333"/>
      <c r="AA104" s="1333"/>
      <c r="AB104" s="1327" t="s">
        <v>5024</v>
      </c>
      <c r="AC104" s="1327" t="s">
        <v>5025</v>
      </c>
      <c r="AD104" s="1327" t="s">
        <v>5025</v>
      </c>
      <c r="AE104" s="1333"/>
      <c r="AF104" s="1333"/>
      <c r="AG104" s="1324" t="s">
        <v>5110</v>
      </c>
      <c r="AH104" s="1335"/>
    </row>
    <row r="105" spans="22:34" ht="178.9" x14ac:dyDescent="0.4">
      <c r="V105" s="1109" t="s">
        <v>3909</v>
      </c>
      <c r="W105" s="1110" t="s">
        <v>228</v>
      </c>
      <c r="X105" s="1109" t="s">
        <v>583</v>
      </c>
      <c r="Y105" s="1110" t="s">
        <v>406</v>
      </c>
      <c r="Z105" s="1333"/>
      <c r="AA105" s="1333"/>
      <c r="AB105" s="1334">
        <v>0.15</v>
      </c>
      <c r="AC105" s="1334">
        <v>0.15</v>
      </c>
      <c r="AD105" s="1334"/>
      <c r="AE105" s="1333"/>
      <c r="AF105" s="1333"/>
      <c r="AG105" s="1324" t="s">
        <v>5111</v>
      </c>
      <c r="AH105" s="1335" t="s">
        <v>5112</v>
      </c>
    </row>
    <row r="106" spans="22:34" ht="105.4" x14ac:dyDescent="0.4">
      <c r="V106" s="1109" t="s">
        <v>2036</v>
      </c>
      <c r="W106" s="1110" t="s">
        <v>229</v>
      </c>
      <c r="X106" s="1109" t="s">
        <v>583</v>
      </c>
      <c r="Y106" s="1110" t="s">
        <v>407</v>
      </c>
      <c r="Z106" s="1333"/>
      <c r="AA106" s="1333"/>
      <c r="AB106" s="1328">
        <v>0</v>
      </c>
      <c r="AC106" s="1327" t="s">
        <v>5027</v>
      </c>
      <c r="AD106" s="1327"/>
      <c r="AE106" s="1333"/>
      <c r="AF106" s="1333"/>
      <c r="AG106" s="1324" t="s">
        <v>5113</v>
      </c>
      <c r="AH106" s="1335" t="s">
        <v>5114</v>
      </c>
    </row>
    <row r="107" spans="22:34" ht="13.15" x14ac:dyDescent="0.4">
      <c r="V107" s="1109" t="s">
        <v>1287</v>
      </c>
      <c r="W107" s="1110" t="s">
        <v>1287</v>
      </c>
      <c r="X107" s="1109" t="s">
        <v>1237</v>
      </c>
      <c r="Y107" s="1110" t="s">
        <v>408</v>
      </c>
      <c r="Z107" s="1333"/>
      <c r="AA107" s="1333"/>
      <c r="AB107" s="1327"/>
      <c r="AC107" s="1327"/>
      <c r="AD107" s="1327"/>
      <c r="AE107" s="1333"/>
      <c r="AF107" s="1333"/>
      <c r="AG107" s="1324" t="s">
        <v>1287</v>
      </c>
      <c r="AH107" s="1335"/>
    </row>
    <row r="108" spans="22:34" ht="13.15" x14ac:dyDescent="0.4">
      <c r="V108" s="1109" t="s">
        <v>1288</v>
      </c>
      <c r="W108" s="1110" t="s">
        <v>1288</v>
      </c>
      <c r="X108" s="1109" t="s">
        <v>1237</v>
      </c>
      <c r="Y108" s="1110" t="s">
        <v>409</v>
      </c>
      <c r="Z108" s="1333"/>
      <c r="AA108" s="1333"/>
      <c r="AB108" s="1327"/>
      <c r="AC108" s="1327"/>
      <c r="AD108" s="1327"/>
      <c r="AE108" s="1333"/>
      <c r="AF108" s="1333"/>
      <c r="AG108" s="1324" t="s">
        <v>1288</v>
      </c>
      <c r="AH108" s="1335"/>
    </row>
    <row r="109" spans="22:34" ht="13.15" x14ac:dyDescent="0.4">
      <c r="V109" s="1109" t="s">
        <v>2037</v>
      </c>
      <c r="W109" s="1110" t="s">
        <v>230</v>
      </c>
      <c r="X109" s="1109" t="s">
        <v>583</v>
      </c>
      <c r="Y109" s="1110" t="s">
        <v>410</v>
      </c>
      <c r="Z109" s="1333"/>
      <c r="AA109" s="1333"/>
      <c r="AB109" s="1328">
        <v>0</v>
      </c>
      <c r="AC109" s="1334">
        <v>0.15</v>
      </c>
      <c r="AD109" s="1334"/>
      <c r="AE109" s="1333"/>
      <c r="AF109" s="1333"/>
      <c r="AG109" s="1324" t="s">
        <v>5115</v>
      </c>
      <c r="AH109" s="1335"/>
    </row>
    <row r="110" spans="22:34" ht="63.4" x14ac:dyDescent="0.4">
      <c r="V110" s="1109" t="s">
        <v>2038</v>
      </c>
      <c r="W110" s="1110" t="s">
        <v>231</v>
      </c>
      <c r="X110" s="1109" t="s">
        <v>583</v>
      </c>
      <c r="Y110" s="1110" t="s">
        <v>411</v>
      </c>
      <c r="Z110" s="1333"/>
      <c r="AA110" s="1333"/>
      <c r="AB110" s="1334" t="s">
        <v>5043</v>
      </c>
      <c r="AC110" s="1334" t="s">
        <v>5043</v>
      </c>
      <c r="AD110" s="1334"/>
      <c r="AE110" s="1333"/>
      <c r="AF110" s="1333"/>
      <c r="AG110" s="1324" t="s">
        <v>5116</v>
      </c>
      <c r="AH110" s="1335" t="s">
        <v>5117</v>
      </c>
    </row>
    <row r="111" spans="22:34" ht="13.15" x14ac:dyDescent="0.4">
      <c r="V111" s="1109" t="s">
        <v>2039</v>
      </c>
      <c r="W111" s="1110" t="s">
        <v>232</v>
      </c>
      <c r="X111" s="1109" t="s">
        <v>583</v>
      </c>
      <c r="Y111" s="1110" t="s">
        <v>412</v>
      </c>
      <c r="Z111" s="1333"/>
      <c r="AA111" s="1333"/>
      <c r="AB111" s="1334">
        <v>0.1</v>
      </c>
      <c r="AC111" s="1334" t="s">
        <v>5043</v>
      </c>
      <c r="AD111" s="1334"/>
      <c r="AE111" s="1333"/>
      <c r="AF111" s="1333"/>
      <c r="AG111" s="1324" t="s">
        <v>5118</v>
      </c>
      <c r="AH111" s="1335"/>
    </row>
    <row r="112" spans="22:34" ht="42.4" x14ac:dyDescent="0.4">
      <c r="V112" s="1109" t="s">
        <v>2040</v>
      </c>
      <c r="W112" s="1110" t="s">
        <v>233</v>
      </c>
      <c r="X112" s="1109" t="s">
        <v>583</v>
      </c>
      <c r="Y112" s="1110" t="s">
        <v>413</v>
      </c>
      <c r="Z112" s="1333"/>
      <c r="AA112" s="1333"/>
      <c r="AB112" s="1327" t="s">
        <v>5119</v>
      </c>
      <c r="AC112" s="1334">
        <v>0.15</v>
      </c>
      <c r="AD112" s="1334"/>
      <c r="AE112" s="1333"/>
      <c r="AF112" s="1333"/>
      <c r="AG112" s="1324" t="s">
        <v>5120</v>
      </c>
      <c r="AH112" s="1335" t="s">
        <v>5074</v>
      </c>
    </row>
    <row r="113" spans="22:34" ht="13.15" x14ac:dyDescent="0.4">
      <c r="V113" s="1109" t="s">
        <v>2041</v>
      </c>
      <c r="W113" s="1110" t="s">
        <v>234</v>
      </c>
      <c r="X113" s="1109" t="s">
        <v>583</v>
      </c>
      <c r="Y113" s="1110" t="s">
        <v>414</v>
      </c>
      <c r="Z113" s="1333"/>
      <c r="AA113" s="1333"/>
      <c r="AB113" s="1327" t="s">
        <v>5024</v>
      </c>
      <c r="AC113" s="1327" t="s">
        <v>5025</v>
      </c>
      <c r="AD113" s="1327" t="s">
        <v>5025</v>
      </c>
      <c r="AE113" s="1333"/>
      <c r="AF113" s="1333"/>
      <c r="AG113" s="1324" t="s">
        <v>5121</v>
      </c>
      <c r="AH113" s="1335"/>
    </row>
    <row r="114" spans="22:34" ht="13.15" x14ac:dyDescent="0.4">
      <c r="V114" s="1109" t="s">
        <v>2042</v>
      </c>
      <c r="W114" s="1110" t="s">
        <v>235</v>
      </c>
      <c r="X114" s="1109" t="s">
        <v>583</v>
      </c>
      <c r="Y114" s="1110" t="s">
        <v>415</v>
      </c>
      <c r="Z114" s="1333"/>
      <c r="AA114" s="1333"/>
      <c r="AB114" s="1334">
        <v>0.1</v>
      </c>
      <c r="AC114" s="1334">
        <v>0.1</v>
      </c>
      <c r="AD114" s="1334"/>
      <c r="AE114" s="1333"/>
      <c r="AF114" s="1333"/>
      <c r="AG114" s="1324" t="s">
        <v>5122</v>
      </c>
      <c r="AH114" s="1335"/>
    </row>
    <row r="115" spans="22:34" ht="13.15" x14ac:dyDescent="0.4">
      <c r="V115" s="1109" t="s">
        <v>2043</v>
      </c>
      <c r="W115" s="1110" t="s">
        <v>236</v>
      </c>
      <c r="X115" s="1109" t="s">
        <v>583</v>
      </c>
      <c r="Y115" s="1110" t="s">
        <v>416</v>
      </c>
      <c r="Z115" s="1333"/>
      <c r="AA115" s="1333"/>
      <c r="AB115" s="1334">
        <v>0.1</v>
      </c>
      <c r="AC115" s="1334">
        <v>0.1</v>
      </c>
      <c r="AD115" s="1334"/>
      <c r="AE115" s="1333"/>
      <c r="AF115" s="1333"/>
      <c r="AG115" s="1324" t="s">
        <v>5123</v>
      </c>
      <c r="AH115" s="1335"/>
    </row>
    <row r="116" spans="22:34" ht="84.4" x14ac:dyDescent="0.4">
      <c r="V116" s="1109" t="s">
        <v>2044</v>
      </c>
      <c r="W116" s="1110" t="s">
        <v>237</v>
      </c>
      <c r="X116" s="1109" t="s">
        <v>583</v>
      </c>
      <c r="Y116" s="1110" t="s">
        <v>417</v>
      </c>
      <c r="Z116" s="1333"/>
      <c r="AA116" s="1333"/>
      <c r="AB116" s="1327" t="s">
        <v>5049</v>
      </c>
      <c r="AC116" s="1334">
        <v>0.15</v>
      </c>
      <c r="AD116" s="1334"/>
      <c r="AE116" s="1333"/>
      <c r="AF116" s="1333"/>
      <c r="AG116" s="1324" t="s">
        <v>5124</v>
      </c>
      <c r="AH116" s="1335" t="s">
        <v>5125</v>
      </c>
    </row>
    <row r="117" spans="22:34" ht="13.15" x14ac:dyDescent="0.4">
      <c r="V117" s="1109" t="s">
        <v>2045</v>
      </c>
      <c r="W117" s="1110" t="s">
        <v>238</v>
      </c>
      <c r="X117" s="1109" t="s">
        <v>583</v>
      </c>
      <c r="Y117" s="1110" t="s">
        <v>418</v>
      </c>
      <c r="Z117" s="1333"/>
      <c r="AA117" s="1333"/>
      <c r="AB117" s="1334" t="s">
        <v>5043</v>
      </c>
      <c r="AC117" s="1334" t="s">
        <v>5043</v>
      </c>
      <c r="AD117" s="1334"/>
      <c r="AE117" s="1333"/>
      <c r="AF117" s="1333"/>
      <c r="AG117" s="1324" t="s">
        <v>5126</v>
      </c>
      <c r="AH117" s="1335"/>
    </row>
    <row r="118" spans="22:34" ht="13.15" x14ac:dyDescent="0.4">
      <c r="V118" s="1109" t="s">
        <v>1289</v>
      </c>
      <c r="W118" s="1110" t="s">
        <v>1289</v>
      </c>
      <c r="X118" s="1109" t="s">
        <v>1237</v>
      </c>
      <c r="Y118" s="1110" t="s">
        <v>419</v>
      </c>
      <c r="Z118" s="1333"/>
      <c r="AA118" s="1333"/>
      <c r="AB118" s="1327"/>
      <c r="AC118" s="1327"/>
      <c r="AD118" s="1327"/>
      <c r="AE118" s="1333"/>
      <c r="AF118" s="1333"/>
      <c r="AG118" s="1324" t="s">
        <v>1289</v>
      </c>
      <c r="AH118" s="1335"/>
    </row>
    <row r="119" spans="22:34" ht="13.15" x14ac:dyDescent="0.4">
      <c r="V119" s="1109" t="s">
        <v>1290</v>
      </c>
      <c r="W119" s="1110" t="s">
        <v>1290</v>
      </c>
      <c r="X119" s="1109" t="s">
        <v>1237</v>
      </c>
      <c r="Y119" s="1110" t="s">
        <v>420</v>
      </c>
      <c r="Z119" s="1333"/>
      <c r="AA119" s="1333"/>
      <c r="AB119" s="1327"/>
      <c r="AC119" s="1327"/>
      <c r="AD119" s="1327"/>
      <c r="AE119" s="1333"/>
      <c r="AF119" s="1333"/>
      <c r="AG119" s="1324" t="s">
        <v>1290</v>
      </c>
      <c r="AH119" s="1335"/>
    </row>
    <row r="120" spans="22:34" ht="13.15" x14ac:dyDescent="0.4">
      <c r="V120" s="1109" t="s">
        <v>2046</v>
      </c>
      <c r="W120" s="1110" t="s">
        <v>239</v>
      </c>
      <c r="X120" s="1109" t="s">
        <v>583</v>
      </c>
      <c r="Y120" s="1110" t="s">
        <v>421</v>
      </c>
      <c r="Z120" s="1333"/>
      <c r="AA120" s="1333"/>
      <c r="AB120" s="1327" t="s">
        <v>5024</v>
      </c>
      <c r="AC120" s="1327" t="s">
        <v>5025</v>
      </c>
      <c r="AD120" s="1327" t="s">
        <v>5025</v>
      </c>
      <c r="AE120" s="1333"/>
      <c r="AF120" s="1333"/>
      <c r="AG120" s="1324" t="s">
        <v>5127</v>
      </c>
      <c r="AH120" s="1335"/>
    </row>
    <row r="121" spans="22:34" ht="13.15" x14ac:dyDescent="0.4">
      <c r="V121" s="1109" t="s">
        <v>2047</v>
      </c>
      <c r="W121" s="1110" t="s">
        <v>240</v>
      </c>
      <c r="X121" s="1109" t="s">
        <v>583</v>
      </c>
      <c r="Y121" s="1110" t="s">
        <v>422</v>
      </c>
      <c r="Z121" s="1333"/>
      <c r="AA121" s="1333"/>
      <c r="AB121" s="1327" t="s">
        <v>5024</v>
      </c>
      <c r="AC121" s="1327" t="s">
        <v>5044</v>
      </c>
      <c r="AD121" s="1327" t="s">
        <v>5044</v>
      </c>
      <c r="AE121" s="1333"/>
      <c r="AF121" s="1333"/>
      <c r="AG121" s="1324" t="s">
        <v>5128</v>
      </c>
      <c r="AH121" s="1335"/>
    </row>
    <row r="122" spans="22:34" ht="42.4" x14ac:dyDescent="0.4">
      <c r="V122" s="1109" t="s">
        <v>2048</v>
      </c>
      <c r="W122" s="1110" t="s">
        <v>241</v>
      </c>
      <c r="X122" s="1109" t="s">
        <v>583</v>
      </c>
      <c r="Y122" s="1110" t="s">
        <v>423</v>
      </c>
      <c r="Z122" s="1333"/>
      <c r="AA122" s="1333"/>
      <c r="AB122" s="1327" t="s">
        <v>5049</v>
      </c>
      <c r="AC122" s="1334">
        <v>0.15</v>
      </c>
      <c r="AD122" s="1334"/>
      <c r="AE122" s="1333"/>
      <c r="AF122" s="1333"/>
      <c r="AG122" s="1324" t="s">
        <v>5129</v>
      </c>
      <c r="AH122" s="1335" t="s">
        <v>5130</v>
      </c>
    </row>
    <row r="123" spans="22:34" ht="13.15" x14ac:dyDescent="0.4">
      <c r="V123" s="1109" t="s">
        <v>2049</v>
      </c>
      <c r="W123" s="1110" t="s">
        <v>242</v>
      </c>
      <c r="X123" s="1109" t="s">
        <v>583</v>
      </c>
      <c r="Y123" s="1110" t="s">
        <v>424</v>
      </c>
      <c r="Z123" s="1333"/>
      <c r="AA123" s="1333"/>
      <c r="AB123" s="1334">
        <v>0</v>
      </c>
      <c r="AC123" s="1334">
        <v>0.15</v>
      </c>
      <c r="AD123" s="1334"/>
      <c r="AE123" s="1333"/>
      <c r="AF123" s="1333"/>
      <c r="AG123" s="1324" t="s">
        <v>5131</v>
      </c>
      <c r="AH123" s="1335"/>
    </row>
    <row r="124" spans="22:34" ht="13.15" x14ac:dyDescent="0.4">
      <c r="V124" s="1109" t="s">
        <v>1291</v>
      </c>
      <c r="W124" s="1110" t="s">
        <v>1291</v>
      </c>
      <c r="X124" s="1109" t="s">
        <v>1237</v>
      </c>
      <c r="Y124" s="1110" t="s">
        <v>425</v>
      </c>
      <c r="Z124" s="1333"/>
      <c r="AA124" s="1333"/>
      <c r="AB124" s="1327"/>
      <c r="AC124" s="1327"/>
      <c r="AD124" s="1327"/>
      <c r="AE124" s="1333"/>
      <c r="AF124" s="1333"/>
      <c r="AG124" s="1324" t="s">
        <v>1291</v>
      </c>
      <c r="AH124" s="1335"/>
    </row>
    <row r="125" spans="22:34" ht="13.15" x14ac:dyDescent="0.4">
      <c r="V125" s="1109" t="s">
        <v>1292</v>
      </c>
      <c r="W125" s="1110" t="s">
        <v>1292</v>
      </c>
      <c r="X125" s="1109" t="s">
        <v>1237</v>
      </c>
      <c r="Y125" s="1110" t="s">
        <v>426</v>
      </c>
      <c r="Z125" s="1333"/>
      <c r="AA125" s="1333"/>
      <c r="AB125" s="1327"/>
      <c r="AC125" s="1327"/>
      <c r="AD125" s="1327"/>
      <c r="AE125" s="1333"/>
      <c r="AF125" s="1333"/>
      <c r="AG125" s="1324" t="s">
        <v>1292</v>
      </c>
      <c r="AH125" s="1335"/>
    </row>
    <row r="126" spans="22:34" ht="13.15" x14ac:dyDescent="0.4">
      <c r="V126" s="1109" t="s">
        <v>1293</v>
      </c>
      <c r="W126" s="1110" t="s">
        <v>1293</v>
      </c>
      <c r="X126" s="1109" t="s">
        <v>1237</v>
      </c>
      <c r="Y126" s="1110" t="s">
        <v>427</v>
      </c>
      <c r="Z126" s="1333"/>
      <c r="AA126" s="1333"/>
      <c r="AB126" s="1327"/>
      <c r="AC126" s="1327"/>
      <c r="AD126" s="1327"/>
      <c r="AE126" s="1333"/>
      <c r="AF126" s="1333"/>
      <c r="AG126" s="1324" t="s">
        <v>1293</v>
      </c>
      <c r="AH126" s="1335"/>
    </row>
    <row r="127" spans="22:34" ht="94.9" x14ac:dyDescent="0.4">
      <c r="V127" s="1109" t="s">
        <v>2050</v>
      </c>
      <c r="W127" s="1110" t="s">
        <v>243</v>
      </c>
      <c r="X127" s="1109" t="s">
        <v>583</v>
      </c>
      <c r="Y127" s="1110" t="s">
        <v>428</v>
      </c>
      <c r="Z127" s="1333"/>
      <c r="AA127" s="1333"/>
      <c r="AB127" s="1334">
        <v>0</v>
      </c>
      <c r="AC127" s="1334">
        <v>0</v>
      </c>
      <c r="AD127" s="1334"/>
      <c r="AE127" s="1333"/>
      <c r="AF127" s="1333"/>
      <c r="AG127" s="1324" t="s">
        <v>5132</v>
      </c>
      <c r="AH127" s="1335" t="s">
        <v>5133</v>
      </c>
    </row>
    <row r="128" spans="22:34" ht="13.15" x14ac:dyDescent="0.4">
      <c r="V128" s="1109" t="s">
        <v>1294</v>
      </c>
      <c r="W128" s="1110" t="s">
        <v>1294</v>
      </c>
      <c r="X128" s="1109" t="s">
        <v>1237</v>
      </c>
      <c r="Y128" s="1110" t="s">
        <v>429</v>
      </c>
      <c r="Z128" s="1333"/>
      <c r="AA128" s="1333"/>
      <c r="AB128" s="1327"/>
      <c r="AC128" s="1327"/>
      <c r="AD128" s="1327"/>
      <c r="AE128" s="1333"/>
      <c r="AF128" s="1333"/>
      <c r="AG128" s="1324" t="s">
        <v>1294</v>
      </c>
      <c r="AH128" s="1335"/>
    </row>
    <row r="129" spans="22:34" ht="105.4" x14ac:dyDescent="0.4">
      <c r="V129" s="1109" t="s">
        <v>2051</v>
      </c>
      <c r="W129" s="1110" t="s">
        <v>2642</v>
      </c>
      <c r="X129" s="1109" t="s">
        <v>583</v>
      </c>
      <c r="Y129" s="1110" t="s">
        <v>430</v>
      </c>
      <c r="Z129" s="1333"/>
      <c r="AA129" s="1333"/>
      <c r="AB129" s="1334">
        <v>0</v>
      </c>
      <c r="AC129" s="1334">
        <v>0</v>
      </c>
      <c r="AD129" s="1334"/>
      <c r="AE129" s="1333"/>
      <c r="AF129" s="1333"/>
      <c r="AG129" s="1324" t="s">
        <v>5134</v>
      </c>
      <c r="AH129" s="1335" t="s">
        <v>5135</v>
      </c>
    </row>
    <row r="130" spans="22:34" ht="157.9" x14ac:dyDescent="0.4">
      <c r="V130" s="1109" t="s">
        <v>2052</v>
      </c>
      <c r="W130" s="1110" t="s">
        <v>244</v>
      </c>
      <c r="X130" s="1109" t="s">
        <v>583</v>
      </c>
      <c r="Y130" s="1110" t="s">
        <v>431</v>
      </c>
      <c r="Z130" s="1333"/>
      <c r="AA130" s="1333"/>
      <c r="AB130" s="1327" t="s">
        <v>5049</v>
      </c>
      <c r="AC130" s="1327" t="s">
        <v>5136</v>
      </c>
      <c r="AD130" s="1327"/>
      <c r="AE130" s="1333"/>
      <c r="AF130" s="1333"/>
      <c r="AG130" s="1324" t="s">
        <v>5137</v>
      </c>
      <c r="AH130" s="1335" t="s">
        <v>5138</v>
      </c>
    </row>
    <row r="131" spans="22:34" ht="13.15" x14ac:dyDescent="0.4">
      <c r="V131" s="1109" t="s">
        <v>2053</v>
      </c>
      <c r="W131" s="1110" t="s">
        <v>245</v>
      </c>
      <c r="X131" s="1109" t="s">
        <v>583</v>
      </c>
      <c r="Y131" s="1110" t="s">
        <v>432</v>
      </c>
      <c r="Z131" s="1333"/>
      <c r="AA131" s="1333"/>
      <c r="AB131" s="1327" t="s">
        <v>5024</v>
      </c>
      <c r="AC131" s="1327" t="s">
        <v>5044</v>
      </c>
      <c r="AD131" s="1327"/>
      <c r="AE131" s="1333"/>
      <c r="AF131" s="1333"/>
      <c r="AG131" s="1324" t="s">
        <v>5139</v>
      </c>
      <c r="AH131" s="1335"/>
    </row>
    <row r="132" spans="22:34" ht="147.4" x14ac:dyDescent="0.4">
      <c r="V132" s="1109" t="s">
        <v>2054</v>
      </c>
      <c r="W132" s="1110" t="s">
        <v>246</v>
      </c>
      <c r="X132" s="1109" t="s">
        <v>583</v>
      </c>
      <c r="Y132" s="1110" t="s">
        <v>433</v>
      </c>
      <c r="Z132" s="1333"/>
      <c r="AA132" s="1333"/>
      <c r="AB132" s="1327" t="s">
        <v>5049</v>
      </c>
      <c r="AC132" s="1334">
        <v>0.15</v>
      </c>
      <c r="AD132" s="1334"/>
      <c r="AE132" s="1333"/>
      <c r="AF132" s="1333"/>
      <c r="AG132" s="1324" t="s">
        <v>5140</v>
      </c>
      <c r="AH132" s="1335" t="s">
        <v>5141</v>
      </c>
    </row>
    <row r="133" spans="22:34" ht="13.15" x14ac:dyDescent="0.4">
      <c r="V133" s="1109" t="s">
        <v>2055</v>
      </c>
      <c r="W133" s="1110" t="s">
        <v>247</v>
      </c>
      <c r="X133" s="1109" t="s">
        <v>583</v>
      </c>
      <c r="Y133" s="1110" t="s">
        <v>434</v>
      </c>
      <c r="Z133" s="1333"/>
      <c r="AA133" s="1333"/>
      <c r="AB133" s="1328">
        <v>0</v>
      </c>
      <c r="AC133" s="1334">
        <v>0.15</v>
      </c>
      <c r="AD133" s="1334"/>
      <c r="AE133" s="1333"/>
      <c r="AF133" s="1333"/>
      <c r="AG133" s="1324" t="s">
        <v>5142</v>
      </c>
      <c r="AH133" s="1335"/>
    </row>
    <row r="134" spans="22:34" ht="63.4" x14ac:dyDescent="0.4">
      <c r="V134" s="1109" t="s">
        <v>2056</v>
      </c>
      <c r="W134" s="1110" t="s">
        <v>248</v>
      </c>
      <c r="X134" s="1109" t="s">
        <v>583</v>
      </c>
      <c r="Y134" s="1110" t="s">
        <v>435</v>
      </c>
      <c r="Z134" s="1333"/>
      <c r="AA134" s="1333"/>
      <c r="AB134" s="1327" t="s">
        <v>5049</v>
      </c>
      <c r="AC134" s="1334">
        <v>0.15</v>
      </c>
      <c r="AD134" s="1334"/>
      <c r="AE134" s="1333"/>
      <c r="AF134" s="1333"/>
      <c r="AG134" s="1324" t="s">
        <v>5143</v>
      </c>
      <c r="AH134" s="1335" t="s">
        <v>5144</v>
      </c>
    </row>
    <row r="135" spans="22:34" ht="13.15" x14ac:dyDescent="0.4">
      <c r="V135" s="1109" t="s">
        <v>1295</v>
      </c>
      <c r="W135" s="1110" t="s">
        <v>1295</v>
      </c>
      <c r="X135" s="1109" t="s">
        <v>1237</v>
      </c>
      <c r="Y135" s="1110" t="s">
        <v>436</v>
      </c>
      <c r="Z135" s="1333"/>
      <c r="AA135" s="1333"/>
      <c r="AB135" s="1327"/>
      <c r="AC135" s="1327"/>
      <c r="AD135" s="1327"/>
      <c r="AE135" s="1333"/>
      <c r="AF135" s="1333"/>
      <c r="AG135" s="1324" t="s">
        <v>1295</v>
      </c>
      <c r="AH135" s="1335"/>
    </row>
    <row r="136" spans="22:34" ht="13.15" x14ac:dyDescent="0.4">
      <c r="V136" s="1109" t="s">
        <v>2057</v>
      </c>
      <c r="W136" s="1110" t="s">
        <v>249</v>
      </c>
      <c r="X136" s="1109" t="s">
        <v>583</v>
      </c>
      <c r="Y136" s="1110" t="s">
        <v>437</v>
      </c>
      <c r="Z136" s="1333"/>
      <c r="AA136" s="1333"/>
      <c r="AB136" s="1334">
        <v>0.1</v>
      </c>
      <c r="AC136" s="1334">
        <v>0.25</v>
      </c>
      <c r="AD136" s="1334"/>
      <c r="AE136" s="1333"/>
      <c r="AF136" s="1333"/>
      <c r="AG136" s="1324" t="s">
        <v>5145</v>
      </c>
      <c r="AH136" s="1335"/>
    </row>
    <row r="137" spans="22:34" ht="13.15" x14ac:dyDescent="0.4">
      <c r="V137" s="1109" t="s">
        <v>1296</v>
      </c>
      <c r="W137" s="1110" t="s">
        <v>1296</v>
      </c>
      <c r="X137" s="1109" t="s">
        <v>1237</v>
      </c>
      <c r="Y137" s="1110" t="s">
        <v>438</v>
      </c>
      <c r="Z137" s="1333"/>
      <c r="AA137" s="1333"/>
      <c r="AB137" s="1327"/>
      <c r="AC137" s="1327"/>
      <c r="AD137" s="1327"/>
      <c r="AE137" s="1333"/>
      <c r="AF137" s="1333"/>
      <c r="AG137" s="1324" t="s">
        <v>1296</v>
      </c>
      <c r="AH137" s="1335"/>
    </row>
    <row r="138" spans="22:34" ht="52.9" x14ac:dyDescent="0.4">
      <c r="V138" s="1109" t="s">
        <v>2058</v>
      </c>
      <c r="W138" s="1110" t="s">
        <v>250</v>
      </c>
      <c r="X138" s="1109" t="s">
        <v>583</v>
      </c>
      <c r="Y138" s="1110" t="s">
        <v>439</v>
      </c>
      <c r="Z138" s="1333"/>
      <c r="AA138" s="1333"/>
      <c r="AB138" s="1327" t="s">
        <v>5146</v>
      </c>
      <c r="AC138" s="1334">
        <v>0.1</v>
      </c>
      <c r="AD138" s="1334"/>
      <c r="AE138" s="1333"/>
      <c r="AF138" s="1333"/>
      <c r="AG138" s="1324" t="s">
        <v>5147</v>
      </c>
      <c r="AH138" s="1335" t="s">
        <v>5148</v>
      </c>
    </row>
    <row r="139" spans="22:34" ht="13.15" x14ac:dyDescent="0.4">
      <c r="V139" s="1109" t="s">
        <v>1297</v>
      </c>
      <c r="W139" s="1110" t="s">
        <v>1297</v>
      </c>
      <c r="X139" s="1109" t="s">
        <v>1237</v>
      </c>
      <c r="Y139" s="1110" t="s">
        <v>440</v>
      </c>
      <c r="Z139" s="1333"/>
      <c r="AA139" s="1333"/>
      <c r="AB139" s="1327"/>
      <c r="AC139" s="1327"/>
      <c r="AD139" s="1327"/>
      <c r="AE139" s="1333"/>
      <c r="AF139" s="1333"/>
      <c r="AG139" s="1324" t="s">
        <v>1297</v>
      </c>
      <c r="AH139" s="1335"/>
    </row>
    <row r="140" spans="22:34" ht="13.15" x14ac:dyDescent="0.4">
      <c r="V140" s="1109" t="s">
        <v>1298</v>
      </c>
      <c r="W140" s="1110" t="s">
        <v>1298</v>
      </c>
      <c r="X140" s="1109" t="s">
        <v>1237</v>
      </c>
      <c r="Y140" s="1110" t="s">
        <v>441</v>
      </c>
      <c r="Z140" s="1333"/>
      <c r="AA140" s="1333"/>
      <c r="AB140" s="1327"/>
      <c r="AC140" s="1327"/>
      <c r="AD140" s="1327"/>
      <c r="AE140" s="1333"/>
      <c r="AF140" s="1333"/>
      <c r="AG140" s="1324" t="s">
        <v>1298</v>
      </c>
      <c r="AH140" s="1335"/>
    </row>
    <row r="141" spans="22:34" ht="84.4" x14ac:dyDescent="0.4">
      <c r="V141" s="1109" t="s">
        <v>2059</v>
      </c>
      <c r="W141" s="1110" t="s">
        <v>251</v>
      </c>
      <c r="X141" s="1109" t="s">
        <v>583</v>
      </c>
      <c r="Y141" s="1110" t="s">
        <v>442</v>
      </c>
      <c r="Z141" s="1333"/>
      <c r="AA141" s="1333"/>
      <c r="AB141" s="1327" t="s">
        <v>5027</v>
      </c>
      <c r="AC141" s="1334">
        <v>0</v>
      </c>
      <c r="AD141" s="1334"/>
      <c r="AE141" s="1333"/>
      <c r="AF141" s="1333"/>
      <c r="AG141" s="1324" t="s">
        <v>5149</v>
      </c>
      <c r="AH141" s="1335" t="s">
        <v>5150</v>
      </c>
    </row>
    <row r="142" spans="22:34" ht="13.15" x14ac:dyDescent="0.4">
      <c r="V142" s="1109" t="s">
        <v>1299</v>
      </c>
      <c r="W142" s="1110" t="s">
        <v>1299</v>
      </c>
      <c r="X142" s="1109" t="s">
        <v>1237</v>
      </c>
      <c r="Y142" s="1110" t="s">
        <v>443</v>
      </c>
      <c r="Z142" s="1333"/>
      <c r="AA142" s="1333"/>
      <c r="AB142" s="1327"/>
      <c r="AC142" s="1327"/>
      <c r="AD142" s="1327"/>
      <c r="AE142" s="1333"/>
      <c r="AF142" s="1333"/>
      <c r="AG142" s="1324" t="s">
        <v>1299</v>
      </c>
      <c r="AH142" s="1335"/>
    </row>
    <row r="143" spans="22:34" ht="13.15" x14ac:dyDescent="0.4">
      <c r="V143" s="1109" t="s">
        <v>2060</v>
      </c>
      <c r="W143" s="1110" t="s">
        <v>252</v>
      </c>
      <c r="X143" s="1109" t="s">
        <v>583</v>
      </c>
      <c r="Y143" s="1110" t="s">
        <v>444</v>
      </c>
      <c r="Z143" s="1333"/>
      <c r="AA143" s="1333"/>
      <c r="AB143" s="1334">
        <v>0.1</v>
      </c>
      <c r="AC143" s="1334">
        <v>0.15</v>
      </c>
      <c r="AD143" s="1334"/>
      <c r="AE143" s="1333"/>
      <c r="AF143" s="1333"/>
      <c r="AG143" s="1324" t="s">
        <v>5151</v>
      </c>
      <c r="AH143" s="1335"/>
    </row>
    <row r="144" spans="22:34" ht="13.15" x14ac:dyDescent="0.4">
      <c r="V144" s="1109" t="s">
        <v>1300</v>
      </c>
      <c r="W144" s="1110" t="s">
        <v>1300</v>
      </c>
      <c r="X144" s="1109" t="s">
        <v>1237</v>
      </c>
      <c r="Y144" s="1110" t="s">
        <v>445</v>
      </c>
      <c r="Z144" s="1333"/>
      <c r="AA144" s="1333"/>
      <c r="AB144" s="1327"/>
      <c r="AC144" s="1327"/>
      <c r="AD144" s="1327"/>
      <c r="AE144" s="1333"/>
      <c r="AF144" s="1333"/>
      <c r="AG144" s="1324" t="s">
        <v>1300</v>
      </c>
      <c r="AH144" s="1335"/>
    </row>
    <row r="145" spans="22:34" ht="13.15" x14ac:dyDescent="0.4">
      <c r="V145" s="1109" t="s">
        <v>2061</v>
      </c>
      <c r="W145" s="1110" t="s">
        <v>253</v>
      </c>
      <c r="X145" s="1109" t="s">
        <v>583</v>
      </c>
      <c r="Y145" s="1110" t="s">
        <v>446</v>
      </c>
      <c r="Z145" s="1333"/>
      <c r="AA145" s="1333"/>
      <c r="AB145" s="1334" t="s">
        <v>5107</v>
      </c>
      <c r="AC145" s="1327" t="s">
        <v>5025</v>
      </c>
      <c r="AD145" s="1327"/>
      <c r="AE145" s="1333"/>
      <c r="AF145" s="1333"/>
      <c r="AG145" s="1324" t="s">
        <v>5152</v>
      </c>
      <c r="AH145" s="1335"/>
    </row>
    <row r="146" spans="22:34" ht="13.15" x14ac:dyDescent="0.4">
      <c r="V146" s="1109" t="s">
        <v>2062</v>
      </c>
      <c r="W146" s="1110" t="s">
        <v>254</v>
      </c>
      <c r="X146" s="1109" t="s">
        <v>583</v>
      </c>
      <c r="Y146" s="1110" t="s">
        <v>447</v>
      </c>
      <c r="Z146" s="1333"/>
      <c r="AA146" s="1333"/>
      <c r="AB146" s="1327" t="s">
        <v>5024</v>
      </c>
      <c r="AC146" s="1327" t="s">
        <v>5044</v>
      </c>
      <c r="AD146" s="1327"/>
      <c r="AE146" s="1333"/>
      <c r="AF146" s="1333"/>
      <c r="AG146" s="1324" t="s">
        <v>5153</v>
      </c>
      <c r="AH146" s="1335"/>
    </row>
    <row r="147" spans="22:34" ht="13.15" x14ac:dyDescent="0.4">
      <c r="V147" s="1109" t="s">
        <v>2063</v>
      </c>
      <c r="W147" s="1110" t="s">
        <v>255</v>
      </c>
      <c r="X147" s="1109" t="s">
        <v>583</v>
      </c>
      <c r="Y147" s="1110" t="s">
        <v>448</v>
      </c>
      <c r="Z147" s="1333"/>
      <c r="AA147" s="1333"/>
      <c r="AB147" s="1334">
        <v>0.1</v>
      </c>
      <c r="AC147" s="1334">
        <v>0.15</v>
      </c>
      <c r="AD147" s="1334"/>
      <c r="AE147" s="1333"/>
      <c r="AF147" s="1333"/>
      <c r="AG147" s="1324" t="s">
        <v>5154</v>
      </c>
      <c r="AH147" s="1335"/>
    </row>
    <row r="148" spans="22:34" ht="13.15" x14ac:dyDescent="0.4">
      <c r="V148" s="1109" t="s">
        <v>2064</v>
      </c>
      <c r="W148" s="1110" t="s">
        <v>256</v>
      </c>
      <c r="X148" s="1109" t="s">
        <v>583</v>
      </c>
      <c r="Y148" s="1110" t="s">
        <v>449</v>
      </c>
      <c r="Z148" s="1333"/>
      <c r="AA148" s="1333"/>
      <c r="AB148" s="1334">
        <v>0.1</v>
      </c>
      <c r="AC148" s="1334">
        <v>0.15</v>
      </c>
      <c r="AD148" s="1334"/>
      <c r="AE148" s="1333"/>
      <c r="AF148" s="1333"/>
      <c r="AG148" s="1324" t="s">
        <v>5155</v>
      </c>
      <c r="AH148" s="1335"/>
    </row>
    <row r="149" spans="22:34" ht="13.15" x14ac:dyDescent="0.4">
      <c r="V149" s="1109" t="s">
        <v>1301</v>
      </c>
      <c r="W149" s="1110" t="s">
        <v>1301</v>
      </c>
      <c r="X149" s="1109" t="s">
        <v>1237</v>
      </c>
      <c r="Y149" s="1110" t="s">
        <v>450</v>
      </c>
      <c r="Z149" s="1333"/>
      <c r="AA149" s="1333"/>
      <c r="AB149" s="1327"/>
      <c r="AC149" s="1327"/>
      <c r="AD149" s="1327"/>
      <c r="AE149" s="1333"/>
      <c r="AF149" s="1333"/>
      <c r="AG149" s="1324" t="s">
        <v>1301</v>
      </c>
      <c r="AH149" s="1335"/>
    </row>
    <row r="150" spans="22:34" ht="13.15" x14ac:dyDescent="0.4">
      <c r="V150" s="1109" t="s">
        <v>1302</v>
      </c>
      <c r="W150" s="1110" t="s">
        <v>1302</v>
      </c>
      <c r="X150" s="1109" t="s">
        <v>1237</v>
      </c>
      <c r="Y150" s="1110" t="s">
        <v>451</v>
      </c>
      <c r="Z150" s="1333"/>
      <c r="AA150" s="1333"/>
      <c r="AB150" s="1327"/>
      <c r="AC150" s="1327"/>
      <c r="AD150" s="1327"/>
      <c r="AE150" s="1333"/>
      <c r="AF150" s="1333"/>
      <c r="AG150" s="1324" t="s">
        <v>1302</v>
      </c>
      <c r="AH150" s="1335"/>
    </row>
    <row r="151" spans="22:34" ht="13.15" x14ac:dyDescent="0.4">
      <c r="V151" s="1109" t="s">
        <v>1303</v>
      </c>
      <c r="W151" s="1110" t="s">
        <v>1303</v>
      </c>
      <c r="X151" s="1109" t="s">
        <v>1237</v>
      </c>
      <c r="Y151" s="1110" t="s">
        <v>452</v>
      </c>
      <c r="Z151" s="1333"/>
      <c r="AA151" s="1333"/>
      <c r="AB151" s="1327"/>
      <c r="AC151" s="1327"/>
      <c r="AD151" s="1327"/>
      <c r="AE151" s="1333"/>
      <c r="AF151" s="1333"/>
      <c r="AG151" s="1324" t="s">
        <v>1303</v>
      </c>
      <c r="AH151" s="1335"/>
    </row>
    <row r="152" spans="22:34" ht="13.15" x14ac:dyDescent="0.4">
      <c r="V152" s="1109" t="s">
        <v>2065</v>
      </c>
      <c r="W152" s="1110" t="s">
        <v>257</v>
      </c>
      <c r="X152" s="1109" t="s">
        <v>583</v>
      </c>
      <c r="Y152" s="1110" t="s">
        <v>453</v>
      </c>
      <c r="Z152" s="1333"/>
      <c r="AA152" s="1333"/>
      <c r="AB152" s="1327" t="s">
        <v>5024</v>
      </c>
      <c r="AC152" s="1327" t="s">
        <v>5025</v>
      </c>
      <c r="AD152" s="1327"/>
      <c r="AE152" s="1333"/>
      <c r="AF152" s="1333"/>
      <c r="AG152" s="1324" t="s">
        <v>5156</v>
      </c>
      <c r="AH152" s="1335"/>
    </row>
    <row r="153" spans="22:34" ht="13.15" x14ac:dyDescent="0.4">
      <c r="V153" s="1109" t="s">
        <v>2066</v>
      </c>
      <c r="W153" s="1110" t="s">
        <v>258</v>
      </c>
      <c r="X153" s="1109" t="s">
        <v>583</v>
      </c>
      <c r="Y153" s="1110" t="s">
        <v>454</v>
      </c>
      <c r="Z153" s="1333"/>
      <c r="AA153" s="1333"/>
      <c r="AB153" s="1327"/>
      <c r="AC153" s="1327"/>
      <c r="AD153" s="1327"/>
      <c r="AE153" s="1333"/>
      <c r="AF153" s="1333"/>
      <c r="AG153" s="1324" t="s">
        <v>5157</v>
      </c>
      <c r="AH153" s="1335"/>
    </row>
    <row r="154" spans="22:34" ht="31.9" x14ac:dyDescent="0.4">
      <c r="V154" s="1109" t="s">
        <v>2067</v>
      </c>
      <c r="W154" s="1110" t="s">
        <v>259</v>
      </c>
      <c r="X154" s="1109" t="s">
        <v>583</v>
      </c>
      <c r="Y154" s="1110" t="s">
        <v>455</v>
      </c>
      <c r="Z154" s="1333"/>
      <c r="AA154" s="1333"/>
      <c r="AB154" s="1327" t="s">
        <v>5158</v>
      </c>
      <c r="AC154" s="1334">
        <v>0.15</v>
      </c>
      <c r="AD154" s="1334"/>
      <c r="AE154" s="1333"/>
      <c r="AF154" s="1333"/>
      <c r="AG154" s="1324" t="s">
        <v>5159</v>
      </c>
      <c r="AH154" s="1335" t="s">
        <v>5160</v>
      </c>
    </row>
    <row r="155" spans="22:34" ht="13.15" x14ac:dyDescent="0.4">
      <c r="V155" s="1109" t="s">
        <v>2068</v>
      </c>
      <c r="W155" s="1110" t="s">
        <v>260</v>
      </c>
      <c r="X155" s="1109" t="s">
        <v>583</v>
      </c>
      <c r="Y155" s="1110" t="s">
        <v>456</v>
      </c>
      <c r="Z155" s="1333"/>
      <c r="AA155" s="1333"/>
      <c r="AB155" s="1327" t="s">
        <v>5044</v>
      </c>
      <c r="AC155" s="1327" t="s">
        <v>5044</v>
      </c>
      <c r="AD155" s="1327" t="s">
        <v>5044</v>
      </c>
      <c r="AE155" s="1333"/>
      <c r="AF155" s="1333"/>
      <c r="AG155" s="1324" t="s">
        <v>5161</v>
      </c>
      <c r="AH155" s="1335"/>
    </row>
    <row r="156" spans="22:34" ht="42.4" x14ac:dyDescent="0.4">
      <c r="V156" s="1109" t="s">
        <v>2069</v>
      </c>
      <c r="W156" s="1110" t="s">
        <v>261</v>
      </c>
      <c r="X156" s="1109" t="s">
        <v>583</v>
      </c>
      <c r="Y156" s="1110" t="s">
        <v>457</v>
      </c>
      <c r="Z156" s="1333"/>
      <c r="AA156" s="1333"/>
      <c r="AB156" s="1327" t="s">
        <v>5162</v>
      </c>
      <c r="AC156" s="1334" t="s">
        <v>5025</v>
      </c>
      <c r="AD156" s="1334"/>
      <c r="AE156" s="1333"/>
      <c r="AF156" s="1333"/>
      <c r="AG156" s="1324" t="s">
        <v>5163</v>
      </c>
      <c r="AH156" s="1335" t="s">
        <v>5164</v>
      </c>
    </row>
    <row r="157" spans="22:34" ht="13.15" x14ac:dyDescent="0.4">
      <c r="V157" s="1109" t="s">
        <v>1304</v>
      </c>
      <c r="W157" s="1110" t="s">
        <v>1304</v>
      </c>
      <c r="X157" s="1109" t="s">
        <v>1237</v>
      </c>
      <c r="Y157" s="1110" t="s">
        <v>458</v>
      </c>
      <c r="Z157" s="1333"/>
      <c r="AA157" s="1333"/>
      <c r="AB157" s="1327"/>
      <c r="AC157" s="1327"/>
      <c r="AD157" s="1327"/>
      <c r="AE157" s="1333"/>
      <c r="AF157" s="1333"/>
      <c r="AG157" s="1324" t="s">
        <v>1304</v>
      </c>
      <c r="AH157" s="1335"/>
    </row>
    <row r="158" spans="22:34" ht="105.4" x14ac:dyDescent="0.4">
      <c r="V158" s="1109" t="s">
        <v>3243</v>
      </c>
      <c r="W158" s="1110" t="s">
        <v>262</v>
      </c>
      <c r="X158" s="1109" t="s">
        <v>583</v>
      </c>
      <c r="Y158" s="1110" t="s">
        <v>459</v>
      </c>
      <c r="Z158" s="1333"/>
      <c r="AA158" s="1333"/>
      <c r="AB158" s="1334">
        <v>0.2</v>
      </c>
      <c r="AC158" s="1334">
        <v>0.15</v>
      </c>
      <c r="AD158" s="1334"/>
      <c r="AE158" s="1333"/>
      <c r="AF158" s="1333"/>
      <c r="AG158" s="1324" t="s">
        <v>5165</v>
      </c>
      <c r="AH158" s="1335" t="s">
        <v>5166</v>
      </c>
    </row>
    <row r="159" spans="22:34" ht="13.15" x14ac:dyDescent="0.4">
      <c r="V159" s="1109" t="s">
        <v>1305</v>
      </c>
      <c r="W159" s="1110" t="s">
        <v>1305</v>
      </c>
      <c r="X159" s="1109" t="s">
        <v>1237</v>
      </c>
      <c r="Y159" s="1110" t="s">
        <v>460</v>
      </c>
      <c r="Z159" s="1333"/>
      <c r="AA159" s="1333"/>
      <c r="AB159" s="1327"/>
      <c r="AC159" s="1327"/>
      <c r="AD159" s="1327"/>
      <c r="AE159" s="1333"/>
      <c r="AF159" s="1333"/>
      <c r="AG159" s="1324" t="s">
        <v>1305</v>
      </c>
      <c r="AH159" s="1335"/>
    </row>
    <row r="160" spans="22:34" ht="13.15" x14ac:dyDescent="0.4">
      <c r="V160" s="1109" t="s">
        <v>1306</v>
      </c>
      <c r="W160" s="1110" t="s">
        <v>1306</v>
      </c>
      <c r="X160" s="1109" t="s">
        <v>1237</v>
      </c>
      <c r="Y160" s="1110" t="s">
        <v>461</v>
      </c>
      <c r="Z160" s="1333"/>
      <c r="AA160" s="1333"/>
      <c r="AB160" s="1327"/>
      <c r="AC160" s="1327"/>
      <c r="AD160" s="1327"/>
      <c r="AE160" s="1333"/>
      <c r="AF160" s="1333"/>
      <c r="AG160" s="1324" t="s">
        <v>1306</v>
      </c>
      <c r="AH160" s="1335"/>
    </row>
    <row r="161" spans="22:34" ht="13.15" x14ac:dyDescent="0.4">
      <c r="V161" s="1109" t="s">
        <v>2070</v>
      </c>
      <c r="W161" s="1110" t="s">
        <v>263</v>
      </c>
      <c r="X161" s="1109" t="s">
        <v>583</v>
      </c>
      <c r="Y161" s="1110" t="s">
        <v>462</v>
      </c>
      <c r="Z161" s="1333"/>
      <c r="AA161" s="1333"/>
      <c r="AB161" s="1327"/>
      <c r="AC161" s="1327"/>
      <c r="AD161" s="1327"/>
      <c r="AE161" s="1333"/>
      <c r="AF161" s="1333"/>
      <c r="AG161" s="1324" t="s">
        <v>5167</v>
      </c>
      <c r="AH161" s="1335"/>
    </row>
    <row r="162" spans="22:34" ht="13.15" x14ac:dyDescent="0.4">
      <c r="V162" s="1109" t="s">
        <v>2071</v>
      </c>
      <c r="W162" s="1110" t="s">
        <v>264</v>
      </c>
      <c r="X162" s="1109" t="s">
        <v>583</v>
      </c>
      <c r="Y162" s="1110" t="s">
        <v>463</v>
      </c>
      <c r="Z162" s="1333"/>
      <c r="AA162" s="1333"/>
      <c r="AB162" s="1336" t="s">
        <v>5092</v>
      </c>
      <c r="AC162" s="1334" t="s">
        <v>5043</v>
      </c>
      <c r="AD162" s="1334"/>
      <c r="AE162" s="1333"/>
      <c r="AF162" s="1333"/>
      <c r="AG162" s="1324" t="s">
        <v>5168</v>
      </c>
      <c r="AH162" s="1335"/>
    </row>
    <row r="163" spans="22:34" ht="13.15" x14ac:dyDescent="0.4">
      <c r="V163" s="1109" t="s">
        <v>2628</v>
      </c>
      <c r="W163" s="1110" t="s">
        <v>2628</v>
      </c>
      <c r="X163" s="1109" t="s">
        <v>1237</v>
      </c>
      <c r="Y163" s="1110" t="s">
        <v>464</v>
      </c>
      <c r="Z163" s="1333"/>
      <c r="AA163" s="1333"/>
      <c r="AB163" s="1327"/>
      <c r="AC163" s="1327"/>
      <c r="AD163" s="1327"/>
      <c r="AE163" s="1333"/>
      <c r="AF163" s="1333"/>
      <c r="AG163" s="1324" t="s">
        <v>2628</v>
      </c>
      <c r="AH163" s="1335"/>
    </row>
    <row r="164" spans="22:34" ht="13.15" x14ac:dyDescent="0.4">
      <c r="V164" s="1109" t="s">
        <v>1307</v>
      </c>
      <c r="W164" s="1110" t="s">
        <v>1307</v>
      </c>
      <c r="X164" s="1109" t="s">
        <v>1237</v>
      </c>
      <c r="Y164" s="1110" t="s">
        <v>465</v>
      </c>
      <c r="Z164" s="1333"/>
      <c r="AA164" s="1333"/>
      <c r="AB164" s="1327"/>
      <c r="AC164" s="1327"/>
      <c r="AD164" s="1327"/>
      <c r="AE164" s="1333"/>
      <c r="AF164" s="1333"/>
      <c r="AG164" s="1324" t="s">
        <v>1307</v>
      </c>
      <c r="AH164" s="1335"/>
    </row>
    <row r="165" spans="22:34" ht="73.900000000000006" x14ac:dyDescent="0.4">
      <c r="V165" s="1109" t="s">
        <v>2072</v>
      </c>
      <c r="W165" s="1110" t="s">
        <v>265</v>
      </c>
      <c r="X165" s="1109" t="s">
        <v>583</v>
      </c>
      <c r="Y165" s="1110" t="s">
        <v>466</v>
      </c>
      <c r="Z165" s="1333"/>
      <c r="AA165" s="1333"/>
      <c r="AB165" s="1328">
        <v>0</v>
      </c>
      <c r="AC165" s="1327" t="s">
        <v>5049</v>
      </c>
      <c r="AD165" s="1327"/>
      <c r="AE165" s="1333"/>
      <c r="AF165" s="1333"/>
      <c r="AG165" s="1324" t="s">
        <v>5169</v>
      </c>
      <c r="AH165" s="1335" t="s">
        <v>5170</v>
      </c>
    </row>
    <row r="166" spans="22:34" ht="13.15" x14ac:dyDescent="0.4">
      <c r="V166" s="1109" t="s">
        <v>2073</v>
      </c>
      <c r="W166" s="1110" t="s">
        <v>266</v>
      </c>
      <c r="X166" s="1109" t="s">
        <v>583</v>
      </c>
      <c r="Y166" s="1110" t="s">
        <v>467</v>
      </c>
      <c r="Z166" s="1333"/>
      <c r="AA166" s="1333"/>
      <c r="AB166" s="1328">
        <v>0</v>
      </c>
      <c r="AC166" s="1334">
        <v>0.15</v>
      </c>
      <c r="AD166" s="1334"/>
      <c r="AE166" s="1333"/>
      <c r="AF166" s="1333"/>
      <c r="AG166" s="1324" t="s">
        <v>5171</v>
      </c>
      <c r="AH166" s="1335"/>
    </row>
    <row r="167" spans="22:34" ht="13.15" x14ac:dyDescent="0.4">
      <c r="V167" s="1109" t="s">
        <v>1308</v>
      </c>
      <c r="W167" s="1110" t="s">
        <v>1308</v>
      </c>
      <c r="X167" s="1109" t="s">
        <v>1237</v>
      </c>
      <c r="Y167" s="1110" t="s">
        <v>468</v>
      </c>
      <c r="Z167" s="1333"/>
      <c r="AA167" s="1333"/>
      <c r="AB167" s="1327"/>
      <c r="AC167" s="1327"/>
      <c r="AD167" s="1327"/>
      <c r="AE167" s="1333"/>
      <c r="AF167" s="1333"/>
      <c r="AG167" s="1324" t="s">
        <v>1308</v>
      </c>
      <c r="AH167" s="1335"/>
    </row>
    <row r="168" spans="22:34" ht="13.15" x14ac:dyDescent="0.4">
      <c r="V168" s="1109" t="s">
        <v>1309</v>
      </c>
      <c r="W168" s="1110" t="s">
        <v>1309</v>
      </c>
      <c r="X168" s="1109" t="s">
        <v>1237</v>
      </c>
      <c r="Y168" s="1110" t="s">
        <v>469</v>
      </c>
      <c r="Z168" s="1333"/>
      <c r="AA168" s="1333"/>
      <c r="AB168" s="1327"/>
      <c r="AC168" s="1327"/>
      <c r="AD168" s="1327"/>
      <c r="AE168" s="1333"/>
      <c r="AF168" s="1333"/>
      <c r="AG168" s="1324" t="s">
        <v>1309</v>
      </c>
      <c r="AH168" s="1335"/>
    </row>
    <row r="169" spans="22:34" ht="13.15" x14ac:dyDescent="0.4">
      <c r="V169" s="1109" t="s">
        <v>2074</v>
      </c>
      <c r="W169" s="1110" t="s">
        <v>267</v>
      </c>
      <c r="X169" s="1109" t="s">
        <v>583</v>
      </c>
      <c r="Y169" s="1110" t="s">
        <v>470</v>
      </c>
      <c r="Z169" s="1333"/>
      <c r="AA169" s="1333"/>
      <c r="AB169" s="1334">
        <v>0.1</v>
      </c>
      <c r="AC169" s="1334">
        <v>0.15</v>
      </c>
      <c r="AD169" s="1334"/>
      <c r="AE169" s="1333"/>
      <c r="AF169" s="1333"/>
      <c r="AG169" s="1324" t="s">
        <v>5172</v>
      </c>
      <c r="AH169" s="1335"/>
    </row>
    <row r="170" spans="22:34" ht="199.9" x14ac:dyDescent="0.4">
      <c r="V170" s="1109" t="s">
        <v>2075</v>
      </c>
      <c r="W170" s="1110" t="s">
        <v>268</v>
      </c>
      <c r="X170" s="1109" t="s">
        <v>583</v>
      </c>
      <c r="Y170" s="1110" t="s">
        <v>471</v>
      </c>
      <c r="Z170" s="1333"/>
      <c r="AA170" s="1333"/>
      <c r="AB170" s="1328">
        <v>0</v>
      </c>
      <c r="AC170" s="1334">
        <v>0.1</v>
      </c>
      <c r="AD170" s="1334"/>
      <c r="AE170" s="1333"/>
      <c r="AF170" s="1333"/>
      <c r="AG170" s="1324" t="s">
        <v>5173</v>
      </c>
      <c r="AH170" s="1335" t="s">
        <v>5174</v>
      </c>
    </row>
    <row r="171" spans="22:34" ht="94.9" x14ac:dyDescent="0.4">
      <c r="V171" s="1109" t="s">
        <v>2076</v>
      </c>
      <c r="W171" s="1110" t="s">
        <v>269</v>
      </c>
      <c r="X171" s="1109" t="s">
        <v>583</v>
      </c>
      <c r="Y171" s="1110" t="s">
        <v>472</v>
      </c>
      <c r="Z171" s="1333"/>
      <c r="AA171" s="1333"/>
      <c r="AB171" s="1334">
        <v>0.15</v>
      </c>
      <c r="AC171" s="1327" t="s">
        <v>5175</v>
      </c>
      <c r="AD171" s="1327"/>
      <c r="AE171" s="1333"/>
      <c r="AF171" s="1333"/>
      <c r="AG171" s="1324" t="s">
        <v>5176</v>
      </c>
      <c r="AH171" s="1335" t="s">
        <v>5177</v>
      </c>
    </row>
    <row r="172" spans="22:34" ht="13.15" x14ac:dyDescent="0.4">
      <c r="V172" s="1109" t="s">
        <v>1310</v>
      </c>
      <c r="W172" s="1110" t="s">
        <v>1310</v>
      </c>
      <c r="X172" s="1109" t="s">
        <v>1237</v>
      </c>
      <c r="Y172" s="1110" t="s">
        <v>473</v>
      </c>
      <c r="Z172" s="1333"/>
      <c r="AA172" s="1333"/>
      <c r="AB172" s="1327"/>
      <c r="AC172" s="1327"/>
      <c r="AD172" s="1327"/>
      <c r="AE172" s="1333"/>
      <c r="AF172" s="1333"/>
      <c r="AG172" s="1324" t="s">
        <v>1310</v>
      </c>
      <c r="AH172" s="1335"/>
    </row>
    <row r="173" spans="22:34" ht="13.15" x14ac:dyDescent="0.4">
      <c r="V173" s="1109" t="s">
        <v>1311</v>
      </c>
      <c r="W173" s="1110" t="s">
        <v>1311</v>
      </c>
      <c r="X173" s="1109" t="s">
        <v>1237</v>
      </c>
      <c r="Y173" s="1110" t="s">
        <v>474</v>
      </c>
      <c r="Z173" s="1333"/>
      <c r="AA173" s="1333"/>
      <c r="AB173" s="1327"/>
      <c r="AC173" s="1327"/>
      <c r="AD173" s="1327"/>
      <c r="AE173" s="1333"/>
      <c r="AF173" s="1333"/>
      <c r="AG173" s="1324" t="s">
        <v>1311</v>
      </c>
      <c r="AH173" s="1335"/>
    </row>
    <row r="174" spans="22:34" ht="13.15" x14ac:dyDescent="0.4">
      <c r="V174" s="1109" t="s">
        <v>1312</v>
      </c>
      <c r="W174" s="1110" t="s">
        <v>1312</v>
      </c>
      <c r="X174" s="1109" t="s">
        <v>1237</v>
      </c>
      <c r="Y174" s="1110" t="s">
        <v>475</v>
      </c>
      <c r="Z174" s="1333"/>
      <c r="AA174" s="1333"/>
      <c r="AB174" s="1327"/>
      <c r="AC174" s="1327"/>
      <c r="AD174" s="1327"/>
      <c r="AE174" s="1333"/>
      <c r="AF174" s="1333"/>
      <c r="AG174" s="1324" t="s">
        <v>1312</v>
      </c>
      <c r="AH174" s="1335"/>
    </row>
    <row r="175" spans="22:34" ht="157.9" x14ac:dyDescent="0.4">
      <c r="V175" s="1109" t="s">
        <v>2077</v>
      </c>
      <c r="W175" s="1110" t="s">
        <v>270</v>
      </c>
      <c r="X175" s="1109" t="s">
        <v>583</v>
      </c>
      <c r="Y175" s="1110" t="s">
        <v>476</v>
      </c>
      <c r="Z175" s="1333"/>
      <c r="AA175" s="1333"/>
      <c r="AB175" s="1327" t="s">
        <v>5027</v>
      </c>
      <c r="AC175" s="1334">
        <v>0.25</v>
      </c>
      <c r="AD175" s="1334"/>
      <c r="AE175" s="1333"/>
      <c r="AF175" s="1333"/>
      <c r="AG175" s="1324" t="s">
        <v>5178</v>
      </c>
      <c r="AH175" s="1335" t="s">
        <v>5179</v>
      </c>
    </row>
    <row r="176" spans="22:34" ht="13.15" x14ac:dyDescent="0.4">
      <c r="V176" s="1109" t="s">
        <v>1313</v>
      </c>
      <c r="W176" s="1110" t="s">
        <v>1313</v>
      </c>
      <c r="X176" s="1109" t="s">
        <v>1237</v>
      </c>
      <c r="Y176" s="1110" t="s">
        <v>477</v>
      </c>
      <c r="Z176" s="1333"/>
      <c r="AA176" s="1333"/>
      <c r="AB176" s="1327"/>
      <c r="AC176" s="1327"/>
      <c r="AD176" s="1327"/>
      <c r="AE176" s="1333"/>
      <c r="AF176" s="1333"/>
      <c r="AG176" s="1324" t="s">
        <v>1313</v>
      </c>
      <c r="AH176" s="1335"/>
    </row>
    <row r="177" spans="22:34" ht="13.15" x14ac:dyDescent="0.4">
      <c r="V177" s="1109" t="s">
        <v>2078</v>
      </c>
      <c r="W177" s="1110" t="s">
        <v>271</v>
      </c>
      <c r="X177" s="1109" t="s">
        <v>583</v>
      </c>
      <c r="Y177" s="1110" t="s">
        <v>478</v>
      </c>
      <c r="Z177" s="1333"/>
      <c r="AA177" s="1333"/>
      <c r="AB177" s="1334">
        <v>0.1</v>
      </c>
      <c r="AC177" s="1334">
        <v>0.17</v>
      </c>
      <c r="AD177" s="1334"/>
      <c r="AE177" s="1333"/>
      <c r="AF177" s="1333"/>
      <c r="AG177" s="1324" t="s">
        <v>5180</v>
      </c>
      <c r="AH177" s="1335"/>
    </row>
    <row r="178" spans="22:34" ht="13.15" x14ac:dyDescent="0.4">
      <c r="V178" s="1109" t="s">
        <v>2079</v>
      </c>
      <c r="W178" s="1110" t="s">
        <v>272</v>
      </c>
      <c r="X178" s="1109" t="s">
        <v>583</v>
      </c>
      <c r="Y178" s="1110" t="s">
        <v>479</v>
      </c>
      <c r="Z178" s="1333"/>
      <c r="AA178" s="1333"/>
      <c r="AB178" s="1334">
        <v>0.05</v>
      </c>
      <c r="AC178" s="1334">
        <v>0.1</v>
      </c>
      <c r="AD178" s="1334"/>
      <c r="AE178" s="1333"/>
      <c r="AF178" s="1333"/>
      <c r="AG178" s="1324" t="s">
        <v>5181</v>
      </c>
      <c r="AH178" s="1335"/>
    </row>
    <row r="179" spans="22:34" ht="13.15" x14ac:dyDescent="0.4">
      <c r="V179" s="1109" t="s">
        <v>1314</v>
      </c>
      <c r="W179" s="1110" t="s">
        <v>1314</v>
      </c>
      <c r="X179" s="1109" t="s">
        <v>1237</v>
      </c>
      <c r="Y179" s="1110" t="s">
        <v>480</v>
      </c>
      <c r="Z179" s="1333"/>
      <c r="AA179" s="1333"/>
      <c r="AB179" s="1327"/>
      <c r="AC179" s="1327"/>
      <c r="AD179" s="1327"/>
      <c r="AE179" s="1333"/>
      <c r="AF179" s="1333"/>
      <c r="AG179" s="1324" t="s">
        <v>1314</v>
      </c>
      <c r="AH179" s="1335"/>
    </row>
    <row r="180" spans="22:34" ht="13.15" x14ac:dyDescent="0.4">
      <c r="V180" s="1109" t="s">
        <v>1315</v>
      </c>
      <c r="W180" s="1110" t="s">
        <v>1315</v>
      </c>
      <c r="X180" s="1109" t="s">
        <v>1237</v>
      </c>
      <c r="Y180" s="1110" t="s">
        <v>481</v>
      </c>
      <c r="Z180" s="1333"/>
      <c r="AA180" s="1333"/>
      <c r="AB180" s="1327"/>
      <c r="AC180" s="1327"/>
      <c r="AD180" s="1327"/>
      <c r="AE180" s="1333"/>
      <c r="AF180" s="1333"/>
      <c r="AG180" s="1324" t="s">
        <v>1315</v>
      </c>
      <c r="AH180" s="1335"/>
    </row>
    <row r="181" spans="22:34" ht="13.15" x14ac:dyDescent="0.4">
      <c r="V181" s="1109" t="s">
        <v>2080</v>
      </c>
      <c r="W181" s="1110" t="s">
        <v>273</v>
      </c>
      <c r="X181" s="1109" t="s">
        <v>583</v>
      </c>
      <c r="Y181" s="1110" t="s">
        <v>482</v>
      </c>
      <c r="Z181" s="1333"/>
      <c r="AA181" s="1333"/>
      <c r="AB181" s="1334" t="s">
        <v>5107</v>
      </c>
      <c r="AC181" s="1334">
        <v>0.15</v>
      </c>
      <c r="AD181" s="1334"/>
      <c r="AE181" s="1333"/>
      <c r="AF181" s="1333"/>
      <c r="AG181" s="1324" t="s">
        <v>5182</v>
      </c>
      <c r="AH181" s="1335"/>
    </row>
    <row r="182" spans="22:34" ht="13.15" x14ac:dyDescent="0.4">
      <c r="V182" s="1109" t="s">
        <v>1316</v>
      </c>
      <c r="W182" s="1110" t="s">
        <v>1316</v>
      </c>
      <c r="X182" s="1109" t="s">
        <v>1237</v>
      </c>
      <c r="Y182" s="1110" t="s">
        <v>483</v>
      </c>
      <c r="Z182" s="1333"/>
      <c r="AA182" s="1333"/>
      <c r="AB182" s="1327"/>
      <c r="AC182" s="1327"/>
      <c r="AD182" s="1327"/>
      <c r="AE182" s="1333"/>
      <c r="AF182" s="1333"/>
      <c r="AG182" s="1324" t="s">
        <v>1316</v>
      </c>
      <c r="AH182" s="1335"/>
    </row>
    <row r="183" spans="22:34" ht="13.15" x14ac:dyDescent="0.4">
      <c r="V183" s="1109" t="s">
        <v>1317</v>
      </c>
      <c r="W183" s="1110" t="s">
        <v>1317</v>
      </c>
      <c r="X183" s="1109" t="s">
        <v>1237</v>
      </c>
      <c r="Y183" s="1110" t="s">
        <v>484</v>
      </c>
      <c r="Z183" s="1333"/>
      <c r="AA183" s="1333"/>
      <c r="AB183" s="1327"/>
      <c r="AC183" s="1327"/>
      <c r="AD183" s="1327"/>
      <c r="AE183" s="1333"/>
      <c r="AF183" s="1333"/>
      <c r="AG183" s="1324" t="s">
        <v>1317</v>
      </c>
      <c r="AH183" s="1335"/>
    </row>
    <row r="184" spans="22:34" ht="136.9" x14ac:dyDescent="0.4">
      <c r="V184" s="1109" t="s">
        <v>2081</v>
      </c>
      <c r="W184" s="1110" t="s">
        <v>274</v>
      </c>
      <c r="X184" s="1109" t="s">
        <v>583</v>
      </c>
      <c r="Y184" s="1110" t="s">
        <v>485</v>
      </c>
      <c r="Z184" s="1333"/>
      <c r="AA184" s="1333"/>
      <c r="AB184" s="1328">
        <v>0</v>
      </c>
      <c r="AC184" s="1334">
        <v>0</v>
      </c>
      <c r="AD184" s="1334"/>
      <c r="AE184" s="1333"/>
      <c r="AF184" s="1333"/>
      <c r="AG184" s="1324" t="s">
        <v>5183</v>
      </c>
      <c r="AH184" s="1335" t="s">
        <v>5184</v>
      </c>
    </row>
    <row r="185" spans="22:34" ht="13.15" x14ac:dyDescent="0.4">
      <c r="V185" s="1109" t="s">
        <v>2082</v>
      </c>
      <c r="W185" s="1110" t="s">
        <v>275</v>
      </c>
      <c r="X185" s="1109" t="s">
        <v>583</v>
      </c>
      <c r="Y185" s="1110" t="s">
        <v>486</v>
      </c>
      <c r="Z185" s="1333"/>
      <c r="AA185" s="1333"/>
      <c r="AB185" s="1327"/>
      <c r="AC185" s="1327"/>
      <c r="AD185" s="1327"/>
      <c r="AE185" s="1333"/>
      <c r="AF185" s="1333"/>
      <c r="AG185" s="1324" t="s">
        <v>5185</v>
      </c>
      <c r="AH185" s="1335"/>
    </row>
    <row r="186" spans="22:34" ht="147.4" x14ac:dyDescent="0.4">
      <c r="V186" s="1109" t="s">
        <v>2083</v>
      </c>
      <c r="W186" s="1110" t="s">
        <v>276</v>
      </c>
      <c r="X186" s="1109" t="s">
        <v>583</v>
      </c>
      <c r="Y186" s="1110" t="s">
        <v>487</v>
      </c>
      <c r="Z186" s="1333"/>
      <c r="AA186" s="1333"/>
      <c r="AB186" s="1334">
        <v>0.1</v>
      </c>
      <c r="AC186" s="1334">
        <v>0.15</v>
      </c>
      <c r="AD186" s="1334"/>
      <c r="AE186" s="1333"/>
      <c r="AF186" s="1333"/>
      <c r="AG186" s="1324" t="s">
        <v>5186</v>
      </c>
      <c r="AH186" s="1335" t="s">
        <v>5187</v>
      </c>
    </row>
    <row r="187" spans="22:34" ht="13.15" x14ac:dyDescent="0.4">
      <c r="V187" s="1109" t="s">
        <v>2084</v>
      </c>
      <c r="W187" s="1110" t="s">
        <v>277</v>
      </c>
      <c r="X187" s="1109" t="s">
        <v>583</v>
      </c>
      <c r="Y187" s="1110" t="s">
        <v>488</v>
      </c>
      <c r="Z187" s="1333"/>
      <c r="AA187" s="1333"/>
      <c r="AB187" s="1328">
        <v>0</v>
      </c>
      <c r="AC187" s="1334" t="s">
        <v>5107</v>
      </c>
      <c r="AD187" s="1334"/>
      <c r="AE187" s="1333"/>
      <c r="AF187" s="1333"/>
      <c r="AG187" s="1324" t="s">
        <v>5188</v>
      </c>
      <c r="AH187" s="1335"/>
    </row>
    <row r="188" spans="22:34" ht="13.15" x14ac:dyDescent="0.4">
      <c r="V188" s="1109" t="s">
        <v>1318</v>
      </c>
      <c r="W188" s="1110" t="s">
        <v>1318</v>
      </c>
      <c r="X188" s="1109" t="s">
        <v>1237</v>
      </c>
      <c r="Y188" s="1110" t="s">
        <v>489</v>
      </c>
      <c r="Z188" s="1333"/>
      <c r="AA188" s="1333"/>
      <c r="AB188" s="1327"/>
      <c r="AC188" s="1327"/>
      <c r="AD188" s="1327"/>
      <c r="AE188" s="1333"/>
      <c r="AF188" s="1333"/>
      <c r="AG188" s="1324" t="s">
        <v>1318</v>
      </c>
      <c r="AH188" s="1335"/>
    </row>
    <row r="189" spans="22:34" ht="231.4" x14ac:dyDescent="0.4">
      <c r="V189" s="1109" t="s">
        <v>2687</v>
      </c>
      <c r="W189" s="1110" t="s">
        <v>278</v>
      </c>
      <c r="X189" s="1109" t="s">
        <v>583</v>
      </c>
      <c r="Y189" s="1110" t="s">
        <v>490</v>
      </c>
      <c r="Z189" s="1333"/>
      <c r="AA189" s="1333"/>
      <c r="AB189" s="1327" t="s">
        <v>5061</v>
      </c>
      <c r="AC189" s="1334">
        <v>0.05</v>
      </c>
      <c r="AD189" s="1334"/>
      <c r="AE189" s="1333"/>
      <c r="AF189" s="1333"/>
      <c r="AG189" s="1324" t="s">
        <v>5189</v>
      </c>
      <c r="AH189" s="1335" t="s">
        <v>5190</v>
      </c>
    </row>
    <row r="190" spans="22:34" ht="84.4" x14ac:dyDescent="0.4">
      <c r="V190" s="1109" t="s">
        <v>2085</v>
      </c>
      <c r="W190" s="1110" t="s">
        <v>279</v>
      </c>
      <c r="X190" s="1109" t="s">
        <v>583</v>
      </c>
      <c r="Y190" s="1110" t="s">
        <v>491</v>
      </c>
      <c r="Z190" s="1333"/>
      <c r="AA190" s="1333"/>
      <c r="AB190" s="1334" t="s">
        <v>5043</v>
      </c>
      <c r="AC190" s="1327" t="s">
        <v>5027</v>
      </c>
      <c r="AD190" s="1327"/>
      <c r="AE190" s="1333"/>
      <c r="AF190" s="1333"/>
      <c r="AG190" s="1324" t="s">
        <v>5191</v>
      </c>
      <c r="AH190" s="1335" t="s">
        <v>5192</v>
      </c>
    </row>
    <row r="191" spans="22:34" ht="13.15" x14ac:dyDescent="0.4">
      <c r="V191" s="1109" t="s">
        <v>1319</v>
      </c>
      <c r="W191" s="1110" t="s">
        <v>1319</v>
      </c>
      <c r="X191" s="1109" t="s">
        <v>1237</v>
      </c>
      <c r="Y191" s="1110" t="s">
        <v>492</v>
      </c>
      <c r="Z191" s="1333"/>
      <c r="AA191" s="1333"/>
      <c r="AB191" s="1327"/>
      <c r="AC191" s="1327"/>
      <c r="AD191" s="1327"/>
      <c r="AE191" s="1333"/>
      <c r="AF191" s="1333"/>
      <c r="AG191" s="1324" t="s">
        <v>1319</v>
      </c>
      <c r="AH191" s="1335"/>
    </row>
    <row r="192" spans="22:34" ht="84.4" x14ac:dyDescent="0.4">
      <c r="V192" s="1109" t="s">
        <v>2086</v>
      </c>
      <c r="W192" s="1110" t="s">
        <v>280</v>
      </c>
      <c r="X192" s="1109" t="s">
        <v>583</v>
      </c>
      <c r="Y192" s="1110" t="s">
        <v>493</v>
      </c>
      <c r="Z192" s="1333"/>
      <c r="AA192" s="1333"/>
      <c r="AB192" s="1334">
        <v>0.1</v>
      </c>
      <c r="AC192" s="1327" t="s">
        <v>5193</v>
      </c>
      <c r="AD192" s="1327"/>
      <c r="AE192" s="1333"/>
      <c r="AF192" s="1333"/>
      <c r="AG192" s="1324" t="s">
        <v>5194</v>
      </c>
      <c r="AH192" s="1335" t="s">
        <v>5195</v>
      </c>
    </row>
    <row r="193" spans="22:34" ht="13.15" x14ac:dyDescent="0.4">
      <c r="V193" s="1109" t="s">
        <v>1320</v>
      </c>
      <c r="W193" s="1110" t="s">
        <v>1320</v>
      </c>
      <c r="X193" s="1109" t="s">
        <v>1237</v>
      </c>
      <c r="Y193" s="1110" t="s">
        <v>494</v>
      </c>
      <c r="Z193" s="1333"/>
      <c r="AA193" s="1333"/>
      <c r="AB193" s="1327"/>
      <c r="AC193" s="1327"/>
      <c r="AD193" s="1327"/>
      <c r="AE193" s="1333"/>
      <c r="AF193" s="1333"/>
      <c r="AG193" s="1324" t="s">
        <v>1320</v>
      </c>
      <c r="AH193" s="1335"/>
    </row>
    <row r="194" spans="22:34" ht="13.15" x14ac:dyDescent="0.4">
      <c r="V194" s="1109" t="s">
        <v>1321</v>
      </c>
      <c r="W194" s="1110" t="s">
        <v>1321</v>
      </c>
      <c r="X194" s="1109" t="s">
        <v>1237</v>
      </c>
      <c r="Y194" s="1110" t="s">
        <v>495</v>
      </c>
      <c r="Z194" s="1333"/>
      <c r="AA194" s="1333"/>
      <c r="AB194" s="1327"/>
      <c r="AC194" s="1327"/>
      <c r="AD194" s="1327"/>
      <c r="AE194" s="1333"/>
      <c r="AF194" s="1333"/>
      <c r="AG194" s="1324" t="s">
        <v>1321</v>
      </c>
      <c r="AH194" s="1335"/>
    </row>
    <row r="195" spans="22:34" ht="13.15" x14ac:dyDescent="0.4">
      <c r="V195" s="1109" t="s">
        <v>2087</v>
      </c>
      <c r="W195" s="1110" t="s">
        <v>281</v>
      </c>
      <c r="X195" s="1109" t="s">
        <v>583</v>
      </c>
      <c r="Y195" s="1110" t="s">
        <v>496</v>
      </c>
      <c r="Z195" s="1333"/>
      <c r="AA195" s="1333"/>
      <c r="AB195" s="1327" t="s">
        <v>5024</v>
      </c>
      <c r="AC195" s="1327" t="s">
        <v>5044</v>
      </c>
      <c r="AD195" s="1327" t="s">
        <v>5044</v>
      </c>
      <c r="AE195" s="1333"/>
      <c r="AF195" s="1333"/>
      <c r="AG195" s="1324" t="s">
        <v>5196</v>
      </c>
      <c r="AH195" s="1335"/>
    </row>
    <row r="196" spans="22:34" ht="13.15" x14ac:dyDescent="0.4">
      <c r="V196" s="1109" t="s">
        <v>2088</v>
      </c>
      <c r="W196" s="1110" t="s">
        <v>282</v>
      </c>
      <c r="X196" s="1109" t="s">
        <v>583</v>
      </c>
      <c r="Y196" s="1110" t="s">
        <v>497</v>
      </c>
      <c r="Z196" s="1333"/>
      <c r="AA196" s="1333"/>
      <c r="AB196" s="1327" t="s">
        <v>5024</v>
      </c>
      <c r="AC196" s="1327" t="s">
        <v>5044</v>
      </c>
      <c r="AD196" s="1327" t="s">
        <v>5044</v>
      </c>
      <c r="AE196" s="1333"/>
      <c r="AF196" s="1333"/>
      <c r="AG196" s="1324" t="s">
        <v>5197</v>
      </c>
      <c r="AH196" s="1335"/>
    </row>
    <row r="197" spans="22:34" ht="13.15" x14ac:dyDescent="0.4">
      <c r="V197" s="1109" t="s">
        <v>1322</v>
      </c>
      <c r="W197" s="1110" t="s">
        <v>1322</v>
      </c>
      <c r="X197" s="1109" t="s">
        <v>1237</v>
      </c>
      <c r="Y197" s="1110" t="s">
        <v>498</v>
      </c>
      <c r="Z197" s="1333"/>
      <c r="AA197" s="1333"/>
      <c r="AB197" s="1327"/>
      <c r="AC197" s="1327"/>
      <c r="AD197" s="1327"/>
      <c r="AE197" s="1333"/>
      <c r="AF197" s="1333"/>
      <c r="AG197" s="1324" t="s">
        <v>1322</v>
      </c>
      <c r="AH197" s="1335"/>
    </row>
    <row r="198" spans="22:34" ht="13.15" x14ac:dyDescent="0.4">
      <c r="V198" s="1109" t="s">
        <v>1323</v>
      </c>
      <c r="W198" s="1110" t="s">
        <v>1323</v>
      </c>
      <c r="X198" s="1109" t="s">
        <v>1237</v>
      </c>
      <c r="Y198" s="1110" t="s">
        <v>499</v>
      </c>
      <c r="Z198" s="1333"/>
      <c r="AA198" s="1333"/>
      <c r="AB198" s="1327"/>
      <c r="AC198" s="1327"/>
      <c r="AD198" s="1327"/>
      <c r="AE198" s="1333"/>
      <c r="AF198" s="1333"/>
      <c r="AG198" s="1324" t="s">
        <v>1323</v>
      </c>
      <c r="AH198" s="1335"/>
    </row>
    <row r="199" spans="22:34" ht="13.15" x14ac:dyDescent="0.4">
      <c r="V199" s="1109" t="s">
        <v>1324</v>
      </c>
      <c r="W199" s="1110" t="s">
        <v>1324</v>
      </c>
      <c r="X199" s="1109" t="s">
        <v>1237</v>
      </c>
      <c r="Y199" s="1110" t="s">
        <v>500</v>
      </c>
      <c r="Z199" s="1333"/>
      <c r="AA199" s="1333"/>
      <c r="AB199" s="1327"/>
      <c r="AC199" s="1327"/>
      <c r="AD199" s="1327"/>
      <c r="AE199" s="1333"/>
      <c r="AF199" s="1333"/>
      <c r="AG199" s="1324" t="s">
        <v>1324</v>
      </c>
      <c r="AH199" s="1335"/>
    </row>
    <row r="200" spans="22:34" ht="13.15" x14ac:dyDescent="0.4">
      <c r="V200" s="1109" t="s">
        <v>1325</v>
      </c>
      <c r="W200" s="1110" t="s">
        <v>1325</v>
      </c>
      <c r="X200" s="1109" t="s">
        <v>1237</v>
      </c>
      <c r="Y200" s="1110" t="s">
        <v>501</v>
      </c>
      <c r="Z200" s="1333"/>
      <c r="AA200" s="1333"/>
      <c r="AB200" s="1327"/>
      <c r="AC200" s="1327"/>
      <c r="AD200" s="1327"/>
      <c r="AE200" s="1333"/>
      <c r="AF200" s="1333"/>
      <c r="AG200" s="1324" t="s">
        <v>1325</v>
      </c>
      <c r="AH200" s="1335"/>
    </row>
    <row r="201" spans="22:34" ht="13.15" x14ac:dyDescent="0.4">
      <c r="V201" s="1109" t="s">
        <v>2089</v>
      </c>
      <c r="W201" s="1110" t="s">
        <v>283</v>
      </c>
      <c r="X201" s="1109" t="s">
        <v>583</v>
      </c>
      <c r="Y201" s="1110" t="s">
        <v>502</v>
      </c>
      <c r="Z201" s="1333"/>
      <c r="AA201" s="1333"/>
      <c r="AB201" s="1334">
        <v>0.1</v>
      </c>
      <c r="AC201" s="1334">
        <v>0.15</v>
      </c>
      <c r="AD201" s="1334"/>
      <c r="AE201" s="1333"/>
      <c r="AF201" s="1333"/>
      <c r="AG201" s="1324" t="s">
        <v>5198</v>
      </c>
      <c r="AH201" s="1335"/>
    </row>
    <row r="202" spans="22:34" ht="13.15" x14ac:dyDescent="0.4">
      <c r="V202" s="1109" t="s">
        <v>1326</v>
      </c>
      <c r="W202" s="1110" t="s">
        <v>1326</v>
      </c>
      <c r="X202" s="1109" t="s">
        <v>1237</v>
      </c>
      <c r="Y202" s="1110" t="s">
        <v>503</v>
      </c>
      <c r="Z202" s="1333"/>
      <c r="AA202" s="1333"/>
      <c r="AB202" s="1327"/>
      <c r="AC202" s="1327"/>
      <c r="AD202" s="1327"/>
      <c r="AE202" s="1333"/>
      <c r="AF202" s="1333"/>
      <c r="AG202" s="1324" t="s">
        <v>1326</v>
      </c>
      <c r="AH202" s="1335"/>
    </row>
    <row r="203" spans="22:34" ht="13.15" x14ac:dyDescent="0.4">
      <c r="V203" s="1109" t="s">
        <v>1327</v>
      </c>
      <c r="W203" s="1110" t="s">
        <v>1327</v>
      </c>
      <c r="X203" s="1109" t="s">
        <v>1237</v>
      </c>
      <c r="Y203" s="1110" t="s">
        <v>504</v>
      </c>
      <c r="Z203" s="1333"/>
      <c r="AA203" s="1333"/>
      <c r="AB203" s="1327"/>
      <c r="AC203" s="1327"/>
      <c r="AD203" s="1327"/>
      <c r="AE203" s="1333"/>
      <c r="AF203" s="1333"/>
      <c r="AG203" s="1324" t="s">
        <v>1327</v>
      </c>
      <c r="AH203" s="1335"/>
    </row>
    <row r="204" spans="22:34" ht="13.15" x14ac:dyDescent="0.4">
      <c r="V204" s="1109" t="s">
        <v>1328</v>
      </c>
      <c r="W204" s="1110" t="s">
        <v>1328</v>
      </c>
      <c r="X204" s="1109" t="s">
        <v>1237</v>
      </c>
      <c r="Y204" s="1110" t="s">
        <v>505</v>
      </c>
      <c r="Z204" s="1333"/>
      <c r="AA204" s="1333"/>
      <c r="AB204" s="1327"/>
      <c r="AC204" s="1327"/>
      <c r="AD204" s="1327"/>
      <c r="AE204" s="1333"/>
      <c r="AF204" s="1333"/>
      <c r="AG204" s="1324" t="s">
        <v>1328</v>
      </c>
      <c r="AH204" s="1335"/>
    </row>
    <row r="205" spans="22:34" ht="52.9" x14ac:dyDescent="0.4">
      <c r="V205" s="1109" t="s">
        <v>2090</v>
      </c>
      <c r="W205" s="1110" t="s">
        <v>284</v>
      </c>
      <c r="X205" s="1109" t="s">
        <v>583</v>
      </c>
      <c r="Y205" s="1110" t="s">
        <v>506</v>
      </c>
      <c r="Z205" s="1333"/>
      <c r="AA205" s="1333"/>
      <c r="AB205" s="1328">
        <v>0</v>
      </c>
      <c r="AC205" s="1334">
        <v>0.15</v>
      </c>
      <c r="AD205" s="1334"/>
      <c r="AE205" s="1333"/>
      <c r="AF205" s="1333"/>
      <c r="AG205" s="1324" t="s">
        <v>5199</v>
      </c>
      <c r="AH205" s="1335" t="s">
        <v>5200</v>
      </c>
    </row>
    <row r="206" spans="22:34" ht="13.15" x14ac:dyDescent="0.4">
      <c r="V206" s="1109" t="s">
        <v>2091</v>
      </c>
      <c r="W206" s="1110" t="s">
        <v>285</v>
      </c>
      <c r="X206" s="1109" t="s">
        <v>583</v>
      </c>
      <c r="Y206" s="1110" t="s">
        <v>507</v>
      </c>
      <c r="Z206" s="1333"/>
      <c r="AA206" s="1333"/>
      <c r="AB206" s="1334">
        <v>0.05</v>
      </c>
      <c r="AC206" s="1334">
        <v>0.15</v>
      </c>
      <c r="AD206" s="1334"/>
      <c r="AE206" s="1333"/>
      <c r="AF206" s="1333"/>
      <c r="AG206" s="1324" t="s">
        <v>5201</v>
      </c>
      <c r="AH206" s="1335"/>
    </row>
    <row r="207" spans="22:34" ht="13.15" x14ac:dyDescent="0.4">
      <c r="V207" s="1109" t="s">
        <v>843</v>
      </c>
      <c r="W207" s="1110" t="s">
        <v>286</v>
      </c>
      <c r="X207" s="1109" t="s">
        <v>583</v>
      </c>
      <c r="Y207" s="1110" t="s">
        <v>508</v>
      </c>
      <c r="Z207" s="1333"/>
      <c r="AA207" s="1333"/>
      <c r="AB207" s="1328">
        <v>0</v>
      </c>
      <c r="AC207" s="1334">
        <v>0.05</v>
      </c>
      <c r="AD207" s="1334"/>
      <c r="AE207" s="1333"/>
      <c r="AF207" s="1333"/>
      <c r="AG207" s="1324" t="s">
        <v>5202</v>
      </c>
      <c r="AH207" s="1335"/>
    </row>
    <row r="208" spans="22:34" ht="13.15" x14ac:dyDescent="0.4">
      <c r="V208" s="1109" t="s">
        <v>2092</v>
      </c>
      <c r="W208" s="1110" t="s">
        <v>287</v>
      </c>
      <c r="X208" s="1109" t="s">
        <v>583</v>
      </c>
      <c r="Y208" s="1110" t="s">
        <v>509</v>
      </c>
      <c r="Z208" s="1333"/>
      <c r="AA208" s="1333"/>
      <c r="AB208" s="1327" t="s">
        <v>5024</v>
      </c>
      <c r="AC208" s="1334">
        <v>0.15</v>
      </c>
      <c r="AD208" s="1334"/>
      <c r="AE208" s="1333"/>
      <c r="AF208" s="1333"/>
      <c r="AG208" s="1324" t="s">
        <v>5203</v>
      </c>
      <c r="AH208" s="1335"/>
    </row>
    <row r="209" spans="22:34" ht="13.15" x14ac:dyDescent="0.4">
      <c r="V209" s="1109" t="s">
        <v>2093</v>
      </c>
      <c r="W209" s="1110" t="s">
        <v>288</v>
      </c>
      <c r="X209" s="1109" t="s">
        <v>583</v>
      </c>
      <c r="Y209" s="1110" t="s">
        <v>510</v>
      </c>
      <c r="Z209" s="1333"/>
      <c r="AA209" s="1333"/>
      <c r="AB209" s="1327"/>
      <c r="AC209" s="1327"/>
      <c r="AD209" s="1327"/>
      <c r="AE209" s="1333"/>
      <c r="AF209" s="1333"/>
      <c r="AG209" s="1324" t="s">
        <v>5204</v>
      </c>
      <c r="AH209" s="1335"/>
    </row>
    <row r="210" spans="22:34" ht="13.15" x14ac:dyDescent="0.4">
      <c r="V210" s="1109" t="s">
        <v>1329</v>
      </c>
      <c r="W210" s="1110" t="s">
        <v>1329</v>
      </c>
      <c r="X210" s="1109" t="s">
        <v>1237</v>
      </c>
      <c r="Y210" s="1110" t="s">
        <v>511</v>
      </c>
      <c r="Z210" s="1333"/>
      <c r="AA210" s="1333"/>
      <c r="AB210" s="1327"/>
      <c r="AC210" s="1327"/>
      <c r="AD210" s="1327"/>
      <c r="AE210" s="1333"/>
      <c r="AF210" s="1333"/>
      <c r="AG210" s="1324" t="s">
        <v>1329</v>
      </c>
      <c r="AH210" s="1335"/>
    </row>
    <row r="211" spans="22:34" ht="13.15" x14ac:dyDescent="0.4">
      <c r="V211" s="1109" t="s">
        <v>1330</v>
      </c>
      <c r="W211" s="1110" t="s">
        <v>1330</v>
      </c>
      <c r="X211" s="1109" t="s">
        <v>1237</v>
      </c>
      <c r="Y211" s="1110" t="s">
        <v>512</v>
      </c>
      <c r="Z211" s="1333"/>
      <c r="AA211" s="1333"/>
      <c r="AB211" s="1327"/>
      <c r="AC211" s="1327"/>
      <c r="AD211" s="1327"/>
      <c r="AE211" s="1333"/>
      <c r="AF211" s="1333"/>
      <c r="AG211" s="1324" t="s">
        <v>1330</v>
      </c>
      <c r="AH211" s="1335"/>
    </row>
    <row r="212" spans="22:34" ht="13.15" x14ac:dyDescent="0.4">
      <c r="V212" s="1109" t="s">
        <v>3494</v>
      </c>
      <c r="W212" s="1110" t="s">
        <v>3494</v>
      </c>
      <c r="X212" s="1109" t="s">
        <v>1237</v>
      </c>
      <c r="Y212" s="1110" t="s">
        <v>513</v>
      </c>
      <c r="Z212" s="1333"/>
      <c r="AA212" s="1333"/>
      <c r="AB212" s="1327"/>
      <c r="AC212" s="1327"/>
      <c r="AD212" s="1327"/>
      <c r="AE212" s="1333"/>
      <c r="AF212" s="1333"/>
      <c r="AG212" s="1324" t="s">
        <v>3494</v>
      </c>
      <c r="AH212" s="1335"/>
    </row>
    <row r="213" spans="22:34" ht="13.15" x14ac:dyDescent="0.4">
      <c r="V213" s="1109" t="s">
        <v>1331</v>
      </c>
      <c r="W213" s="1110" t="s">
        <v>1331</v>
      </c>
      <c r="X213" s="1109" t="s">
        <v>1237</v>
      </c>
      <c r="Y213" s="1110" t="s">
        <v>514</v>
      </c>
      <c r="Z213" s="1333"/>
      <c r="AA213" s="1333"/>
      <c r="AB213" s="1327"/>
      <c r="AC213" s="1327"/>
      <c r="AD213" s="1327"/>
      <c r="AE213" s="1333"/>
      <c r="AF213" s="1333"/>
      <c r="AG213" s="1324" t="s">
        <v>1331</v>
      </c>
      <c r="AH213" s="1335"/>
    </row>
    <row r="214" spans="22:34" ht="13.15" x14ac:dyDescent="0.4">
      <c r="V214" s="1109" t="s">
        <v>1332</v>
      </c>
      <c r="W214" s="1110" t="s">
        <v>1332</v>
      </c>
      <c r="X214" s="1109" t="s">
        <v>1237</v>
      </c>
      <c r="Y214" s="1110" t="s">
        <v>515</v>
      </c>
      <c r="Z214" s="1333"/>
      <c r="AA214" s="1333"/>
      <c r="AB214" s="1327"/>
      <c r="AC214" s="1327"/>
      <c r="AD214" s="1327"/>
      <c r="AE214" s="1333"/>
      <c r="AF214" s="1333"/>
      <c r="AG214" s="1324" t="s">
        <v>1332</v>
      </c>
      <c r="AH214" s="1335"/>
    </row>
    <row r="215" spans="22:34" ht="157.9" x14ac:dyDescent="0.4">
      <c r="V215" s="1109" t="s">
        <v>2094</v>
      </c>
      <c r="W215" s="1110" t="s">
        <v>289</v>
      </c>
      <c r="X215" s="1109" t="s">
        <v>583</v>
      </c>
      <c r="Y215" s="1110" t="s">
        <v>516</v>
      </c>
      <c r="Z215" s="1333"/>
      <c r="AA215" s="1333"/>
      <c r="AB215" s="1327" t="s">
        <v>5205</v>
      </c>
      <c r="AC215" s="1327" t="s">
        <v>5175</v>
      </c>
      <c r="AD215" s="1327"/>
      <c r="AE215" s="1333"/>
      <c r="AF215" s="1333"/>
      <c r="AG215" s="1324" t="s">
        <v>5206</v>
      </c>
      <c r="AH215" s="1335" t="s">
        <v>5207</v>
      </c>
    </row>
    <row r="216" spans="22:34" ht="13.15" x14ac:dyDescent="0.4">
      <c r="V216" s="1109" t="s">
        <v>2095</v>
      </c>
      <c r="W216" s="1110" t="s">
        <v>290</v>
      </c>
      <c r="X216" s="1109" t="s">
        <v>583</v>
      </c>
      <c r="Y216" s="1110" t="s">
        <v>517</v>
      </c>
      <c r="Z216" s="1333"/>
      <c r="AA216" s="1333"/>
      <c r="AB216" s="1328">
        <v>0</v>
      </c>
      <c r="AC216" s="1327">
        <v>0</v>
      </c>
      <c r="AD216" s="1327"/>
      <c r="AE216" s="1333"/>
      <c r="AF216" s="1333"/>
      <c r="AG216" s="1324" t="s">
        <v>5208</v>
      </c>
      <c r="AH216" s="1335"/>
    </row>
    <row r="217" spans="22:34" ht="13.15" x14ac:dyDescent="0.4">
      <c r="V217" s="1109" t="s">
        <v>1333</v>
      </c>
      <c r="W217" s="1110" t="s">
        <v>1333</v>
      </c>
      <c r="X217" s="1109" t="s">
        <v>1237</v>
      </c>
      <c r="Y217" s="1110" t="s">
        <v>518</v>
      </c>
      <c r="Z217" s="1333"/>
      <c r="AA217" s="1333"/>
      <c r="AB217" s="1327"/>
      <c r="AC217" s="1327"/>
      <c r="AD217" s="1327"/>
      <c r="AE217" s="1333"/>
      <c r="AF217" s="1333"/>
      <c r="AG217" s="1324" t="s">
        <v>1333</v>
      </c>
      <c r="AH217" s="1335"/>
    </row>
    <row r="218" spans="22:34" ht="13.15" x14ac:dyDescent="0.4">
      <c r="V218" s="1109" t="s">
        <v>2096</v>
      </c>
      <c r="W218" s="1110" t="s">
        <v>291</v>
      </c>
      <c r="X218" s="1109" t="s">
        <v>583</v>
      </c>
      <c r="Y218" s="1110" t="s">
        <v>519</v>
      </c>
      <c r="Z218" s="1333"/>
      <c r="AA218" s="1333"/>
      <c r="AB218" s="1328">
        <v>0</v>
      </c>
      <c r="AC218" s="1327">
        <v>0</v>
      </c>
      <c r="AD218" s="1327"/>
      <c r="AE218" s="1333"/>
      <c r="AF218" s="1333"/>
      <c r="AG218" s="1324" t="s">
        <v>5209</v>
      </c>
      <c r="AH218" s="1335"/>
    </row>
    <row r="219" spans="22:34" ht="13.15" x14ac:dyDescent="0.4">
      <c r="V219" s="1109" t="s">
        <v>1334</v>
      </c>
      <c r="W219" s="1110" t="s">
        <v>1334</v>
      </c>
      <c r="X219" s="1109" t="s">
        <v>1237</v>
      </c>
      <c r="Y219" s="1110" t="s">
        <v>520</v>
      </c>
      <c r="Z219" s="1333"/>
      <c r="AA219" s="1333"/>
      <c r="AB219" s="1327"/>
      <c r="AC219" s="1327"/>
      <c r="AD219" s="1327"/>
      <c r="AE219" s="1333"/>
      <c r="AF219" s="1333"/>
      <c r="AG219" s="1324" t="s">
        <v>1334</v>
      </c>
      <c r="AH219" s="1335"/>
    </row>
    <row r="220" spans="22:34" ht="13.15" x14ac:dyDescent="0.4">
      <c r="V220" s="1109" t="s">
        <v>1335</v>
      </c>
      <c r="W220" s="1110" t="s">
        <v>1335</v>
      </c>
      <c r="X220" s="1109" t="s">
        <v>1237</v>
      </c>
      <c r="Y220" s="1110" t="s">
        <v>521</v>
      </c>
      <c r="Z220" s="1333"/>
      <c r="AA220" s="1333"/>
      <c r="AB220" s="1327"/>
      <c r="AC220" s="1327"/>
      <c r="AD220" s="1327"/>
      <c r="AE220" s="1333"/>
      <c r="AF220" s="1333"/>
      <c r="AG220" s="1324" t="s">
        <v>1335</v>
      </c>
      <c r="AH220" s="1335"/>
    </row>
    <row r="221" spans="22:34" ht="31.9" x14ac:dyDescent="0.4">
      <c r="V221" s="1109" t="s">
        <v>2097</v>
      </c>
      <c r="W221" s="1110" t="s">
        <v>292</v>
      </c>
      <c r="X221" s="1109" t="s">
        <v>583</v>
      </c>
      <c r="Y221" s="1110" t="s">
        <v>522</v>
      </c>
      <c r="Z221" s="1333"/>
      <c r="AA221" s="1333"/>
      <c r="AB221" s="1334">
        <v>0.1</v>
      </c>
      <c r="AC221" s="1334">
        <v>0.2</v>
      </c>
      <c r="AD221" s="1334"/>
      <c r="AE221" s="1333"/>
      <c r="AF221" s="1333"/>
      <c r="AG221" s="1324" t="s">
        <v>5210</v>
      </c>
      <c r="AH221" s="1335" t="s">
        <v>5211</v>
      </c>
    </row>
    <row r="222" spans="22:34" ht="13.15" x14ac:dyDescent="0.4">
      <c r="V222" s="1109" t="s">
        <v>2098</v>
      </c>
      <c r="W222" s="1110" t="s">
        <v>293</v>
      </c>
      <c r="X222" s="1109" t="s">
        <v>583</v>
      </c>
      <c r="Y222" s="1110" t="s">
        <v>523</v>
      </c>
      <c r="Z222" s="1333"/>
      <c r="AA222" s="1333"/>
      <c r="AB222" s="1334">
        <v>0.12</v>
      </c>
      <c r="AC222" s="1334">
        <v>0.2</v>
      </c>
      <c r="AD222" s="1334"/>
      <c r="AE222" s="1333"/>
      <c r="AF222" s="1333"/>
      <c r="AG222" s="1324" t="s">
        <v>5212</v>
      </c>
      <c r="AH222" s="1335"/>
    </row>
    <row r="223" spans="22:34" ht="13.15" x14ac:dyDescent="0.4">
      <c r="V223" s="1109" t="s">
        <v>2099</v>
      </c>
      <c r="W223" s="1110" t="s">
        <v>294</v>
      </c>
      <c r="X223" s="1109" t="s">
        <v>583</v>
      </c>
      <c r="Y223" s="1110" t="s">
        <v>524</v>
      </c>
      <c r="Z223" s="1333"/>
      <c r="AA223" s="1333"/>
      <c r="AB223" s="1334">
        <v>0.15</v>
      </c>
      <c r="AC223" s="1334">
        <v>0.2</v>
      </c>
      <c r="AD223" s="1334"/>
      <c r="AE223" s="1333"/>
      <c r="AF223" s="1333"/>
      <c r="AG223" s="1324" t="s">
        <v>5213</v>
      </c>
      <c r="AH223" s="1335"/>
    </row>
    <row r="224" spans="22:34" ht="13.15" x14ac:dyDescent="0.4">
      <c r="V224" s="1109" t="s">
        <v>2100</v>
      </c>
      <c r="W224" s="1110" t="s">
        <v>295</v>
      </c>
      <c r="X224" s="1109" t="s">
        <v>583</v>
      </c>
      <c r="Y224" s="1110" t="s">
        <v>525</v>
      </c>
      <c r="Z224" s="1333"/>
      <c r="AA224" s="1333"/>
      <c r="AB224" s="1327" t="s">
        <v>5024</v>
      </c>
      <c r="AC224" s="1327" t="s">
        <v>5044</v>
      </c>
      <c r="AD224" s="1327" t="s">
        <v>5044</v>
      </c>
      <c r="AE224" s="1333"/>
      <c r="AF224" s="1333"/>
      <c r="AG224" s="1324" t="s">
        <v>5214</v>
      </c>
      <c r="AH224" s="1335"/>
    </row>
    <row r="225" spans="22:34" ht="13.15" x14ac:dyDescent="0.4">
      <c r="V225" s="1109" t="s">
        <v>2101</v>
      </c>
      <c r="W225" s="1110" t="s">
        <v>296</v>
      </c>
      <c r="X225" s="1109" t="s">
        <v>583</v>
      </c>
      <c r="Y225" s="1110" t="s">
        <v>526</v>
      </c>
      <c r="Z225" s="1333"/>
      <c r="AA225" s="1333"/>
      <c r="AB225" s="1334" t="s">
        <v>5107</v>
      </c>
      <c r="AC225" s="1334" t="s">
        <v>5107</v>
      </c>
      <c r="AD225" s="1334"/>
      <c r="AE225" s="1333"/>
      <c r="AF225" s="1333"/>
      <c r="AG225" s="1324" t="s">
        <v>5215</v>
      </c>
      <c r="AH225" s="1335"/>
    </row>
    <row r="226" spans="22:34" ht="13.15" x14ac:dyDescent="0.4">
      <c r="V226" s="1109" t="s">
        <v>1336</v>
      </c>
      <c r="W226" s="1110" t="s">
        <v>1336</v>
      </c>
      <c r="X226" s="1109" t="s">
        <v>1237</v>
      </c>
      <c r="Y226" s="1110" t="s">
        <v>527</v>
      </c>
      <c r="Z226" s="1333"/>
      <c r="AA226" s="1333"/>
      <c r="AB226" s="1327"/>
      <c r="AC226" s="1327"/>
      <c r="AD226" s="1327"/>
      <c r="AE226" s="1333"/>
      <c r="AF226" s="1333"/>
      <c r="AG226" s="1324" t="s">
        <v>1336</v>
      </c>
      <c r="AH226" s="1335"/>
    </row>
    <row r="227" spans="22:34" ht="13.15" x14ac:dyDescent="0.4">
      <c r="V227" s="1109" t="s">
        <v>2102</v>
      </c>
      <c r="W227" s="1110" t="s">
        <v>297</v>
      </c>
      <c r="X227" s="1109" t="s">
        <v>583</v>
      </c>
      <c r="Y227" s="1110" t="s">
        <v>528</v>
      </c>
      <c r="Z227" s="1333"/>
      <c r="AA227" s="1333"/>
      <c r="AB227" s="1334">
        <v>0.15</v>
      </c>
      <c r="AC227" s="1334">
        <v>0.15</v>
      </c>
      <c r="AD227" s="1334"/>
      <c r="AE227" s="1333"/>
      <c r="AF227" s="1333"/>
      <c r="AG227" s="1324" t="s">
        <v>5216</v>
      </c>
      <c r="AH227" s="1335"/>
    </row>
    <row r="228" spans="22:34" ht="13.15" x14ac:dyDescent="0.4">
      <c r="V228" s="1109" t="s">
        <v>2103</v>
      </c>
      <c r="W228" s="1110" t="s">
        <v>298</v>
      </c>
      <c r="X228" s="1109" t="s">
        <v>583</v>
      </c>
      <c r="Y228" s="1110" t="s">
        <v>529</v>
      </c>
      <c r="Z228" s="1333"/>
      <c r="AA228" s="1333"/>
      <c r="AB228" s="1327" t="s">
        <v>5044</v>
      </c>
      <c r="AC228" s="1334" t="s">
        <v>5107</v>
      </c>
      <c r="AD228" s="1334"/>
      <c r="AE228" s="1333"/>
      <c r="AF228" s="1333"/>
      <c r="AG228" s="1324" t="s">
        <v>5217</v>
      </c>
      <c r="AH228" s="1335"/>
    </row>
    <row r="229" spans="22:34" ht="13.15" x14ac:dyDescent="0.4">
      <c r="V229" s="1109" t="s">
        <v>1337</v>
      </c>
      <c r="W229" s="1110" t="s">
        <v>1337</v>
      </c>
      <c r="X229" s="1109" t="s">
        <v>1237</v>
      </c>
      <c r="Y229" s="1110" t="s">
        <v>530</v>
      </c>
      <c r="Z229" s="1333"/>
      <c r="AA229" s="1333"/>
      <c r="AB229" s="1327"/>
      <c r="AC229" s="1327"/>
      <c r="AD229" s="1327"/>
      <c r="AE229" s="1333"/>
      <c r="AF229" s="1333"/>
      <c r="AG229" s="1324" t="s">
        <v>1337</v>
      </c>
      <c r="AH229" s="1335"/>
    </row>
    <row r="230" spans="22:34" ht="13.15" x14ac:dyDescent="0.4">
      <c r="V230" s="1109" t="s">
        <v>1633</v>
      </c>
      <c r="W230" s="1110" t="s">
        <v>299</v>
      </c>
      <c r="X230" s="1109" t="s">
        <v>583</v>
      </c>
      <c r="Y230" s="1110" t="s">
        <v>531</v>
      </c>
      <c r="Z230" s="1333"/>
      <c r="AA230" s="1333"/>
      <c r="AB230" s="1328">
        <v>0</v>
      </c>
      <c r="AC230" s="1334">
        <v>0.15</v>
      </c>
      <c r="AD230" s="1334"/>
      <c r="AE230" s="1333"/>
      <c r="AF230" s="1333"/>
      <c r="AG230" s="1324" t="s">
        <v>5218</v>
      </c>
      <c r="AH230" s="1335"/>
    </row>
    <row r="231" spans="22:34" ht="13.15" x14ac:dyDescent="0.4">
      <c r="V231" s="1109" t="s">
        <v>2104</v>
      </c>
      <c r="W231" s="1110" t="s">
        <v>300</v>
      </c>
      <c r="X231" s="1109" t="s">
        <v>583</v>
      </c>
      <c r="Y231" s="1110" t="s">
        <v>532</v>
      </c>
      <c r="Z231" s="1333"/>
      <c r="AA231" s="1333"/>
      <c r="AB231" s="1334">
        <v>0.05</v>
      </c>
      <c r="AC231" s="1334">
        <v>0.1</v>
      </c>
      <c r="AD231" s="1334"/>
      <c r="AE231" s="1333"/>
      <c r="AF231" s="1333"/>
      <c r="AG231" s="1324" t="s">
        <v>5219</v>
      </c>
      <c r="AH231" s="1335"/>
    </row>
    <row r="232" spans="22:34" ht="13.15" x14ac:dyDescent="0.4">
      <c r="V232" s="1109" t="s">
        <v>1338</v>
      </c>
      <c r="W232" s="1110" t="s">
        <v>1338</v>
      </c>
      <c r="X232" s="1109" t="s">
        <v>1237</v>
      </c>
      <c r="Y232" s="1110" t="s">
        <v>533</v>
      </c>
      <c r="Z232" s="1333"/>
      <c r="AA232" s="1333"/>
      <c r="AB232" s="1327"/>
      <c r="AC232" s="1327"/>
      <c r="AD232" s="1327"/>
      <c r="AE232" s="1333"/>
      <c r="AF232" s="1333"/>
      <c r="AG232" s="1324" t="s">
        <v>1338</v>
      </c>
      <c r="AH232" s="1335"/>
    </row>
    <row r="233" spans="22:34" ht="13.15" x14ac:dyDescent="0.4">
      <c r="V233" s="1109" t="s">
        <v>3746</v>
      </c>
      <c r="W233" s="1110" t="s">
        <v>3746</v>
      </c>
      <c r="X233" s="1109" t="s">
        <v>1237</v>
      </c>
      <c r="Y233" s="1110" t="s">
        <v>534</v>
      </c>
      <c r="Z233" s="1333"/>
      <c r="AA233" s="1333"/>
      <c r="AB233" s="1327"/>
      <c r="AC233" s="1327"/>
      <c r="AD233" s="1327"/>
      <c r="AE233" s="1333"/>
      <c r="AF233" s="1333"/>
      <c r="AG233" s="1324" t="s">
        <v>3746</v>
      </c>
      <c r="AH233" s="1335"/>
    </row>
    <row r="234" spans="22:34" ht="52.9" x14ac:dyDescent="0.4">
      <c r="V234" s="1109" t="s">
        <v>2105</v>
      </c>
      <c r="W234" s="1110" t="s">
        <v>301</v>
      </c>
      <c r="X234" s="1109" t="s">
        <v>583</v>
      </c>
      <c r="Y234" s="1110" t="s">
        <v>535</v>
      </c>
      <c r="Z234" s="1333"/>
      <c r="AA234" s="1333"/>
      <c r="AB234" s="1327" t="s">
        <v>5146</v>
      </c>
      <c r="AC234" s="1334">
        <v>0.1</v>
      </c>
      <c r="AD234" s="1334"/>
      <c r="AE234" s="1333"/>
      <c r="AF234" s="1333"/>
      <c r="AG234" s="1324" t="s">
        <v>5220</v>
      </c>
      <c r="AH234" s="1335" t="s">
        <v>5221</v>
      </c>
    </row>
    <row r="235" spans="22:34" ht="115.9" x14ac:dyDescent="0.4">
      <c r="V235" s="1109" t="s">
        <v>2106</v>
      </c>
      <c r="W235" s="1110" t="s">
        <v>302</v>
      </c>
      <c r="X235" s="1109" t="s">
        <v>583</v>
      </c>
      <c r="Y235" s="1110" t="s">
        <v>536</v>
      </c>
      <c r="Z235" s="1333"/>
      <c r="AA235" s="1333"/>
      <c r="AB235" s="1327" t="s">
        <v>5061</v>
      </c>
      <c r="AC235" s="1327" t="s">
        <v>5061</v>
      </c>
      <c r="AD235" s="1327" t="s">
        <v>5025</v>
      </c>
      <c r="AE235" s="1333"/>
      <c r="AF235" s="1333"/>
      <c r="AG235" s="1324" t="s">
        <v>5222</v>
      </c>
      <c r="AH235" s="1335" t="s">
        <v>5223</v>
      </c>
    </row>
    <row r="236" spans="22:34" ht="13.15" x14ac:dyDescent="0.4">
      <c r="V236" s="1109" t="s">
        <v>1339</v>
      </c>
      <c r="W236" s="1110" t="s">
        <v>1339</v>
      </c>
      <c r="X236" s="1109" t="s">
        <v>1237</v>
      </c>
      <c r="Y236" s="1110" t="s">
        <v>537</v>
      </c>
      <c r="Z236" s="1333"/>
      <c r="AA236" s="1333"/>
      <c r="AB236" s="1327"/>
      <c r="AC236" s="1327"/>
      <c r="AD236" s="1327"/>
      <c r="AE236" s="1333"/>
      <c r="AF236" s="1333"/>
      <c r="AG236" s="1324" t="s">
        <v>1339</v>
      </c>
      <c r="AH236" s="1335"/>
    </row>
    <row r="237" spans="22:34" ht="13.15" x14ac:dyDescent="0.4">
      <c r="V237" s="1109" t="s">
        <v>2107</v>
      </c>
      <c r="W237" s="1110" t="s">
        <v>303</v>
      </c>
      <c r="X237" s="1109" t="s">
        <v>583</v>
      </c>
      <c r="Y237" s="1110" t="s">
        <v>538</v>
      </c>
      <c r="Z237" s="1333"/>
      <c r="AA237" s="1333"/>
      <c r="AB237" s="1334" t="s">
        <v>5107</v>
      </c>
      <c r="AC237" s="1334">
        <v>0.15</v>
      </c>
      <c r="AD237" s="1334"/>
      <c r="AE237" s="1333"/>
      <c r="AF237" s="1333"/>
      <c r="AG237" s="1324" t="s">
        <v>5224</v>
      </c>
      <c r="AH237" s="1335"/>
    </row>
    <row r="238" spans="22:34" ht="13.15" x14ac:dyDescent="0.4">
      <c r="V238" s="1109" t="s">
        <v>1340</v>
      </c>
      <c r="W238" s="1110" t="s">
        <v>1340</v>
      </c>
      <c r="X238" s="1109" t="s">
        <v>1237</v>
      </c>
      <c r="Y238" s="1110" t="s">
        <v>539</v>
      </c>
      <c r="Z238" s="1333"/>
      <c r="AA238" s="1333"/>
      <c r="AB238" s="1327"/>
      <c r="AC238" s="1327"/>
      <c r="AD238" s="1327"/>
      <c r="AE238" s="1333"/>
      <c r="AF238" s="1333"/>
      <c r="AG238" s="1324" t="s">
        <v>1340</v>
      </c>
      <c r="AH238" s="1335"/>
    </row>
    <row r="239" spans="22:34" ht="13.15" x14ac:dyDescent="0.4">
      <c r="V239" s="1109" t="s">
        <v>1341</v>
      </c>
      <c r="W239" s="1110" t="s">
        <v>1341</v>
      </c>
      <c r="X239" s="1109" t="s">
        <v>1237</v>
      </c>
      <c r="Y239" s="1110" t="s">
        <v>540</v>
      </c>
      <c r="Z239" s="1333"/>
      <c r="AA239" s="1333"/>
      <c r="AB239" s="1327"/>
      <c r="AC239" s="1327"/>
      <c r="AD239" s="1327"/>
      <c r="AE239" s="1333"/>
      <c r="AF239" s="1333"/>
      <c r="AG239" s="1324" t="s">
        <v>1341</v>
      </c>
      <c r="AH239" s="1335"/>
    </row>
    <row r="240" spans="22:34" ht="13.15" x14ac:dyDescent="0.4">
      <c r="V240" s="1109" t="s">
        <v>1342</v>
      </c>
      <c r="W240" s="1110" t="s">
        <v>1342</v>
      </c>
      <c r="X240" s="1109" t="s">
        <v>1237</v>
      </c>
      <c r="Y240" s="1110" t="s">
        <v>541</v>
      </c>
      <c r="Z240" s="1333"/>
      <c r="AA240" s="1333"/>
      <c r="AB240" s="1327"/>
      <c r="AC240" s="1327"/>
      <c r="AD240" s="1327"/>
      <c r="AE240" s="1333"/>
      <c r="AF240" s="1333"/>
      <c r="AG240" s="1324" t="s">
        <v>1342</v>
      </c>
      <c r="AH240" s="1335"/>
    </row>
    <row r="241" spans="22:34" ht="13.15" x14ac:dyDescent="0.4">
      <c r="V241" s="1109" t="s">
        <v>1343</v>
      </c>
      <c r="W241" s="1110" t="s">
        <v>1343</v>
      </c>
      <c r="X241" s="1109" t="s">
        <v>1237</v>
      </c>
      <c r="Y241" s="1110" t="s">
        <v>542</v>
      </c>
      <c r="Z241" s="1333"/>
      <c r="AA241" s="1333"/>
      <c r="AB241" s="1327"/>
      <c r="AC241" s="1327"/>
      <c r="AD241" s="1327"/>
      <c r="AE241" s="1333"/>
      <c r="AF241" s="1333"/>
      <c r="AG241" s="1324" t="s">
        <v>1343</v>
      </c>
      <c r="AH241" s="1335"/>
    </row>
    <row r="242" spans="22:34" ht="13.15" x14ac:dyDescent="0.4">
      <c r="V242" s="1109" t="s">
        <v>2108</v>
      </c>
      <c r="W242" s="1110" t="s">
        <v>304</v>
      </c>
      <c r="X242" s="1109" t="s">
        <v>583</v>
      </c>
      <c r="Y242" s="1110" t="s">
        <v>543</v>
      </c>
      <c r="Z242" s="1333"/>
      <c r="AA242" s="1333"/>
      <c r="AB242" s="1327" t="s">
        <v>5044</v>
      </c>
      <c r="AC242" s="1334">
        <v>0.15</v>
      </c>
      <c r="AD242" s="1334"/>
      <c r="AE242" s="1333"/>
      <c r="AF242" s="1333"/>
      <c r="AG242" s="1324" t="s">
        <v>5225</v>
      </c>
      <c r="AH242" s="1335"/>
    </row>
    <row r="243" spans="22:34" ht="13.15" x14ac:dyDescent="0.4">
      <c r="V243" s="1109" t="s">
        <v>2109</v>
      </c>
      <c r="W243" s="1110" t="s">
        <v>305</v>
      </c>
      <c r="X243" s="1109" t="s">
        <v>583</v>
      </c>
      <c r="Y243" s="1110" t="s">
        <v>544</v>
      </c>
      <c r="Z243" s="1333"/>
      <c r="AA243" s="1333"/>
      <c r="AB243" s="1334" t="s">
        <v>5107</v>
      </c>
      <c r="AC243" s="1334" t="s">
        <v>5043</v>
      </c>
      <c r="AD243" s="1334"/>
      <c r="AE243" s="1333"/>
      <c r="AF243" s="1333"/>
      <c r="AG243" s="1324" t="s">
        <v>5226</v>
      </c>
      <c r="AH243" s="1335"/>
    </row>
    <row r="244" spans="22:34" ht="52.9" x14ac:dyDescent="0.4">
      <c r="V244" s="1109" t="s">
        <v>2110</v>
      </c>
      <c r="W244" s="1110" t="s">
        <v>306</v>
      </c>
      <c r="X244" s="1109" t="s">
        <v>583</v>
      </c>
      <c r="Y244" s="1110" t="s">
        <v>545</v>
      </c>
      <c r="Z244" s="1333"/>
      <c r="AA244" s="1333"/>
      <c r="AB244" s="1327" t="s">
        <v>5162</v>
      </c>
      <c r="AC244" s="1334">
        <v>0.2</v>
      </c>
      <c r="AD244" s="1334"/>
      <c r="AE244" s="1333"/>
      <c r="AF244" s="1333"/>
      <c r="AG244" s="1324" t="s">
        <v>5227</v>
      </c>
      <c r="AH244" s="1335" t="s">
        <v>5221</v>
      </c>
    </row>
    <row r="245" spans="22:34" ht="13.15" x14ac:dyDescent="0.4">
      <c r="V245" s="1109" t="s">
        <v>1344</v>
      </c>
      <c r="W245" s="1110" t="s">
        <v>1344</v>
      </c>
      <c r="X245" s="1109" t="s">
        <v>1237</v>
      </c>
      <c r="Y245" s="1110" t="s">
        <v>546</v>
      </c>
      <c r="Z245" s="1333"/>
      <c r="AA245" s="1333"/>
      <c r="AB245" s="1327"/>
      <c r="AC245" s="1334"/>
      <c r="AD245" s="1328"/>
      <c r="AE245" s="1333"/>
      <c r="AF245" s="1333"/>
      <c r="AG245" s="1324" t="s">
        <v>1344</v>
      </c>
      <c r="AH245" s="1335"/>
    </row>
  </sheetData>
  <sheetProtection sheet="1" objects="1" scenarios="1"/>
  <mergeCells count="13">
    <mergeCell ref="AA1:AA4"/>
    <mergeCell ref="V1:V4"/>
    <mergeCell ref="W1:W4"/>
    <mergeCell ref="X1:X4"/>
    <mergeCell ref="Y1:Y4"/>
    <mergeCell ref="Z1:Z4"/>
    <mergeCell ref="AH1:AH4"/>
    <mergeCell ref="AB1:AB4"/>
    <mergeCell ref="AC1:AC4"/>
    <mergeCell ref="AD1:AD4"/>
    <mergeCell ref="AE1:AE4"/>
    <mergeCell ref="AF1:AF4"/>
    <mergeCell ref="AG1:AG4"/>
  </mergeCells>
  <phoneticPr fontId="68" type="noConversion"/>
  <dataValidations count="1">
    <dataValidation type="list" allowBlank="1" showInputMessage="1" showErrorMessage="1" prompt="Select from drop-down or enter country code" sqref="E10 E14 E18 E22 E26 E30 E34 E38 E42 E46">
      <formula1>$V$5:$V$245</formula1>
    </dataValidation>
  </dataValidations>
  <hyperlinks>
    <hyperlink ref="I4" r:id="rId1"/>
    <hyperlink ref="I5" r:id="rId2"/>
  </hyperlinks>
  <pageMargins left="0.19685039370078741" right="0.19685039370078741" top="0.19685039370078741" bottom="0.19685039370078741" header="0" footer="0"/>
  <pageSetup paperSize="9" scale="83" orientation="landscape"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4582" r:id="rId6" name="Button 6">
              <controlPr defaultSize="0" print="0" autoFill="0" autoPict="0" macro="[0]!calculate_TCR">
                <anchor moveWithCells="1" sizeWithCells="1">
                  <from>
                    <xdr:col>7</xdr:col>
                    <xdr:colOff>361950</xdr:colOff>
                    <xdr:row>5</xdr:row>
                    <xdr:rowOff>28575</xdr:rowOff>
                  </from>
                  <to>
                    <xdr:col>12</xdr:col>
                    <xdr:colOff>790575</xdr:colOff>
                    <xdr:row>7</xdr:row>
                    <xdr:rowOff>9525</xdr:rowOff>
                  </to>
                </anchor>
              </controlPr>
            </control>
          </mc:Choice>
        </mc:AlternateContent>
        <mc:AlternateContent xmlns:mc="http://schemas.openxmlformats.org/markup-compatibility/2006">
          <mc:Choice Requires="x14">
            <control shapeId="24584" r:id="rId7" name="Drop Down 8">
              <controlPr defaultSize="0" autoLine="0" autoPict="0">
                <anchor moveWithCells="1">
                  <from>
                    <xdr:col>2</xdr:col>
                    <xdr:colOff>19050</xdr:colOff>
                    <xdr:row>9</xdr:row>
                    <xdr:rowOff>0</xdr:rowOff>
                  </from>
                  <to>
                    <xdr:col>3</xdr:col>
                    <xdr:colOff>38100</xdr:colOff>
                    <xdr:row>10</xdr:row>
                    <xdr:rowOff>38100</xdr:rowOff>
                  </to>
                </anchor>
              </controlPr>
            </control>
          </mc:Choice>
        </mc:AlternateContent>
        <mc:AlternateContent xmlns:mc="http://schemas.openxmlformats.org/markup-compatibility/2006">
          <mc:Choice Requires="x14">
            <control shapeId="24585" r:id="rId8" name="Drop Down 9">
              <controlPr defaultSize="0" autoLine="0" autoPict="0">
                <anchor moveWithCells="1">
                  <from>
                    <xdr:col>2</xdr:col>
                    <xdr:colOff>19050</xdr:colOff>
                    <xdr:row>13</xdr:row>
                    <xdr:rowOff>0</xdr:rowOff>
                  </from>
                  <to>
                    <xdr:col>3</xdr:col>
                    <xdr:colOff>28575</xdr:colOff>
                    <xdr:row>14</xdr:row>
                    <xdr:rowOff>38100</xdr:rowOff>
                  </to>
                </anchor>
              </controlPr>
            </control>
          </mc:Choice>
        </mc:AlternateContent>
        <mc:AlternateContent xmlns:mc="http://schemas.openxmlformats.org/markup-compatibility/2006">
          <mc:Choice Requires="x14">
            <control shapeId="24586" r:id="rId9" name="Drop Down 10">
              <controlPr defaultSize="0" autoLine="0" autoPict="0">
                <anchor moveWithCells="1">
                  <from>
                    <xdr:col>2</xdr:col>
                    <xdr:colOff>28575</xdr:colOff>
                    <xdr:row>17</xdr:row>
                    <xdr:rowOff>0</xdr:rowOff>
                  </from>
                  <to>
                    <xdr:col>3</xdr:col>
                    <xdr:colOff>47625</xdr:colOff>
                    <xdr:row>18</xdr:row>
                    <xdr:rowOff>38100</xdr:rowOff>
                  </to>
                </anchor>
              </controlPr>
            </control>
          </mc:Choice>
        </mc:AlternateContent>
        <mc:AlternateContent xmlns:mc="http://schemas.openxmlformats.org/markup-compatibility/2006">
          <mc:Choice Requires="x14">
            <control shapeId="24587" r:id="rId10" name="Drop Down 11">
              <controlPr defaultSize="0" autoLine="0" autoPict="0">
                <anchor moveWithCells="1">
                  <from>
                    <xdr:col>2</xdr:col>
                    <xdr:colOff>19050</xdr:colOff>
                    <xdr:row>21</xdr:row>
                    <xdr:rowOff>0</xdr:rowOff>
                  </from>
                  <to>
                    <xdr:col>3</xdr:col>
                    <xdr:colOff>47625</xdr:colOff>
                    <xdr:row>22</xdr:row>
                    <xdr:rowOff>38100</xdr:rowOff>
                  </to>
                </anchor>
              </controlPr>
            </control>
          </mc:Choice>
        </mc:AlternateContent>
        <mc:AlternateContent xmlns:mc="http://schemas.openxmlformats.org/markup-compatibility/2006">
          <mc:Choice Requires="x14">
            <control shapeId="24589" r:id="rId11" name="Drop Down 13">
              <controlPr defaultSize="0" autoLine="0" autoPict="0">
                <anchor moveWithCells="1">
                  <from>
                    <xdr:col>10</xdr:col>
                    <xdr:colOff>0</xdr:colOff>
                    <xdr:row>8</xdr:row>
                    <xdr:rowOff>133350</xdr:rowOff>
                  </from>
                  <to>
                    <xdr:col>10</xdr:col>
                    <xdr:colOff>628650</xdr:colOff>
                    <xdr:row>10</xdr:row>
                    <xdr:rowOff>9525</xdr:rowOff>
                  </to>
                </anchor>
              </controlPr>
            </control>
          </mc:Choice>
        </mc:AlternateContent>
        <mc:AlternateContent xmlns:mc="http://schemas.openxmlformats.org/markup-compatibility/2006">
          <mc:Choice Requires="x14">
            <control shapeId="24590" r:id="rId12" name="Drop Down 14">
              <controlPr defaultSize="0" autoLine="0" autoPict="0">
                <anchor moveWithCells="1">
                  <from>
                    <xdr:col>10</xdr:col>
                    <xdr:colOff>0</xdr:colOff>
                    <xdr:row>12</xdr:row>
                    <xdr:rowOff>133350</xdr:rowOff>
                  </from>
                  <to>
                    <xdr:col>10</xdr:col>
                    <xdr:colOff>628650</xdr:colOff>
                    <xdr:row>14</xdr:row>
                    <xdr:rowOff>9525</xdr:rowOff>
                  </to>
                </anchor>
              </controlPr>
            </control>
          </mc:Choice>
        </mc:AlternateContent>
        <mc:AlternateContent xmlns:mc="http://schemas.openxmlformats.org/markup-compatibility/2006">
          <mc:Choice Requires="x14">
            <control shapeId="24591" r:id="rId13" name="Drop Down 15">
              <controlPr defaultSize="0" autoLine="0" autoPict="0">
                <anchor moveWithCells="1">
                  <from>
                    <xdr:col>10</xdr:col>
                    <xdr:colOff>9525</xdr:colOff>
                    <xdr:row>16</xdr:row>
                    <xdr:rowOff>123825</xdr:rowOff>
                  </from>
                  <to>
                    <xdr:col>10</xdr:col>
                    <xdr:colOff>638175</xdr:colOff>
                    <xdr:row>17</xdr:row>
                    <xdr:rowOff>161925</xdr:rowOff>
                  </to>
                </anchor>
              </controlPr>
            </control>
          </mc:Choice>
        </mc:AlternateContent>
        <mc:AlternateContent xmlns:mc="http://schemas.openxmlformats.org/markup-compatibility/2006">
          <mc:Choice Requires="x14">
            <control shapeId="24592" r:id="rId14" name="Drop Down 16">
              <controlPr defaultSize="0" autoLine="0" autoPict="0">
                <anchor moveWithCells="1">
                  <from>
                    <xdr:col>10</xdr:col>
                    <xdr:colOff>0</xdr:colOff>
                    <xdr:row>20</xdr:row>
                    <xdr:rowOff>142875</xdr:rowOff>
                  </from>
                  <to>
                    <xdr:col>10</xdr:col>
                    <xdr:colOff>628650</xdr:colOff>
                    <xdr:row>22</xdr:row>
                    <xdr:rowOff>19050</xdr:rowOff>
                  </to>
                </anchor>
              </controlPr>
            </control>
          </mc:Choice>
        </mc:AlternateContent>
        <mc:AlternateContent xmlns:mc="http://schemas.openxmlformats.org/markup-compatibility/2006">
          <mc:Choice Requires="x14">
            <control shapeId="24594" r:id="rId15" name="Drop Down 18">
              <controlPr defaultSize="0" autoLine="0" autoPict="0">
                <anchor moveWithCells="1">
                  <from>
                    <xdr:col>2</xdr:col>
                    <xdr:colOff>19050</xdr:colOff>
                    <xdr:row>25</xdr:row>
                    <xdr:rowOff>0</xdr:rowOff>
                  </from>
                  <to>
                    <xdr:col>3</xdr:col>
                    <xdr:colOff>47625</xdr:colOff>
                    <xdr:row>26</xdr:row>
                    <xdr:rowOff>38100</xdr:rowOff>
                  </to>
                </anchor>
              </controlPr>
            </control>
          </mc:Choice>
        </mc:AlternateContent>
        <mc:AlternateContent xmlns:mc="http://schemas.openxmlformats.org/markup-compatibility/2006">
          <mc:Choice Requires="x14">
            <control shapeId="24595" r:id="rId16" name="Drop Down 19">
              <controlPr defaultSize="0" autoLine="0" autoPict="0">
                <anchor moveWithCells="1">
                  <from>
                    <xdr:col>10</xdr:col>
                    <xdr:colOff>0</xdr:colOff>
                    <xdr:row>24</xdr:row>
                    <xdr:rowOff>133350</xdr:rowOff>
                  </from>
                  <to>
                    <xdr:col>10</xdr:col>
                    <xdr:colOff>628650</xdr:colOff>
                    <xdr:row>26</xdr:row>
                    <xdr:rowOff>9525</xdr:rowOff>
                  </to>
                </anchor>
              </controlPr>
            </control>
          </mc:Choice>
        </mc:AlternateContent>
        <mc:AlternateContent xmlns:mc="http://schemas.openxmlformats.org/markup-compatibility/2006">
          <mc:Choice Requires="x14">
            <control shapeId="24596" r:id="rId17" name="Drop Down 20">
              <controlPr defaultSize="0" autoLine="0" autoPict="0">
                <anchor moveWithCells="1">
                  <from>
                    <xdr:col>2</xdr:col>
                    <xdr:colOff>19050</xdr:colOff>
                    <xdr:row>29</xdr:row>
                    <xdr:rowOff>0</xdr:rowOff>
                  </from>
                  <to>
                    <xdr:col>3</xdr:col>
                    <xdr:colOff>47625</xdr:colOff>
                    <xdr:row>30</xdr:row>
                    <xdr:rowOff>38100</xdr:rowOff>
                  </to>
                </anchor>
              </controlPr>
            </control>
          </mc:Choice>
        </mc:AlternateContent>
        <mc:AlternateContent xmlns:mc="http://schemas.openxmlformats.org/markup-compatibility/2006">
          <mc:Choice Requires="x14">
            <control shapeId="24597" r:id="rId18" name="Drop Down 21">
              <controlPr defaultSize="0" autoLine="0" autoPict="0">
                <anchor moveWithCells="1">
                  <from>
                    <xdr:col>10</xdr:col>
                    <xdr:colOff>0</xdr:colOff>
                    <xdr:row>28</xdr:row>
                    <xdr:rowOff>142875</xdr:rowOff>
                  </from>
                  <to>
                    <xdr:col>10</xdr:col>
                    <xdr:colOff>628650</xdr:colOff>
                    <xdr:row>30</xdr:row>
                    <xdr:rowOff>19050</xdr:rowOff>
                  </to>
                </anchor>
              </controlPr>
            </control>
          </mc:Choice>
        </mc:AlternateContent>
        <mc:AlternateContent xmlns:mc="http://schemas.openxmlformats.org/markup-compatibility/2006">
          <mc:Choice Requires="x14">
            <control shapeId="24598" r:id="rId19" name="Drop Down 22">
              <controlPr defaultSize="0" autoLine="0" autoPict="0">
                <anchor moveWithCells="1">
                  <from>
                    <xdr:col>2</xdr:col>
                    <xdr:colOff>19050</xdr:colOff>
                    <xdr:row>33</xdr:row>
                    <xdr:rowOff>0</xdr:rowOff>
                  </from>
                  <to>
                    <xdr:col>3</xdr:col>
                    <xdr:colOff>47625</xdr:colOff>
                    <xdr:row>34</xdr:row>
                    <xdr:rowOff>38100</xdr:rowOff>
                  </to>
                </anchor>
              </controlPr>
            </control>
          </mc:Choice>
        </mc:AlternateContent>
        <mc:AlternateContent xmlns:mc="http://schemas.openxmlformats.org/markup-compatibility/2006">
          <mc:Choice Requires="x14">
            <control shapeId="24599" r:id="rId20" name="Drop Down 23">
              <controlPr defaultSize="0" autoLine="0" autoPict="0">
                <anchor moveWithCells="1">
                  <from>
                    <xdr:col>10</xdr:col>
                    <xdr:colOff>0</xdr:colOff>
                    <xdr:row>32</xdr:row>
                    <xdr:rowOff>142875</xdr:rowOff>
                  </from>
                  <to>
                    <xdr:col>10</xdr:col>
                    <xdr:colOff>628650</xdr:colOff>
                    <xdr:row>34</xdr:row>
                    <xdr:rowOff>19050</xdr:rowOff>
                  </to>
                </anchor>
              </controlPr>
            </control>
          </mc:Choice>
        </mc:AlternateContent>
        <mc:AlternateContent xmlns:mc="http://schemas.openxmlformats.org/markup-compatibility/2006">
          <mc:Choice Requires="x14">
            <control shapeId="24600" r:id="rId21" name="Drop Down 24">
              <controlPr defaultSize="0" autoLine="0" autoPict="0">
                <anchor moveWithCells="1">
                  <from>
                    <xdr:col>2</xdr:col>
                    <xdr:colOff>19050</xdr:colOff>
                    <xdr:row>37</xdr:row>
                    <xdr:rowOff>0</xdr:rowOff>
                  </from>
                  <to>
                    <xdr:col>3</xdr:col>
                    <xdr:colOff>47625</xdr:colOff>
                    <xdr:row>38</xdr:row>
                    <xdr:rowOff>38100</xdr:rowOff>
                  </to>
                </anchor>
              </controlPr>
            </control>
          </mc:Choice>
        </mc:AlternateContent>
        <mc:AlternateContent xmlns:mc="http://schemas.openxmlformats.org/markup-compatibility/2006">
          <mc:Choice Requires="x14">
            <control shapeId="24601" r:id="rId22" name="Drop Down 25">
              <controlPr defaultSize="0" autoLine="0" autoPict="0">
                <anchor moveWithCells="1">
                  <from>
                    <xdr:col>10</xdr:col>
                    <xdr:colOff>0</xdr:colOff>
                    <xdr:row>36</xdr:row>
                    <xdr:rowOff>142875</xdr:rowOff>
                  </from>
                  <to>
                    <xdr:col>10</xdr:col>
                    <xdr:colOff>628650</xdr:colOff>
                    <xdr:row>38</xdr:row>
                    <xdr:rowOff>19050</xdr:rowOff>
                  </to>
                </anchor>
              </controlPr>
            </control>
          </mc:Choice>
        </mc:AlternateContent>
        <mc:AlternateContent xmlns:mc="http://schemas.openxmlformats.org/markup-compatibility/2006">
          <mc:Choice Requires="x14">
            <control shapeId="24618" r:id="rId23" name="Drop Down 42">
              <controlPr defaultSize="0" autoLine="0" autoPict="0">
                <anchor moveWithCells="1">
                  <from>
                    <xdr:col>2</xdr:col>
                    <xdr:colOff>19050</xdr:colOff>
                    <xdr:row>41</xdr:row>
                    <xdr:rowOff>0</xdr:rowOff>
                  </from>
                  <to>
                    <xdr:col>3</xdr:col>
                    <xdr:colOff>47625</xdr:colOff>
                    <xdr:row>42</xdr:row>
                    <xdr:rowOff>38100</xdr:rowOff>
                  </to>
                </anchor>
              </controlPr>
            </control>
          </mc:Choice>
        </mc:AlternateContent>
        <mc:AlternateContent xmlns:mc="http://schemas.openxmlformats.org/markup-compatibility/2006">
          <mc:Choice Requires="x14">
            <control shapeId="24619" r:id="rId24" name="Drop Down 43">
              <controlPr defaultSize="0" autoLine="0" autoPict="0">
                <anchor moveWithCells="1">
                  <from>
                    <xdr:col>10</xdr:col>
                    <xdr:colOff>0</xdr:colOff>
                    <xdr:row>40</xdr:row>
                    <xdr:rowOff>133350</xdr:rowOff>
                  </from>
                  <to>
                    <xdr:col>10</xdr:col>
                    <xdr:colOff>628650</xdr:colOff>
                    <xdr:row>42</xdr:row>
                    <xdr:rowOff>9525</xdr:rowOff>
                  </to>
                </anchor>
              </controlPr>
            </control>
          </mc:Choice>
        </mc:AlternateContent>
        <mc:AlternateContent xmlns:mc="http://schemas.openxmlformats.org/markup-compatibility/2006">
          <mc:Choice Requires="x14">
            <control shapeId="24620" r:id="rId25" name="Drop Down 44">
              <controlPr defaultSize="0" autoLine="0" autoPict="0">
                <anchor moveWithCells="1">
                  <from>
                    <xdr:col>2</xdr:col>
                    <xdr:colOff>19050</xdr:colOff>
                    <xdr:row>45</xdr:row>
                    <xdr:rowOff>0</xdr:rowOff>
                  </from>
                  <to>
                    <xdr:col>3</xdr:col>
                    <xdr:colOff>47625</xdr:colOff>
                    <xdr:row>46</xdr:row>
                    <xdr:rowOff>38100</xdr:rowOff>
                  </to>
                </anchor>
              </controlPr>
            </control>
          </mc:Choice>
        </mc:AlternateContent>
        <mc:AlternateContent xmlns:mc="http://schemas.openxmlformats.org/markup-compatibility/2006">
          <mc:Choice Requires="x14">
            <control shapeId="24621" r:id="rId26" name="Drop Down 45">
              <controlPr defaultSize="0" autoLine="0" autoPict="0">
                <anchor moveWithCells="1">
                  <from>
                    <xdr:col>10</xdr:col>
                    <xdr:colOff>0</xdr:colOff>
                    <xdr:row>44</xdr:row>
                    <xdr:rowOff>142875</xdr:rowOff>
                  </from>
                  <to>
                    <xdr:col>10</xdr:col>
                    <xdr:colOff>628650</xdr:colOff>
                    <xdr:row>46</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Q31"/>
  <sheetViews>
    <sheetView showGridLines="0" showRowColHeaders="0" workbookViewId="0">
      <selection activeCell="H13" sqref="H13"/>
    </sheetView>
  </sheetViews>
  <sheetFormatPr defaultColWidth="9.1328125" defaultRowHeight="11.65" x14ac:dyDescent="0.35"/>
  <cols>
    <col min="1" max="1" width="11" style="40" customWidth="1"/>
    <col min="2" max="2" width="5.3984375" style="40" customWidth="1"/>
    <col min="3" max="3" width="6.1328125" style="40" customWidth="1"/>
    <col min="4" max="4" width="13.59765625" style="40" customWidth="1"/>
    <col min="5" max="5" width="8.86328125" style="40" customWidth="1"/>
    <col min="6" max="6" width="7.1328125" style="40" customWidth="1"/>
    <col min="7" max="7" width="7.86328125" style="40" customWidth="1"/>
    <col min="8" max="8" width="10.1328125" style="40" customWidth="1"/>
    <col min="9" max="9" width="6.3984375" style="40" customWidth="1"/>
    <col min="10" max="10" width="14.86328125" style="40" customWidth="1"/>
    <col min="11" max="11" width="7.86328125" style="40" customWidth="1"/>
    <col min="12" max="12" width="16" style="40" customWidth="1"/>
    <col min="13" max="13" width="11" style="40" customWidth="1"/>
    <col min="14" max="14" width="4.3984375" style="40" hidden="1" customWidth="1"/>
    <col min="15" max="15" width="13.265625" style="40" hidden="1" customWidth="1"/>
    <col min="16" max="16" width="10.86328125" style="40" hidden="1" customWidth="1"/>
    <col min="17" max="17" width="12.1328125" style="40" hidden="1" customWidth="1"/>
    <col min="18" max="16384" width="9.1328125" style="40"/>
  </cols>
  <sheetData>
    <row r="1" spans="1:17" x14ac:dyDescent="0.35">
      <c r="A1" s="481"/>
      <c r="B1" s="481"/>
      <c r="C1" s="481"/>
      <c r="D1" s="481"/>
      <c r="E1" s="481"/>
      <c r="F1" s="481"/>
      <c r="G1" s="481"/>
      <c r="H1" s="481"/>
      <c r="I1" s="481"/>
      <c r="J1" s="481"/>
      <c r="K1" s="481"/>
      <c r="L1" s="481"/>
      <c r="M1" s="481"/>
    </row>
    <row r="2" spans="1:17" x14ac:dyDescent="0.35">
      <c r="A2" s="481"/>
      <c r="B2" s="481"/>
      <c r="C2" s="481"/>
      <c r="D2" s="481"/>
      <c r="E2" s="481"/>
      <c r="F2" s="481"/>
      <c r="G2" s="481"/>
      <c r="H2" s="481"/>
      <c r="I2" s="481"/>
      <c r="J2" s="481"/>
      <c r="K2" s="481"/>
      <c r="L2" s="481"/>
      <c r="M2" s="481"/>
    </row>
    <row r="3" spans="1:17" x14ac:dyDescent="0.35">
      <c r="A3" s="481"/>
      <c r="B3" s="549" t="s">
        <v>2662</v>
      </c>
      <c r="C3" s="550"/>
      <c r="D3" s="551"/>
      <c r="E3" s="551"/>
      <c r="F3" s="551"/>
      <c r="G3" s="551"/>
      <c r="H3" s="551"/>
      <c r="I3" s="551"/>
      <c r="J3" s="551"/>
      <c r="K3" s="552"/>
      <c r="L3" s="481"/>
      <c r="M3" s="481"/>
    </row>
    <row r="4" spans="1:17" x14ac:dyDescent="0.35">
      <c r="A4" s="481"/>
      <c r="B4" s="553"/>
      <c r="C4" s="554"/>
      <c r="D4" s="394"/>
      <c r="E4" s="554"/>
      <c r="F4" s="554"/>
      <c r="G4" s="353"/>
      <c r="H4" s="554"/>
      <c r="I4" s="554"/>
      <c r="J4" s="555"/>
      <c r="K4" s="556"/>
      <c r="L4" s="481"/>
      <c r="M4" s="481"/>
    </row>
    <row r="5" spans="1:17" x14ac:dyDescent="0.35">
      <c r="A5" s="481"/>
      <c r="B5" s="553"/>
      <c r="C5" s="557">
        <f>FOR!K37</f>
        <v>43</v>
      </c>
      <c r="D5" s="558" t="s">
        <v>1371</v>
      </c>
      <c r="E5" s="261"/>
      <c r="F5" s="557">
        <f>FOR!$O$31</f>
        <v>44</v>
      </c>
      <c r="G5" s="559" t="s">
        <v>1056</v>
      </c>
      <c r="H5" s="554"/>
      <c r="I5" s="557">
        <f>FOR!O34</f>
        <v>45</v>
      </c>
      <c r="J5" s="560" t="s">
        <v>1060</v>
      </c>
      <c r="K5" s="556"/>
      <c r="L5" s="481"/>
      <c r="M5" s="481"/>
      <c r="O5" s="40" t="s">
        <v>1009</v>
      </c>
      <c r="P5" s="40" t="s">
        <v>1010</v>
      </c>
      <c r="Q5" s="40" t="s">
        <v>1093</v>
      </c>
    </row>
    <row r="6" spans="1:17" x14ac:dyDescent="0.35">
      <c r="A6" s="481"/>
      <c r="B6" s="553"/>
      <c r="C6" s="261"/>
      <c r="D6" s="116"/>
      <c r="E6" s="261"/>
      <c r="F6" s="554"/>
      <c r="G6" s="116"/>
      <c r="H6" s="261"/>
      <c r="I6" s="261"/>
      <c r="J6" s="116"/>
      <c r="K6" s="556"/>
      <c r="L6" s="481"/>
      <c r="M6" s="481"/>
      <c r="O6" s="40">
        <f t="shared" ref="O6:O15" si="0">IF(D6&gt;0,1,0)</f>
        <v>0</v>
      </c>
      <c r="P6" s="40">
        <f t="shared" ref="P6:P15" si="1">MAX(G6,1)</f>
        <v>1</v>
      </c>
      <c r="Q6" s="40">
        <f t="shared" ref="Q6:Q15" si="2">TRUNC(D6/P6,0)</f>
        <v>0</v>
      </c>
    </row>
    <row r="7" spans="1:17" x14ac:dyDescent="0.35">
      <c r="A7" s="481"/>
      <c r="B7" s="553"/>
      <c r="C7" s="261"/>
      <c r="D7" s="116"/>
      <c r="E7" s="261"/>
      <c r="F7" s="554"/>
      <c r="G7" s="116"/>
      <c r="H7" s="261"/>
      <c r="I7" s="261"/>
      <c r="J7" s="116"/>
      <c r="K7" s="556"/>
      <c r="L7" s="481"/>
      <c r="M7" s="481"/>
      <c r="O7" s="40">
        <f t="shared" si="0"/>
        <v>0</v>
      </c>
      <c r="P7" s="40">
        <f t="shared" si="1"/>
        <v>1</v>
      </c>
      <c r="Q7" s="40">
        <f t="shared" si="2"/>
        <v>0</v>
      </c>
    </row>
    <row r="8" spans="1:17" x14ac:dyDescent="0.35">
      <c r="A8" s="481"/>
      <c r="B8" s="553"/>
      <c r="C8" s="261"/>
      <c r="D8" s="116"/>
      <c r="E8" s="261"/>
      <c r="F8" s="554"/>
      <c r="G8" s="116"/>
      <c r="H8" s="261"/>
      <c r="I8" s="261"/>
      <c r="J8" s="116"/>
      <c r="K8" s="556"/>
      <c r="L8" s="481"/>
      <c r="M8" s="481"/>
      <c r="O8" s="40">
        <f t="shared" si="0"/>
        <v>0</v>
      </c>
      <c r="P8" s="40">
        <f t="shared" si="1"/>
        <v>1</v>
      </c>
      <c r="Q8" s="40">
        <f t="shared" si="2"/>
        <v>0</v>
      </c>
    </row>
    <row r="9" spans="1:17" x14ac:dyDescent="0.35">
      <c r="A9" s="481"/>
      <c r="B9" s="553"/>
      <c r="C9" s="261"/>
      <c r="D9" s="116"/>
      <c r="E9" s="261"/>
      <c r="F9" s="554"/>
      <c r="G9" s="116"/>
      <c r="H9" s="261"/>
      <c r="I9" s="261"/>
      <c r="J9" s="116"/>
      <c r="K9" s="556"/>
      <c r="L9" s="481"/>
      <c r="M9" s="481"/>
      <c r="O9" s="40">
        <f t="shared" si="0"/>
        <v>0</v>
      </c>
      <c r="P9" s="40">
        <f t="shared" si="1"/>
        <v>1</v>
      </c>
      <c r="Q9" s="40">
        <f t="shared" si="2"/>
        <v>0</v>
      </c>
    </row>
    <row r="10" spans="1:17" x14ac:dyDescent="0.35">
      <c r="A10" s="481"/>
      <c r="B10" s="553"/>
      <c r="C10" s="261"/>
      <c r="D10" s="116"/>
      <c r="E10" s="261"/>
      <c r="F10" s="554"/>
      <c r="G10" s="116"/>
      <c r="H10" s="261"/>
      <c r="I10" s="261"/>
      <c r="J10" s="116"/>
      <c r="K10" s="556"/>
      <c r="L10" s="481"/>
      <c r="M10" s="481"/>
      <c r="O10" s="40">
        <f t="shared" si="0"/>
        <v>0</v>
      </c>
      <c r="P10" s="40">
        <f t="shared" si="1"/>
        <v>1</v>
      </c>
      <c r="Q10" s="40">
        <f t="shared" si="2"/>
        <v>0</v>
      </c>
    </row>
    <row r="11" spans="1:17" x14ac:dyDescent="0.35">
      <c r="A11" s="481"/>
      <c r="B11" s="553"/>
      <c r="C11" s="261"/>
      <c r="D11" s="116"/>
      <c r="E11" s="261"/>
      <c r="F11" s="554"/>
      <c r="G11" s="116"/>
      <c r="H11" s="261"/>
      <c r="I11" s="261"/>
      <c r="J11" s="116"/>
      <c r="K11" s="556"/>
      <c r="L11" s="481"/>
      <c r="M11" s="481"/>
      <c r="O11" s="40">
        <f t="shared" si="0"/>
        <v>0</v>
      </c>
      <c r="P11" s="40">
        <f t="shared" si="1"/>
        <v>1</v>
      </c>
      <c r="Q11" s="40">
        <f t="shared" si="2"/>
        <v>0</v>
      </c>
    </row>
    <row r="12" spans="1:17" x14ac:dyDescent="0.35">
      <c r="A12" s="481"/>
      <c r="B12" s="553"/>
      <c r="C12" s="261"/>
      <c r="D12" s="116"/>
      <c r="E12" s="261"/>
      <c r="F12" s="554"/>
      <c r="G12" s="116"/>
      <c r="H12" s="261"/>
      <c r="I12" s="261"/>
      <c r="J12" s="116"/>
      <c r="K12" s="556"/>
      <c r="L12" s="481"/>
      <c r="M12" s="481"/>
      <c r="O12" s="40">
        <f t="shared" si="0"/>
        <v>0</v>
      </c>
      <c r="P12" s="40">
        <f t="shared" si="1"/>
        <v>1</v>
      </c>
      <c r="Q12" s="40">
        <f t="shared" si="2"/>
        <v>0</v>
      </c>
    </row>
    <row r="13" spans="1:17" x14ac:dyDescent="0.35">
      <c r="A13" s="481"/>
      <c r="B13" s="553"/>
      <c r="C13" s="261"/>
      <c r="D13" s="116"/>
      <c r="E13" s="261"/>
      <c r="F13" s="554"/>
      <c r="G13" s="116"/>
      <c r="H13" s="261"/>
      <c r="I13" s="261"/>
      <c r="J13" s="116"/>
      <c r="K13" s="556"/>
      <c r="L13" s="481"/>
      <c r="M13" s="481"/>
      <c r="O13" s="40">
        <f t="shared" si="0"/>
        <v>0</v>
      </c>
      <c r="P13" s="40">
        <f t="shared" si="1"/>
        <v>1</v>
      </c>
      <c r="Q13" s="40">
        <f t="shared" si="2"/>
        <v>0</v>
      </c>
    </row>
    <row r="14" spans="1:17" x14ac:dyDescent="0.35">
      <c r="A14" s="481"/>
      <c r="B14" s="553"/>
      <c r="C14" s="261"/>
      <c r="D14" s="116"/>
      <c r="E14" s="261"/>
      <c r="F14" s="554"/>
      <c r="G14" s="116"/>
      <c r="H14" s="261"/>
      <c r="I14" s="261"/>
      <c r="J14" s="116"/>
      <c r="K14" s="556"/>
      <c r="L14" s="481"/>
      <c r="M14" s="481"/>
      <c r="O14" s="40">
        <f t="shared" si="0"/>
        <v>0</v>
      </c>
      <c r="P14" s="40">
        <f t="shared" si="1"/>
        <v>1</v>
      </c>
      <c r="Q14" s="40">
        <f t="shared" si="2"/>
        <v>0</v>
      </c>
    </row>
    <row r="15" spans="1:17" x14ac:dyDescent="0.35">
      <c r="A15" s="481"/>
      <c r="B15" s="553"/>
      <c r="C15" s="261"/>
      <c r="D15" s="116"/>
      <c r="E15" s="261"/>
      <c r="F15" s="554"/>
      <c r="G15" s="116"/>
      <c r="H15" s="261"/>
      <c r="I15" s="261"/>
      <c r="J15" s="116"/>
      <c r="K15" s="556"/>
      <c r="L15" s="481"/>
      <c r="M15" s="481"/>
      <c r="O15" s="40">
        <f t="shared" si="0"/>
        <v>0</v>
      </c>
      <c r="P15" s="40">
        <f t="shared" si="1"/>
        <v>1</v>
      </c>
      <c r="Q15" s="40">
        <f t="shared" si="2"/>
        <v>0</v>
      </c>
    </row>
    <row r="16" spans="1:17" x14ac:dyDescent="0.35">
      <c r="A16" s="481"/>
      <c r="B16" s="553"/>
      <c r="C16" s="261"/>
      <c r="D16" s="561">
        <f>SUM(D6:D15)</f>
        <v>0</v>
      </c>
      <c r="E16" s="261"/>
      <c r="F16" s="554"/>
      <c r="G16" s="554"/>
      <c r="H16" s="554"/>
      <c r="I16" s="261"/>
      <c r="J16" s="561">
        <f>SUM(J6:J15)</f>
        <v>0</v>
      </c>
      <c r="K16" s="556"/>
      <c r="L16" s="481"/>
      <c r="M16" s="481"/>
      <c r="O16" s="117">
        <f>SUM(O6:O15)</f>
        <v>0</v>
      </c>
      <c r="P16" s="117">
        <f>SUM(G6:G15)</f>
        <v>0</v>
      </c>
      <c r="Q16" s="117">
        <f>SUM(Q6:Q15)</f>
        <v>0</v>
      </c>
    </row>
    <row r="17" spans="1:13" x14ac:dyDescent="0.35">
      <c r="A17" s="481"/>
      <c r="B17" s="562"/>
      <c r="C17" s="563"/>
      <c r="D17" s="563"/>
      <c r="E17" s="563"/>
      <c r="F17" s="563"/>
      <c r="G17" s="563"/>
      <c r="H17" s="563"/>
      <c r="I17" s="563"/>
      <c r="J17" s="563"/>
      <c r="K17" s="564"/>
      <c r="L17" s="481"/>
      <c r="M17" s="481"/>
    </row>
    <row r="18" spans="1:13" x14ac:dyDescent="0.35">
      <c r="A18" s="481"/>
      <c r="B18" s="481"/>
      <c r="C18" s="481"/>
      <c r="D18" s="481"/>
      <c r="E18" s="481"/>
      <c r="F18" s="481"/>
      <c r="G18" s="481"/>
      <c r="H18" s="481"/>
      <c r="I18" s="481"/>
      <c r="J18" s="481"/>
      <c r="K18" s="481"/>
      <c r="L18" s="481"/>
      <c r="M18" s="481"/>
    </row>
    <row r="19" spans="1:13" x14ac:dyDescent="0.35">
      <c r="A19" s="481"/>
      <c r="B19" s="481"/>
      <c r="C19" s="481"/>
      <c r="D19" s="481"/>
      <c r="E19" s="481"/>
      <c r="F19" s="481"/>
      <c r="G19" s="481"/>
      <c r="H19" s="481"/>
      <c r="I19" s="481"/>
      <c r="J19" s="481"/>
      <c r="K19" s="481"/>
      <c r="L19" s="481"/>
      <c r="M19" s="481"/>
    </row>
    <row r="20" spans="1:13" x14ac:dyDescent="0.35">
      <c r="A20" s="481"/>
      <c r="B20" s="481"/>
      <c r="C20" s="481"/>
      <c r="D20" s="481"/>
      <c r="E20" s="481"/>
      <c r="F20" s="481"/>
      <c r="G20" s="481"/>
      <c r="H20" s="481"/>
      <c r="I20" s="481"/>
      <c r="J20" s="481"/>
      <c r="K20" s="481"/>
      <c r="L20" s="481"/>
      <c r="M20" s="481"/>
    </row>
    <row r="21" spans="1:13" x14ac:dyDescent="0.35">
      <c r="A21" s="481"/>
      <c r="B21" s="481"/>
      <c r="C21" s="481"/>
      <c r="D21" s="481"/>
      <c r="E21" s="481"/>
      <c r="F21" s="481"/>
      <c r="G21" s="481"/>
      <c r="H21" s="481"/>
      <c r="I21" s="557" t="s">
        <v>2663</v>
      </c>
      <c r="J21" s="566" t="s">
        <v>2505</v>
      </c>
      <c r="K21" s="481"/>
      <c r="L21" s="481"/>
      <c r="M21" s="565"/>
    </row>
    <row r="22" spans="1:13" x14ac:dyDescent="0.35">
      <c r="A22" s="481"/>
      <c r="B22" s="481"/>
      <c r="C22" s="481"/>
      <c r="D22" s="481"/>
      <c r="E22" s="481"/>
      <c r="F22" s="481"/>
      <c r="G22" s="481"/>
      <c r="H22" s="481"/>
      <c r="I22" s="481"/>
      <c r="J22" s="567" t="str">
        <f>IF(total_all_gains,'TSR (c17)'!M84,"")</f>
        <v/>
      </c>
      <c r="K22" s="481"/>
      <c r="L22" s="481"/>
      <c r="M22" s="565"/>
    </row>
    <row r="23" spans="1:13" x14ac:dyDescent="0.35">
      <c r="A23" s="481"/>
      <c r="B23" s="481"/>
      <c r="C23" s="481"/>
      <c r="D23" s="481"/>
      <c r="E23" s="481"/>
      <c r="F23" s="481"/>
      <c r="G23" s="481"/>
      <c r="H23" s="481"/>
      <c r="I23" s="481"/>
      <c r="J23" s="481"/>
      <c r="K23" s="481"/>
      <c r="L23" s="481"/>
      <c r="M23" s="481"/>
    </row>
    <row r="24" spans="1:13" x14ac:dyDescent="0.35">
      <c r="A24" s="481"/>
      <c r="B24" s="481"/>
      <c r="C24" s="481"/>
      <c r="D24" s="481"/>
      <c r="E24" s="481"/>
      <c r="F24" s="481"/>
      <c r="G24" s="481"/>
      <c r="H24" s="481"/>
      <c r="I24" s="481"/>
      <c r="J24" s="481"/>
      <c r="K24" s="481"/>
      <c r="L24" s="481"/>
      <c r="M24" s="481"/>
    </row>
    <row r="25" spans="1:13" x14ac:dyDescent="0.35">
      <c r="A25" s="481"/>
      <c r="B25" s="481"/>
      <c r="C25" s="481"/>
      <c r="D25" s="481"/>
      <c r="E25" s="481"/>
      <c r="F25" s="481"/>
      <c r="G25" s="481"/>
      <c r="H25" s="481"/>
      <c r="I25" s="481"/>
      <c r="J25" s="481"/>
      <c r="K25" s="481"/>
      <c r="L25" s="481"/>
      <c r="M25" s="481"/>
    </row>
    <row r="26" spans="1:13" x14ac:dyDescent="0.35">
      <c r="A26" s="481"/>
      <c r="B26" s="481"/>
      <c r="C26" s="481"/>
      <c r="D26" s="481"/>
      <c r="E26" s="481"/>
      <c r="F26" s="481"/>
      <c r="G26" s="481"/>
      <c r="H26" s="481"/>
      <c r="I26" s="481"/>
      <c r="J26" s="481"/>
      <c r="K26" s="481"/>
      <c r="L26" s="481"/>
      <c r="M26" s="481"/>
    </row>
    <row r="27" spans="1:13" x14ac:dyDescent="0.35">
      <c r="A27" s="481"/>
      <c r="B27" s="481"/>
      <c r="C27" s="481"/>
      <c r="D27" s="481"/>
      <c r="E27" s="481"/>
      <c r="F27" s="481"/>
      <c r="G27" s="481"/>
      <c r="H27" s="481"/>
      <c r="I27" s="481"/>
      <c r="J27" s="481"/>
      <c r="K27" s="481"/>
      <c r="L27" s="481"/>
      <c r="M27" s="481"/>
    </row>
    <row r="28" spans="1:13" x14ac:dyDescent="0.35">
      <c r="A28" s="481"/>
      <c r="B28" s="481"/>
      <c r="C28" s="481"/>
      <c r="D28" s="481"/>
      <c r="E28" s="481"/>
      <c r="F28" s="481"/>
      <c r="G28" s="481"/>
      <c r="H28" s="481"/>
      <c r="I28" s="481"/>
      <c r="J28" s="481"/>
      <c r="K28" s="481"/>
      <c r="L28" s="481"/>
      <c r="M28" s="481"/>
    </row>
    <row r="29" spans="1:13" x14ac:dyDescent="0.35">
      <c r="A29" s="481"/>
      <c r="B29" s="481"/>
      <c r="C29" s="481"/>
      <c r="D29" s="481"/>
      <c r="E29" s="481"/>
      <c r="F29" s="481"/>
      <c r="G29" s="481"/>
      <c r="H29" s="481"/>
      <c r="I29" s="481"/>
      <c r="J29" s="481"/>
      <c r="K29" s="481"/>
      <c r="L29" s="481"/>
      <c r="M29" s="481"/>
    </row>
    <row r="30" spans="1:13" x14ac:dyDescent="0.35">
      <c r="A30" s="481"/>
      <c r="B30" s="481"/>
      <c r="C30" s="481"/>
      <c r="D30" s="481"/>
      <c r="E30" s="481"/>
      <c r="F30" s="481"/>
      <c r="G30" s="481"/>
      <c r="H30" s="481"/>
      <c r="I30" s="481"/>
      <c r="J30" s="481"/>
      <c r="K30" s="481"/>
      <c r="L30" s="481"/>
      <c r="M30" s="481"/>
    </row>
    <row r="31" spans="1:13" x14ac:dyDescent="0.35">
      <c r="A31" s="481"/>
      <c r="B31" s="481"/>
      <c r="C31" s="481"/>
      <c r="D31" s="481"/>
      <c r="E31" s="481"/>
      <c r="F31" s="481"/>
      <c r="G31" s="86"/>
      <c r="H31" s="85"/>
      <c r="I31" s="481"/>
      <c r="J31" s="481"/>
      <c r="K31" s="481"/>
      <c r="L31" s="481"/>
      <c r="M31" s="481"/>
    </row>
  </sheetData>
  <sheetProtection sheet="1" objects="1" scenarios="1"/>
  <phoneticPr fontId="68" type="noConversion"/>
  <pageMargins left="0.75" right="0.75"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ulti_foreign_gains">
                <anchor>
                  <from>
                    <xdr:col>1</xdr:col>
                    <xdr:colOff>171450</xdr:colOff>
                    <xdr:row>19</xdr:row>
                    <xdr:rowOff>133350</xdr:rowOff>
                  </from>
                  <to>
                    <xdr:col>7</xdr:col>
                    <xdr:colOff>0</xdr:colOff>
                    <xdr:row>22</xdr:row>
                    <xdr:rowOff>28575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40"/>
  <sheetViews>
    <sheetView showGridLines="0" showRowColHeaders="0" topLeftCell="B2" workbookViewId="0">
      <selection activeCell="H15" sqref="H15"/>
    </sheetView>
  </sheetViews>
  <sheetFormatPr defaultColWidth="9.1328125" defaultRowHeight="11.65" x14ac:dyDescent="0.35"/>
  <cols>
    <col min="1" max="1" width="10.59765625" style="163" hidden="1" customWidth="1"/>
    <col min="2" max="2" width="3.73046875" style="163" customWidth="1"/>
    <col min="3" max="3" width="4.73046875" style="163" customWidth="1"/>
    <col min="4" max="4" width="14.73046875" style="163" customWidth="1"/>
    <col min="5" max="5" width="14.1328125" style="163" customWidth="1"/>
    <col min="6" max="6" width="5" style="163" customWidth="1"/>
    <col min="7" max="7" width="4.265625" style="163" customWidth="1"/>
    <col min="8" max="8" width="14.265625" style="163" customWidth="1"/>
    <col min="9" max="9" width="19.265625" style="163" customWidth="1"/>
    <col min="10" max="10" width="3.3984375" style="163" customWidth="1"/>
    <col min="11" max="11" width="4.73046875" style="163" customWidth="1"/>
    <col min="12" max="12" width="13.1328125" style="163" customWidth="1"/>
    <col min="13" max="13" width="14.1328125" style="163" customWidth="1"/>
    <col min="14" max="14" width="3.59765625" style="163" customWidth="1"/>
    <col min="15" max="15" width="4.3984375" style="163" customWidth="1"/>
    <col min="16" max="16" width="13" style="163" customWidth="1"/>
    <col min="17" max="17" width="22.73046875" style="163" customWidth="1"/>
    <col min="18" max="18" width="16.86328125" style="163" customWidth="1"/>
    <col min="19" max="16384" width="9.1328125" style="163"/>
  </cols>
  <sheetData>
    <row r="1" spans="1:18" ht="6" customHeight="1" x14ac:dyDescent="0.35">
      <c r="A1" s="163" t="s">
        <v>3568</v>
      </c>
      <c r="B1" s="164"/>
      <c r="C1" s="164"/>
      <c r="D1" s="164"/>
      <c r="E1" s="164"/>
      <c r="F1" s="164"/>
      <c r="G1" s="164"/>
      <c r="H1" s="164"/>
      <c r="I1" s="164"/>
      <c r="J1" s="164"/>
      <c r="K1" s="164"/>
      <c r="L1" s="164"/>
      <c r="M1" s="164"/>
      <c r="N1" s="164"/>
      <c r="O1" s="164"/>
      <c r="P1" s="164"/>
      <c r="Q1" s="164"/>
      <c r="R1" s="164"/>
    </row>
    <row r="2" spans="1:18" ht="12.75" customHeight="1" x14ac:dyDescent="0.4">
      <c r="B2" s="164"/>
      <c r="C2" s="363" t="s">
        <v>1062</v>
      </c>
      <c r="D2" s="319"/>
      <c r="E2" s="319"/>
      <c r="F2" s="319"/>
      <c r="G2" s="319"/>
      <c r="H2" s="319"/>
      <c r="I2" s="319"/>
      <c r="J2" s="460" t="s">
        <v>3568</v>
      </c>
      <c r="K2" s="340"/>
      <c r="L2" s="319"/>
      <c r="M2" s="319"/>
      <c r="N2" s="319"/>
      <c r="O2" s="319"/>
      <c r="P2" s="319"/>
      <c r="Q2" s="460" t="s">
        <v>3568</v>
      </c>
      <c r="R2" s="164"/>
    </row>
    <row r="3" spans="1:18" x14ac:dyDescent="0.35">
      <c r="B3" s="164"/>
      <c r="C3" s="342" t="s">
        <v>6248</v>
      </c>
      <c r="D3" s="310"/>
      <c r="E3" s="310"/>
      <c r="F3" s="310"/>
      <c r="G3" s="310"/>
      <c r="H3" s="310"/>
      <c r="I3" s="310"/>
      <c r="J3" s="311"/>
      <c r="K3" s="342" t="s">
        <v>6257</v>
      </c>
      <c r="L3" s="310"/>
      <c r="M3" s="310"/>
      <c r="N3" s="310"/>
      <c r="O3" s="310"/>
      <c r="P3" s="310"/>
      <c r="Q3" s="311"/>
      <c r="R3" s="164"/>
    </row>
    <row r="4" spans="1:18" ht="12.75" customHeight="1" x14ac:dyDescent="0.35">
      <c r="A4" s="163">
        <v>1</v>
      </c>
      <c r="B4" s="164"/>
      <c r="C4" s="364" t="s">
        <v>1063</v>
      </c>
      <c r="D4" s="310"/>
      <c r="E4" s="310"/>
      <c r="F4" s="310"/>
      <c r="G4" s="310"/>
      <c r="H4" s="310"/>
      <c r="I4" s="310"/>
      <c r="J4" s="311"/>
      <c r="K4" s="362" t="s">
        <v>5507</v>
      </c>
      <c r="L4" s="310"/>
      <c r="M4" s="310"/>
      <c r="N4" s="310"/>
      <c r="O4" s="310"/>
      <c r="P4" s="310"/>
      <c r="Q4" s="311"/>
      <c r="R4" s="164"/>
    </row>
    <row r="5" spans="1:18" ht="12.75" customHeight="1" x14ac:dyDescent="0.35">
      <c r="A5" s="163">
        <v>2</v>
      </c>
      <c r="B5" s="164"/>
      <c r="C5" s="322"/>
      <c r="D5" s="310"/>
      <c r="E5" s="310"/>
      <c r="F5" s="310"/>
      <c r="G5" s="310"/>
      <c r="H5" s="263" t="s">
        <v>6240</v>
      </c>
      <c r="I5" s="310"/>
      <c r="J5" s="311"/>
      <c r="K5" s="322"/>
      <c r="L5" s="263" t="s">
        <v>6258</v>
      </c>
      <c r="M5" s="310"/>
      <c r="N5" s="310"/>
      <c r="O5" s="310"/>
      <c r="P5" s="263" t="s">
        <v>6260</v>
      </c>
      <c r="Q5" s="311"/>
      <c r="R5" s="164"/>
    </row>
    <row r="6" spans="1:18" ht="12.75" customHeight="1" x14ac:dyDescent="0.35">
      <c r="A6" s="163">
        <v>3</v>
      </c>
      <c r="B6" s="164"/>
      <c r="C6" s="168">
        <f>A4</f>
        <v>1</v>
      </c>
      <c r="D6" s="263" t="s">
        <v>6242</v>
      </c>
      <c r="E6" s="310"/>
      <c r="F6" s="310"/>
      <c r="G6" s="168">
        <f>A5</f>
        <v>2</v>
      </c>
      <c r="H6" s="263" t="s">
        <v>6241</v>
      </c>
      <c r="I6" s="310"/>
      <c r="J6" s="311"/>
      <c r="K6" s="168">
        <f>A18</f>
        <v>16</v>
      </c>
      <c r="L6" s="1801" t="s">
        <v>6247</v>
      </c>
      <c r="M6" s="310"/>
      <c r="N6" s="310"/>
      <c r="O6" s="168">
        <f>A21</f>
        <v>19</v>
      </c>
      <c r="P6" s="263" t="s">
        <v>6261</v>
      </c>
      <c r="Q6" s="311"/>
      <c r="R6" s="164"/>
    </row>
    <row r="7" spans="1:18" ht="12.75" customHeight="1" x14ac:dyDescent="0.35">
      <c r="A7" s="163">
        <v>4</v>
      </c>
      <c r="B7" s="164"/>
      <c r="C7" s="322"/>
      <c r="D7" s="172"/>
      <c r="E7" s="310"/>
      <c r="F7" s="310"/>
      <c r="G7" s="310"/>
      <c r="H7" s="172"/>
      <c r="I7" s="310"/>
      <c r="J7" s="311"/>
      <c r="K7" s="322"/>
      <c r="L7" s="172"/>
      <c r="M7" s="310"/>
      <c r="N7" s="310"/>
      <c r="O7" s="310"/>
      <c r="P7" s="326"/>
      <c r="Q7" s="311"/>
      <c r="R7" s="164"/>
    </row>
    <row r="8" spans="1:18" ht="7.5" customHeight="1" x14ac:dyDescent="0.35">
      <c r="A8" s="163">
        <v>5</v>
      </c>
      <c r="B8" s="164"/>
      <c r="C8" s="322"/>
      <c r="D8" s="310"/>
      <c r="E8" s="310"/>
      <c r="F8" s="310"/>
      <c r="G8" s="310"/>
      <c r="H8" s="310"/>
      <c r="I8" s="310"/>
      <c r="J8" s="311"/>
      <c r="K8" s="322"/>
      <c r="L8" s="310"/>
      <c r="M8" s="310"/>
      <c r="N8" s="310"/>
      <c r="O8" s="310"/>
      <c r="P8" s="310"/>
      <c r="Q8" s="311"/>
      <c r="R8" s="164"/>
    </row>
    <row r="9" spans="1:18" ht="12.75" customHeight="1" x14ac:dyDescent="0.35">
      <c r="A9" s="163">
        <v>7</v>
      </c>
      <c r="B9" s="164"/>
      <c r="C9" s="364" t="s">
        <v>4067</v>
      </c>
      <c r="D9" s="310"/>
      <c r="E9" s="310"/>
      <c r="F9" s="310"/>
      <c r="G9" s="310"/>
      <c r="H9" s="310"/>
      <c r="I9" s="310"/>
      <c r="J9" s="311"/>
      <c r="K9" s="322"/>
      <c r="L9" s="310"/>
      <c r="M9" s="310"/>
      <c r="N9" s="310"/>
      <c r="O9" s="310"/>
      <c r="P9" s="310"/>
      <c r="Q9" s="311"/>
      <c r="R9" s="164"/>
    </row>
    <row r="10" spans="1:18" ht="12.75" customHeight="1" x14ac:dyDescent="0.35">
      <c r="A10" s="163">
        <v>8</v>
      </c>
      <c r="B10" s="164"/>
      <c r="C10" s="322"/>
      <c r="D10" s="263" t="s">
        <v>6246</v>
      </c>
      <c r="E10" s="310"/>
      <c r="F10" s="310"/>
      <c r="G10" s="310"/>
      <c r="H10" s="263" t="s">
        <v>6243</v>
      </c>
      <c r="I10" s="310"/>
      <c r="J10" s="311"/>
      <c r="K10" s="322"/>
      <c r="L10" s="263" t="s">
        <v>6259</v>
      </c>
      <c r="M10" s="310"/>
      <c r="N10" s="310"/>
      <c r="O10" s="310"/>
      <c r="P10" s="263" t="s">
        <v>6262</v>
      </c>
      <c r="Q10" s="311"/>
      <c r="R10" s="164"/>
    </row>
    <row r="11" spans="1:18" ht="12.75" customHeight="1" x14ac:dyDescent="0.35">
      <c r="A11" s="163">
        <v>9</v>
      </c>
      <c r="B11" s="164"/>
      <c r="C11" s="168">
        <f>A6</f>
        <v>3</v>
      </c>
      <c r="D11" s="1801" t="s">
        <v>6247</v>
      </c>
      <c r="E11" s="310"/>
      <c r="F11" s="310"/>
      <c r="G11" s="168">
        <f>A8</f>
        <v>5</v>
      </c>
      <c r="H11" s="263" t="s">
        <v>6244</v>
      </c>
      <c r="I11" s="310"/>
      <c r="J11" s="311"/>
      <c r="K11" s="168">
        <f>A19</f>
        <v>17</v>
      </c>
      <c r="L11" s="1801" t="s">
        <v>6247</v>
      </c>
      <c r="M11" s="310"/>
      <c r="N11" s="310"/>
      <c r="O11" s="168">
        <f>A22</f>
        <v>20</v>
      </c>
      <c r="P11" s="1801" t="s">
        <v>6247</v>
      </c>
      <c r="Q11" s="311"/>
      <c r="R11" s="164"/>
    </row>
    <row r="12" spans="1:18" ht="12.75" customHeight="1" x14ac:dyDescent="0.35">
      <c r="A12" s="163">
        <v>10</v>
      </c>
      <c r="B12" s="164"/>
      <c r="C12" s="322"/>
      <c r="D12" s="172"/>
      <c r="E12" s="310"/>
      <c r="F12" s="310"/>
      <c r="G12" s="310"/>
      <c r="H12" s="326"/>
      <c r="I12" s="310"/>
      <c r="J12" s="311"/>
      <c r="K12" s="322"/>
      <c r="L12" s="326"/>
      <c r="M12" s="310"/>
      <c r="N12" s="310"/>
      <c r="O12" s="310"/>
      <c r="P12" s="326"/>
      <c r="Q12" s="311"/>
      <c r="R12" s="164"/>
    </row>
    <row r="13" spans="1:18" ht="6" customHeight="1" x14ac:dyDescent="0.35">
      <c r="A13" s="163">
        <v>11</v>
      </c>
      <c r="B13" s="164"/>
      <c r="C13" s="322"/>
      <c r="D13" s="310"/>
      <c r="E13" s="310"/>
      <c r="F13" s="310"/>
      <c r="G13" s="310"/>
      <c r="H13" s="310"/>
      <c r="I13" s="310"/>
      <c r="J13" s="311"/>
      <c r="K13" s="322"/>
      <c r="L13" s="310"/>
      <c r="M13" s="310"/>
      <c r="N13" s="310"/>
      <c r="O13" s="310"/>
      <c r="P13" s="310"/>
      <c r="Q13" s="311"/>
      <c r="R13" s="164"/>
    </row>
    <row r="14" spans="1:18" ht="12.75" customHeight="1" x14ac:dyDescent="0.35">
      <c r="A14" s="163">
        <v>12</v>
      </c>
      <c r="B14" s="164"/>
      <c r="C14" s="322"/>
      <c r="D14" s="263" t="s">
        <v>6245</v>
      </c>
      <c r="E14" s="310"/>
      <c r="F14" s="310"/>
      <c r="G14" s="310"/>
      <c r="H14" s="310"/>
      <c r="I14" s="310"/>
      <c r="J14" s="311"/>
      <c r="K14" s="322"/>
      <c r="L14" s="263" t="s">
        <v>3913</v>
      </c>
      <c r="M14" s="310"/>
      <c r="N14" s="310"/>
      <c r="O14" s="310"/>
      <c r="P14" s="310"/>
      <c r="Q14" s="311"/>
      <c r="R14" s="164"/>
    </row>
    <row r="15" spans="1:18" ht="12.75" customHeight="1" x14ac:dyDescent="0.35">
      <c r="A15" s="163">
        <v>13</v>
      </c>
      <c r="B15" s="164"/>
      <c r="C15" s="168">
        <f>A7</f>
        <v>4</v>
      </c>
      <c r="D15" s="1801" t="s">
        <v>6247</v>
      </c>
      <c r="E15" s="310"/>
      <c r="F15" s="310"/>
      <c r="G15" s="310"/>
      <c r="H15" s="310"/>
      <c r="I15" s="310"/>
      <c r="J15" s="311"/>
      <c r="K15" s="168">
        <f>A20</f>
        <v>18</v>
      </c>
      <c r="L15" s="1801" t="s">
        <v>6247</v>
      </c>
      <c r="M15" s="310"/>
      <c r="N15" s="310"/>
      <c r="O15" s="310"/>
      <c r="P15" s="310"/>
      <c r="Q15" s="311"/>
      <c r="R15" s="164"/>
    </row>
    <row r="16" spans="1:18" ht="12.75" customHeight="1" x14ac:dyDescent="0.35">
      <c r="A16" s="163">
        <v>14</v>
      </c>
      <c r="B16" s="164"/>
      <c r="C16" s="322"/>
      <c r="D16" s="326"/>
      <c r="E16" s="310"/>
      <c r="F16" s="310"/>
      <c r="G16" s="310"/>
      <c r="H16" s="310"/>
      <c r="I16" s="310"/>
      <c r="J16" s="311"/>
      <c r="K16" s="322"/>
      <c r="L16" s="326"/>
      <c r="M16" s="310"/>
      <c r="N16" s="310"/>
      <c r="O16" s="310"/>
      <c r="P16" s="310"/>
      <c r="Q16" s="311"/>
      <c r="R16" s="164"/>
    </row>
    <row r="17" spans="1:18" ht="8.25" customHeight="1" x14ac:dyDescent="0.35">
      <c r="A17" s="163">
        <v>15</v>
      </c>
      <c r="B17" s="164"/>
      <c r="C17" s="322"/>
      <c r="D17" s="310"/>
      <c r="E17" s="310"/>
      <c r="F17" s="310"/>
      <c r="G17" s="310"/>
      <c r="H17" s="310"/>
      <c r="I17" s="310"/>
      <c r="J17" s="311"/>
      <c r="K17" s="322"/>
      <c r="L17" s="310"/>
      <c r="M17" s="310"/>
      <c r="N17" s="310"/>
      <c r="O17" s="310"/>
      <c r="P17" s="310"/>
      <c r="Q17" s="311"/>
      <c r="R17" s="164"/>
    </row>
    <row r="18" spans="1:18" ht="12.75" customHeight="1" x14ac:dyDescent="0.35">
      <c r="A18" s="163">
        <v>16</v>
      </c>
      <c r="B18" s="164"/>
      <c r="C18" s="342" t="s">
        <v>3213</v>
      </c>
      <c r="D18" s="310"/>
      <c r="E18" s="310"/>
      <c r="F18" s="310"/>
      <c r="G18" s="310"/>
      <c r="H18" s="310"/>
      <c r="I18" s="310"/>
      <c r="J18" s="311"/>
      <c r="K18" s="362" t="s">
        <v>4068</v>
      </c>
      <c r="L18" s="310"/>
      <c r="M18" s="310"/>
      <c r="N18" s="310"/>
      <c r="O18" s="310"/>
      <c r="P18" s="310"/>
      <c r="Q18" s="311"/>
      <c r="R18" s="164"/>
    </row>
    <row r="19" spans="1:18" ht="12.75" customHeight="1" x14ac:dyDescent="0.35">
      <c r="A19" s="163">
        <v>17</v>
      </c>
      <c r="B19" s="164"/>
      <c r="C19" s="322"/>
      <c r="D19" s="263" t="s">
        <v>6246</v>
      </c>
      <c r="E19" s="310"/>
      <c r="F19" s="310"/>
      <c r="G19" s="310"/>
      <c r="H19" s="263" t="s">
        <v>6245</v>
      </c>
      <c r="I19" s="310"/>
      <c r="J19" s="311"/>
      <c r="K19" s="322"/>
      <c r="L19" s="310"/>
      <c r="M19" s="310"/>
      <c r="N19" s="310"/>
      <c r="O19" s="310"/>
      <c r="P19" s="310" t="s">
        <v>1498</v>
      </c>
      <c r="Q19" s="311"/>
      <c r="R19" s="164"/>
    </row>
    <row r="20" spans="1:18" ht="12.75" customHeight="1" x14ac:dyDescent="0.35">
      <c r="A20" s="163">
        <v>18</v>
      </c>
      <c r="B20" s="164"/>
      <c r="C20" s="168">
        <f>A9</f>
        <v>7</v>
      </c>
      <c r="D20" s="263" t="s">
        <v>6249</v>
      </c>
      <c r="E20" s="310"/>
      <c r="F20" s="310"/>
      <c r="G20" s="168">
        <f>A13</f>
        <v>11</v>
      </c>
      <c r="H20" s="263" t="s">
        <v>6252</v>
      </c>
      <c r="I20" s="310"/>
      <c r="J20" s="311"/>
      <c r="K20" s="230">
        <f>A24</f>
        <v>22</v>
      </c>
      <c r="L20" s="317" t="s">
        <v>1497</v>
      </c>
      <c r="M20" s="310"/>
      <c r="N20" s="310"/>
      <c r="O20" s="230">
        <f>A25</f>
        <v>23</v>
      </c>
      <c r="P20" s="317" t="s">
        <v>4065</v>
      </c>
      <c r="Q20" s="311"/>
      <c r="R20" s="164"/>
    </row>
    <row r="21" spans="1:18" ht="12.75" customHeight="1" x14ac:dyDescent="0.35">
      <c r="A21" s="163">
        <v>19</v>
      </c>
      <c r="B21" s="164"/>
      <c r="C21" s="322"/>
      <c r="D21" s="172"/>
      <c r="E21" s="310"/>
      <c r="F21" s="310"/>
      <c r="G21" s="310"/>
      <c r="H21" s="172"/>
      <c r="I21" s="310"/>
      <c r="J21" s="311"/>
      <c r="K21" s="322"/>
      <c r="L21" s="326"/>
      <c r="M21" s="310"/>
      <c r="N21" s="310"/>
      <c r="O21" s="310"/>
      <c r="P21" s="326"/>
      <c r="Q21" s="311"/>
      <c r="R21" s="164"/>
    </row>
    <row r="22" spans="1:18" ht="6" customHeight="1" x14ac:dyDescent="0.35">
      <c r="A22" s="163">
        <v>20</v>
      </c>
      <c r="B22" s="164"/>
      <c r="C22" s="322"/>
      <c r="D22" s="310"/>
      <c r="E22" s="310"/>
      <c r="F22" s="310"/>
      <c r="G22" s="310"/>
      <c r="H22" s="310"/>
      <c r="I22" s="310"/>
      <c r="J22" s="311"/>
      <c r="K22" s="322"/>
      <c r="L22" s="310"/>
      <c r="M22" s="310"/>
      <c r="N22" s="310"/>
      <c r="O22" s="310"/>
      <c r="P22" s="310"/>
      <c r="Q22" s="311"/>
      <c r="R22" s="164"/>
    </row>
    <row r="23" spans="1:18" ht="12.75" customHeight="1" x14ac:dyDescent="0.35">
      <c r="A23" s="163">
        <v>21</v>
      </c>
      <c r="B23" s="164"/>
      <c r="C23" s="322"/>
      <c r="D23" s="263" t="s">
        <v>6245</v>
      </c>
      <c r="E23" s="310"/>
      <c r="F23" s="310"/>
      <c r="G23" s="310"/>
      <c r="H23" s="263" t="s">
        <v>6251</v>
      </c>
      <c r="I23" s="310"/>
      <c r="J23" s="311"/>
      <c r="K23" s="322"/>
      <c r="L23" s="310"/>
      <c r="M23" s="310"/>
      <c r="N23" s="310"/>
      <c r="O23" s="310"/>
      <c r="P23" s="310"/>
      <c r="Q23" s="311"/>
      <c r="R23" s="164"/>
    </row>
    <row r="24" spans="1:18" ht="12.75" customHeight="1" x14ac:dyDescent="0.35">
      <c r="A24" s="163">
        <v>22</v>
      </c>
      <c r="B24" s="164"/>
      <c r="C24" s="168">
        <f>A10</f>
        <v>8</v>
      </c>
      <c r="D24" s="317" t="s">
        <v>6249</v>
      </c>
      <c r="E24" s="310"/>
      <c r="F24" s="310"/>
      <c r="G24" s="168">
        <f>A14</f>
        <v>12</v>
      </c>
      <c r="H24" s="263" t="s">
        <v>6253</v>
      </c>
      <c r="I24" s="310"/>
      <c r="J24" s="311"/>
      <c r="K24" s="322"/>
      <c r="L24" s="310"/>
      <c r="M24" s="310"/>
      <c r="N24" s="310"/>
      <c r="O24" s="310"/>
      <c r="P24" s="310"/>
      <c r="Q24" s="311"/>
      <c r="R24" s="164"/>
    </row>
    <row r="25" spans="1:18" ht="12.75" customHeight="1" x14ac:dyDescent="0.35">
      <c r="A25" s="163">
        <v>23</v>
      </c>
      <c r="B25" s="164"/>
      <c r="C25" s="322"/>
      <c r="D25" s="172"/>
      <c r="E25" s="310"/>
      <c r="F25" s="310"/>
      <c r="G25" s="310"/>
      <c r="H25" s="2504"/>
      <c r="I25" s="310"/>
      <c r="J25" s="311"/>
      <c r="K25" s="362" t="s">
        <v>4069</v>
      </c>
      <c r="L25" s="310"/>
      <c r="M25" s="310"/>
      <c r="N25" s="310"/>
      <c r="O25" s="310"/>
      <c r="P25" s="310"/>
      <c r="Q25" s="311"/>
      <c r="R25" s="164"/>
    </row>
    <row r="26" spans="1:18" ht="6" customHeight="1" x14ac:dyDescent="0.35">
      <c r="A26" s="163">
        <v>24</v>
      </c>
      <c r="B26" s="164"/>
      <c r="C26" s="322"/>
      <c r="D26" s="310"/>
      <c r="E26" s="310"/>
      <c r="F26" s="310"/>
      <c r="G26" s="310"/>
      <c r="H26" s="310"/>
      <c r="I26" s="310"/>
      <c r="J26" s="311"/>
      <c r="K26" s="322"/>
      <c r="L26" s="310"/>
      <c r="M26" s="310"/>
      <c r="N26" s="310"/>
      <c r="O26" s="310"/>
      <c r="P26" s="310"/>
      <c r="Q26" s="311"/>
      <c r="R26" s="164"/>
    </row>
    <row r="27" spans="1:18" ht="12.75" customHeight="1" x14ac:dyDescent="0.35">
      <c r="A27" s="163">
        <v>25</v>
      </c>
      <c r="B27" s="164"/>
      <c r="C27" s="322"/>
      <c r="D27" s="263" t="s">
        <v>6251</v>
      </c>
      <c r="E27" s="310"/>
      <c r="F27" s="310"/>
      <c r="G27" s="310"/>
      <c r="H27" s="263"/>
      <c r="I27" s="310"/>
      <c r="J27" s="311"/>
      <c r="K27" s="322"/>
      <c r="L27" s="263" t="s">
        <v>6263</v>
      </c>
      <c r="M27" s="310"/>
      <c r="N27" s="310"/>
      <c r="O27" s="310"/>
      <c r="P27" s="310"/>
      <c r="Q27" s="311"/>
      <c r="R27" s="164"/>
    </row>
    <row r="28" spans="1:18" ht="12.75" customHeight="1" x14ac:dyDescent="0.35">
      <c r="A28" s="163">
        <v>26</v>
      </c>
      <c r="B28" s="164"/>
      <c r="C28" s="168">
        <f>A11</f>
        <v>9</v>
      </c>
      <c r="D28" s="263" t="s">
        <v>6250</v>
      </c>
      <c r="E28" s="310"/>
      <c r="F28" s="310"/>
      <c r="G28" s="168">
        <f>A15</f>
        <v>13</v>
      </c>
      <c r="H28" s="263" t="s">
        <v>6254</v>
      </c>
      <c r="I28" s="310"/>
      <c r="J28" s="311"/>
      <c r="K28" s="168">
        <f>A26</f>
        <v>24</v>
      </c>
      <c r="L28" s="263" t="s">
        <v>6264</v>
      </c>
      <c r="M28" s="310"/>
      <c r="N28" s="310"/>
      <c r="O28" s="310"/>
      <c r="P28" s="310"/>
      <c r="Q28" s="311"/>
      <c r="R28" s="164"/>
    </row>
    <row r="29" spans="1:18" x14ac:dyDescent="0.35">
      <c r="B29" s="164"/>
      <c r="C29" s="322"/>
      <c r="D29" s="172"/>
      <c r="E29" s="310"/>
      <c r="F29" s="310"/>
      <c r="G29" s="310"/>
      <c r="H29" s="172"/>
      <c r="I29" s="310"/>
      <c r="J29" s="311"/>
      <c r="K29" s="322"/>
      <c r="L29" s="326"/>
      <c r="M29" s="310"/>
      <c r="N29" s="310"/>
      <c r="O29" s="310"/>
      <c r="P29" s="310"/>
      <c r="Q29" s="311"/>
      <c r="R29" s="164"/>
    </row>
    <row r="30" spans="1:18" ht="6" customHeight="1" x14ac:dyDescent="0.35">
      <c r="B30" s="164"/>
      <c r="C30" s="322"/>
      <c r="D30" s="310"/>
      <c r="E30" s="310"/>
      <c r="F30" s="310"/>
      <c r="G30" s="310"/>
      <c r="H30" s="310"/>
      <c r="I30" s="310"/>
      <c r="J30" s="311"/>
      <c r="K30" s="322"/>
      <c r="L30" s="310"/>
      <c r="M30" s="310"/>
      <c r="N30" s="310"/>
      <c r="O30" s="310"/>
      <c r="P30" s="310"/>
      <c r="Q30" s="311"/>
      <c r="R30" s="164"/>
    </row>
    <row r="31" spans="1:18" x14ac:dyDescent="0.35">
      <c r="B31" s="164"/>
      <c r="C31" s="322"/>
      <c r="D31" s="263" t="s">
        <v>6246</v>
      </c>
      <c r="E31" s="310"/>
      <c r="F31" s="310"/>
      <c r="G31" s="310"/>
      <c r="H31" s="310"/>
      <c r="I31" s="310"/>
      <c r="J31" s="311"/>
      <c r="K31" s="322"/>
      <c r="L31" s="310"/>
      <c r="M31" s="310"/>
      <c r="N31" s="310"/>
      <c r="O31" s="310"/>
      <c r="P31" s="310"/>
      <c r="Q31" s="311"/>
      <c r="R31" s="164"/>
    </row>
    <row r="32" spans="1:18" x14ac:dyDescent="0.35">
      <c r="B32" s="164"/>
      <c r="C32" s="168">
        <f>A12</f>
        <v>10</v>
      </c>
      <c r="D32" s="263" t="s">
        <v>6252</v>
      </c>
      <c r="E32" s="310"/>
      <c r="F32" s="310"/>
      <c r="G32" s="168">
        <f>A16</f>
        <v>14</v>
      </c>
      <c r="H32" s="263" t="s">
        <v>5503</v>
      </c>
      <c r="I32" s="310"/>
      <c r="J32" s="311"/>
      <c r="K32" s="322"/>
      <c r="L32" s="310"/>
      <c r="M32" s="310"/>
      <c r="N32" s="310"/>
      <c r="O32" s="3112">
        <f>A28</f>
        <v>26</v>
      </c>
      <c r="P32" s="3113" t="s">
        <v>6995</v>
      </c>
      <c r="Q32" s="3114"/>
      <c r="R32" s="164"/>
    </row>
    <row r="33" spans="2:18" x14ac:dyDescent="0.35">
      <c r="B33" s="164"/>
      <c r="C33" s="322"/>
      <c r="D33" s="172"/>
      <c r="E33" s="310"/>
      <c r="F33" s="310"/>
      <c r="G33" s="310"/>
      <c r="H33" s="172"/>
      <c r="I33" s="310"/>
      <c r="J33" s="311"/>
      <c r="K33" s="362" t="s">
        <v>7025</v>
      </c>
      <c r="L33" s="310"/>
      <c r="M33" s="310"/>
      <c r="N33" s="310"/>
      <c r="O33" s="3115"/>
      <c r="P33" s="3116"/>
      <c r="Q33" s="3117"/>
      <c r="R33" s="164"/>
    </row>
    <row r="34" spans="2:18" ht="4.5" customHeight="1" x14ac:dyDescent="0.35">
      <c r="B34" s="164"/>
      <c r="C34" s="322"/>
      <c r="D34" s="310"/>
      <c r="E34" s="310"/>
      <c r="F34" s="310"/>
      <c r="G34" s="310"/>
      <c r="H34" s="310"/>
      <c r="I34" s="310"/>
      <c r="J34" s="311"/>
      <c r="K34" s="362"/>
      <c r="L34" s="310"/>
      <c r="M34" s="310"/>
      <c r="N34" s="310"/>
      <c r="O34" s="310"/>
      <c r="P34" s="310"/>
      <c r="Q34" s="311"/>
      <c r="R34" s="164"/>
    </row>
    <row r="35" spans="2:18" x14ac:dyDescent="0.35">
      <c r="B35" s="164"/>
      <c r="C35" s="322"/>
      <c r="D35" s="310"/>
      <c r="E35" s="310"/>
      <c r="F35" s="310"/>
      <c r="G35" s="310"/>
      <c r="H35" s="263" t="s">
        <v>6255</v>
      </c>
      <c r="I35" s="310"/>
      <c r="J35" s="311"/>
      <c r="K35" s="322"/>
      <c r="L35" s="310"/>
      <c r="M35" s="310"/>
      <c r="N35" s="310"/>
      <c r="O35" s="310"/>
      <c r="P35" s="310"/>
      <c r="Q35" s="311"/>
      <c r="R35" s="164"/>
    </row>
    <row r="36" spans="2:18" x14ac:dyDescent="0.35">
      <c r="B36" s="164"/>
      <c r="C36" s="322"/>
      <c r="D36" s="310"/>
      <c r="E36" s="310"/>
      <c r="F36" s="310"/>
      <c r="G36" s="168">
        <f>A17</f>
        <v>15</v>
      </c>
      <c r="H36" s="263" t="s">
        <v>6256</v>
      </c>
      <c r="I36" s="310"/>
      <c r="J36" s="311"/>
      <c r="K36" s="230">
        <f>A27</f>
        <v>25</v>
      </c>
      <c r="L36" s="1519" t="s">
        <v>7687</v>
      </c>
      <c r="M36" s="1847"/>
      <c r="N36" s="1847"/>
      <c r="O36" s="1847"/>
      <c r="P36" s="1847"/>
      <c r="Q36" s="310"/>
      <c r="R36" s="164"/>
    </row>
    <row r="37" spans="2:18" x14ac:dyDescent="0.35">
      <c r="B37" s="164"/>
      <c r="C37" s="322"/>
      <c r="D37" s="310"/>
      <c r="E37" s="310"/>
      <c r="F37" s="310"/>
      <c r="G37" s="310"/>
      <c r="H37" s="172"/>
      <c r="I37" s="310"/>
      <c r="J37" s="311"/>
      <c r="K37" s="322"/>
      <c r="L37" s="326"/>
      <c r="M37" s="310"/>
      <c r="N37" s="310"/>
      <c r="O37" s="310"/>
      <c r="P37" s="310"/>
      <c r="Q37" s="310"/>
      <c r="R37" s="164"/>
    </row>
    <row r="38" spans="2:18" x14ac:dyDescent="0.35">
      <c r="B38" s="164"/>
      <c r="C38" s="322"/>
      <c r="D38" s="310"/>
      <c r="E38" s="310"/>
      <c r="F38" s="310"/>
      <c r="G38" s="310"/>
      <c r="H38" s="310"/>
      <c r="I38" s="310"/>
      <c r="J38" s="311"/>
      <c r="K38" s="322"/>
      <c r="L38" s="310"/>
      <c r="M38" s="310"/>
      <c r="N38" s="310"/>
      <c r="O38" s="310"/>
      <c r="P38" s="310"/>
      <c r="Q38" s="311"/>
      <c r="R38" s="164"/>
    </row>
    <row r="39" spans="2:18" ht="6.75" customHeight="1" x14ac:dyDescent="0.35">
      <c r="B39" s="164"/>
      <c r="C39" s="323"/>
      <c r="D39" s="324"/>
      <c r="E39" s="324"/>
      <c r="F39" s="324"/>
      <c r="G39" s="324"/>
      <c r="H39" s="324"/>
      <c r="I39" s="324"/>
      <c r="J39" s="325"/>
      <c r="K39" s="323"/>
      <c r="L39" s="324"/>
      <c r="M39" s="324"/>
      <c r="N39" s="324"/>
      <c r="O39" s="324"/>
      <c r="P39" s="324"/>
      <c r="Q39" s="325"/>
      <c r="R39" s="164"/>
    </row>
    <row r="40" spans="2:18" x14ac:dyDescent="0.35">
      <c r="B40" s="164"/>
      <c r="C40" s="164"/>
      <c r="D40" s="164"/>
      <c r="E40" s="164"/>
      <c r="F40" s="164"/>
      <c r="G40" s="164"/>
      <c r="H40" s="164"/>
      <c r="I40" s="164"/>
      <c r="J40" s="164"/>
      <c r="K40" s="164"/>
      <c r="L40" s="164"/>
      <c r="M40" s="164"/>
      <c r="N40" s="164"/>
      <c r="O40" s="164"/>
      <c r="P40" s="164"/>
      <c r="Q40" s="164"/>
      <c r="R40" s="164"/>
    </row>
  </sheetData>
  <phoneticPr fontId="68" type="noConversion"/>
  <pageMargins left="0.196850393700787" right="0.196850393700787" top="0.196850393700787" bottom="0.196850393700787" header="0" footer="0"/>
  <pageSetup paperSize="9" orientation="landscape"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U47"/>
  <sheetViews>
    <sheetView showGridLines="0" showRowColHeaders="0" topLeftCell="B1" workbookViewId="0">
      <selection activeCell="G40" sqref="G40"/>
    </sheetView>
  </sheetViews>
  <sheetFormatPr defaultColWidth="9.1328125" defaultRowHeight="11.65" x14ac:dyDescent="0.35"/>
  <cols>
    <col min="1" max="1" width="5.1328125" style="206" hidden="1" customWidth="1"/>
    <col min="2" max="3" width="5" style="206" customWidth="1"/>
    <col min="4" max="4" width="14" style="206" customWidth="1"/>
    <col min="5" max="5" width="9.1328125" style="206"/>
    <col min="6" max="6" width="29.59765625" style="206" customWidth="1"/>
    <col min="7" max="7" width="5" style="206" customWidth="1"/>
    <col min="8" max="8" width="13.59765625" style="206" customWidth="1"/>
    <col min="9" max="9" width="9.1328125" style="206" customWidth="1"/>
    <col min="10" max="10" width="29.265625" style="206" customWidth="1"/>
    <col min="11" max="11" width="2.1328125" style="206" customWidth="1"/>
    <col min="12" max="12" width="5.1328125" style="206" customWidth="1"/>
    <col min="13" max="13" width="14" style="206" customWidth="1"/>
    <col min="14" max="14" width="9.1328125" style="206"/>
    <col min="15" max="15" width="11.59765625" style="206" customWidth="1"/>
    <col min="16" max="16" width="5" style="206" customWidth="1"/>
    <col min="17" max="17" width="13.59765625" style="206" customWidth="1"/>
    <col min="18" max="18" width="9.1328125" style="206"/>
    <col min="19" max="19" width="38" style="206" customWidth="1"/>
    <col min="20" max="20" width="5" style="206" customWidth="1"/>
    <col min="21" max="16384" width="9.1328125" style="206"/>
  </cols>
  <sheetData>
    <row r="1" spans="1:21" x14ac:dyDescent="0.35">
      <c r="A1" s="910" t="s">
        <v>2951</v>
      </c>
      <c r="B1" s="164"/>
      <c r="C1" s="164"/>
      <c r="D1" s="164"/>
      <c r="E1" s="164"/>
      <c r="F1" s="164"/>
      <c r="G1" s="164"/>
      <c r="H1" s="164"/>
      <c r="I1" s="164"/>
      <c r="J1" s="164"/>
      <c r="K1" s="1695"/>
      <c r="L1" s="164"/>
      <c r="M1" s="1690"/>
      <c r="N1" s="1690"/>
      <c r="O1" s="1690"/>
      <c r="P1" s="1690"/>
      <c r="Q1" s="1690"/>
      <c r="R1" s="1690"/>
      <c r="S1" s="1690"/>
      <c r="T1" s="1690"/>
      <c r="U1" s="1690"/>
    </row>
    <row r="2" spans="1:21" ht="13.15" x14ac:dyDescent="0.4">
      <c r="A2" s="910">
        <v>3</v>
      </c>
      <c r="B2" s="164"/>
      <c r="C2" s="231" t="s">
        <v>1639</v>
      </c>
      <c r="D2" s="180"/>
      <c r="E2" s="180"/>
      <c r="F2" s="180"/>
      <c r="G2" s="180"/>
      <c r="H2" s="180"/>
      <c r="I2" s="1693"/>
      <c r="J2" s="1020" t="s">
        <v>2951</v>
      </c>
      <c r="K2" s="1786"/>
      <c r="L2" s="1788" t="s">
        <v>5642</v>
      </c>
      <c r="M2" s="180"/>
      <c r="N2" s="180"/>
      <c r="O2" s="180"/>
      <c r="P2" s="180"/>
      <c r="Q2" s="180"/>
      <c r="R2" s="1693"/>
      <c r="S2" s="1020"/>
      <c r="T2" s="1690"/>
      <c r="U2" s="1690"/>
    </row>
    <row r="3" spans="1:21" x14ac:dyDescent="0.35">
      <c r="A3" s="910">
        <v>4</v>
      </c>
      <c r="B3" s="164"/>
      <c r="C3" s="374" t="s">
        <v>5636</v>
      </c>
      <c r="D3" s="166"/>
      <c r="E3" s="166"/>
      <c r="F3" s="166"/>
      <c r="G3" s="199"/>
      <c r="H3" s="366"/>
      <c r="I3" s="366"/>
      <c r="J3" s="183"/>
      <c r="K3" s="1787"/>
      <c r="L3" s="1785" t="str">
        <f>"Losses set against "&amp;tax_year&amp;" capital gains"</f>
        <v>Losses set against 2017-18 capital gains</v>
      </c>
      <c r="M3" s="166"/>
      <c r="N3" s="166"/>
      <c r="O3" s="166"/>
      <c r="P3" s="199"/>
      <c r="Q3" s="366"/>
      <c r="R3" s="366"/>
      <c r="S3" s="183"/>
      <c r="T3" s="1690"/>
      <c r="U3" s="1690"/>
    </row>
    <row r="4" spans="1:21" x14ac:dyDescent="0.35">
      <c r="A4" s="910">
        <v>5</v>
      </c>
      <c r="B4" s="164"/>
      <c r="C4" s="1610">
        <f>A5</f>
        <v>6</v>
      </c>
      <c r="D4" s="1611" t="s">
        <v>6265</v>
      </c>
      <c r="E4" s="1140"/>
      <c r="F4" s="1140"/>
      <c r="G4" s="1610">
        <f>A8</f>
        <v>9</v>
      </c>
      <c r="H4" s="1611" t="s">
        <v>5638</v>
      </c>
      <c r="I4" s="1611"/>
      <c r="J4" s="1464"/>
      <c r="K4" s="1787"/>
      <c r="L4" s="1610">
        <f>A40</f>
        <v>45</v>
      </c>
      <c r="M4" s="166" t="s">
        <v>5797</v>
      </c>
      <c r="N4" s="166"/>
      <c r="O4" s="365"/>
      <c r="P4" s="1610">
        <f>A41</f>
        <v>46</v>
      </c>
      <c r="Q4" s="1140" t="str">
        <f>"Income losses of "&amp;tax_year&amp;" set against gains"</f>
        <v>Income losses of 2017-18 set against gains</v>
      </c>
      <c r="R4" s="1140"/>
      <c r="S4" s="1464"/>
      <c r="T4" s="1690"/>
      <c r="U4" s="1690"/>
    </row>
    <row r="5" spans="1:21" x14ac:dyDescent="0.35">
      <c r="A5" s="488">
        <v>6</v>
      </c>
      <c r="B5" s="164"/>
      <c r="C5" s="367"/>
      <c r="D5" s="173"/>
      <c r="E5" s="166"/>
      <c r="F5" s="365"/>
      <c r="G5" s="365"/>
      <c r="H5" s="326"/>
      <c r="I5" s="1691" t="s">
        <v>5639</v>
      </c>
      <c r="J5" s="1464"/>
      <c r="K5" s="1787"/>
      <c r="L5" s="182"/>
      <c r="M5" s="173"/>
      <c r="N5" s="1689"/>
      <c r="O5" s="1689"/>
      <c r="P5" s="166"/>
      <c r="Q5" s="326"/>
      <c r="R5" s="166"/>
      <c r="S5" s="183"/>
      <c r="T5" s="1690"/>
      <c r="U5" s="1690"/>
    </row>
    <row r="6" spans="1:21" x14ac:dyDescent="0.35">
      <c r="A6" s="488">
        <v>7</v>
      </c>
      <c r="B6" s="164"/>
      <c r="C6" s="182"/>
      <c r="D6" s="166"/>
      <c r="E6" s="166"/>
      <c r="F6" s="166"/>
      <c r="G6" s="199"/>
      <c r="H6" s="366"/>
      <c r="I6" s="366"/>
      <c r="J6" s="183"/>
      <c r="K6" s="1787"/>
      <c r="L6" s="1785"/>
      <c r="M6" s="1689"/>
      <c r="N6" s="1689"/>
      <c r="O6" s="1689"/>
      <c r="P6" s="1698"/>
      <c r="Q6" s="207"/>
      <c r="R6" s="166"/>
      <c r="S6" s="183"/>
      <c r="T6" s="1690"/>
      <c r="U6" s="1690"/>
    </row>
    <row r="7" spans="1:21" x14ac:dyDescent="0.35">
      <c r="A7" s="164">
        <v>8</v>
      </c>
      <c r="B7" s="1690"/>
      <c r="C7" s="1610">
        <f>A6</f>
        <v>7</v>
      </c>
      <c r="D7" s="1611" t="s">
        <v>6222</v>
      </c>
      <c r="E7" s="1140"/>
      <c r="F7" s="1140"/>
      <c r="G7" s="1610">
        <f>A9</f>
        <v>10</v>
      </c>
      <c r="H7" s="1611" t="str">
        <f>"Tax on gains in box "&amp;G4&amp;" already charged"</f>
        <v>Tax on gains in box 9 already charged</v>
      </c>
      <c r="I7" s="1506"/>
      <c r="J7" s="1464"/>
      <c r="K7" s="1787"/>
      <c r="L7" s="1785" t="str">
        <f>tax_year&amp;" capital losses - other information"</f>
        <v>2017-18 capital losses - other information</v>
      </c>
      <c r="M7" s="166"/>
      <c r="N7" s="166"/>
      <c r="O7" s="166"/>
      <c r="P7" s="199"/>
      <c r="Q7" s="366"/>
      <c r="R7" s="366"/>
      <c r="S7" s="183"/>
      <c r="T7" s="1690"/>
      <c r="U7" s="1690"/>
    </row>
    <row r="8" spans="1:21" x14ac:dyDescent="0.35">
      <c r="A8" s="530">
        <v>9</v>
      </c>
      <c r="B8" s="1690"/>
      <c r="C8" s="367"/>
      <c r="D8" s="326"/>
      <c r="E8" s="166"/>
      <c r="F8" s="166"/>
      <c r="G8" s="365"/>
      <c r="H8" s="326"/>
      <c r="I8" s="1689"/>
      <c r="J8" s="1696"/>
      <c r="K8" s="1787"/>
      <c r="L8" s="1785"/>
      <c r="M8" s="1689"/>
      <c r="N8" s="166"/>
      <c r="O8" s="365"/>
      <c r="P8" s="1610">
        <f>A43</f>
        <v>48</v>
      </c>
      <c r="Q8" s="1611" t="s">
        <v>6227</v>
      </c>
      <c r="R8" s="1140"/>
      <c r="S8" s="1464"/>
      <c r="T8" s="1690"/>
      <c r="U8" s="1690"/>
    </row>
    <row r="9" spans="1:21" x14ac:dyDescent="0.35">
      <c r="A9" s="164">
        <v>10</v>
      </c>
      <c r="B9" s="1690"/>
      <c r="C9" s="182"/>
      <c r="D9" s="1689"/>
      <c r="E9" s="1689"/>
      <c r="F9" s="1689"/>
      <c r="G9" s="1689"/>
      <c r="H9" s="1689"/>
      <c r="I9" s="1689"/>
      <c r="J9" s="183"/>
      <c r="K9" s="1787"/>
      <c r="L9" s="1785"/>
      <c r="M9" s="1689"/>
      <c r="N9" s="1689"/>
      <c r="O9" s="1689"/>
      <c r="P9" s="166"/>
      <c r="Q9" s="326"/>
      <c r="R9" s="166"/>
      <c r="S9" s="183"/>
      <c r="T9" s="1690"/>
      <c r="U9" s="1690"/>
    </row>
    <row r="10" spans="1:21" x14ac:dyDescent="0.35">
      <c r="A10" s="164">
        <v>11</v>
      </c>
      <c r="B10" s="164"/>
      <c r="C10" s="182"/>
      <c r="D10" s="1689"/>
      <c r="E10" s="1689"/>
      <c r="F10" s="1689"/>
      <c r="G10" s="1610">
        <f>A11</f>
        <v>12</v>
      </c>
      <c r="H10" s="1611" t="s">
        <v>5803</v>
      </c>
      <c r="I10" s="1506"/>
      <c r="J10" s="1464"/>
      <c r="K10" s="1787"/>
      <c r="L10" s="1785"/>
      <c r="M10" s="1689"/>
      <c r="N10" s="1689"/>
      <c r="O10" s="1689"/>
      <c r="P10" s="1698"/>
      <c r="Q10" s="207"/>
      <c r="R10" s="166"/>
      <c r="S10" s="183"/>
      <c r="T10" s="1690"/>
      <c r="U10" s="1690"/>
    </row>
    <row r="11" spans="1:21" x14ac:dyDescent="0.35">
      <c r="A11" s="164">
        <v>12</v>
      </c>
      <c r="B11" s="164"/>
      <c r="C11" s="182"/>
      <c r="D11" s="1689"/>
      <c r="E11" s="1689"/>
      <c r="F11" s="1689"/>
      <c r="G11" s="365"/>
      <c r="H11" s="326"/>
      <c r="I11" s="1689"/>
      <c r="J11" s="183"/>
      <c r="K11" s="1787"/>
      <c r="L11" s="1785" t="s">
        <v>5801</v>
      </c>
      <c r="M11" s="1689"/>
      <c r="N11" s="1689"/>
      <c r="O11" s="1689"/>
      <c r="P11" s="1689"/>
      <c r="Q11" s="1689"/>
      <c r="R11" s="1689"/>
      <c r="S11" s="183"/>
      <c r="T11" s="1690"/>
      <c r="U11" s="1690"/>
    </row>
    <row r="12" spans="1:21" x14ac:dyDescent="0.35">
      <c r="A12" s="164">
        <v>13</v>
      </c>
      <c r="B12" s="164"/>
      <c r="C12" s="182"/>
      <c r="D12" s="1689"/>
      <c r="E12" s="1689"/>
      <c r="F12" s="1689"/>
      <c r="G12" s="1689"/>
      <c r="H12" s="1689"/>
      <c r="I12" s="1689"/>
      <c r="J12" s="183"/>
      <c r="K12" s="1787"/>
      <c r="L12" s="1785"/>
      <c r="M12" s="1689"/>
      <c r="N12" s="166"/>
      <c r="O12" s="166"/>
      <c r="P12" s="1610">
        <f>A45</f>
        <v>50</v>
      </c>
      <c r="Q12" s="207" t="s">
        <v>5811</v>
      </c>
      <c r="R12" s="1689"/>
      <c r="S12" s="183"/>
      <c r="T12" s="1690"/>
      <c r="U12" s="1690"/>
    </row>
    <row r="13" spans="1:21" x14ac:dyDescent="0.35">
      <c r="A13" s="164">
        <v>14</v>
      </c>
      <c r="B13" s="164"/>
      <c r="C13" s="374" t="s">
        <v>5637</v>
      </c>
      <c r="D13" s="166"/>
      <c r="E13" s="166"/>
      <c r="F13" s="166"/>
      <c r="G13" s="166"/>
      <c r="H13" s="166"/>
      <c r="I13" s="166"/>
      <c r="J13" s="183"/>
      <c r="K13" s="1787"/>
      <c r="L13" s="1785"/>
      <c r="M13" s="1689"/>
      <c r="N13" s="365"/>
      <c r="O13" s="166"/>
      <c r="P13" s="166"/>
      <c r="Q13" s="173"/>
      <c r="R13" s="1689"/>
      <c r="S13" s="183"/>
      <c r="T13" s="1690"/>
      <c r="U13" s="1690"/>
    </row>
    <row r="14" spans="1:21" x14ac:dyDescent="0.35">
      <c r="A14" s="164">
        <v>15</v>
      </c>
      <c r="B14" s="164"/>
      <c r="C14" s="1610">
        <f>A16</f>
        <v>17</v>
      </c>
      <c r="D14" s="1611" t="s">
        <v>6223</v>
      </c>
      <c r="E14" s="1692"/>
      <c r="F14" s="1692"/>
      <c r="G14" s="1610">
        <f>A18</f>
        <v>19</v>
      </c>
      <c r="H14" s="1611" t="s">
        <v>5643</v>
      </c>
      <c r="I14" s="1692"/>
      <c r="J14" s="1464"/>
      <c r="K14" s="1787"/>
      <c r="L14" s="1785" t="s">
        <v>5802</v>
      </c>
      <c r="M14" s="1689"/>
      <c r="N14" s="1689"/>
      <c r="O14" s="1689"/>
      <c r="P14" s="1689"/>
      <c r="Q14" s="1689"/>
      <c r="R14" s="1689"/>
      <c r="S14" s="183"/>
      <c r="T14" s="1690"/>
      <c r="U14" s="1690"/>
    </row>
    <row r="15" spans="1:21" x14ac:dyDescent="0.35">
      <c r="A15" s="164">
        <v>16</v>
      </c>
      <c r="B15" s="164"/>
      <c r="C15" s="367"/>
      <c r="D15" s="326"/>
      <c r="E15" s="166"/>
      <c r="F15" s="166"/>
      <c r="G15" s="365"/>
      <c r="H15" s="326"/>
      <c r="I15" s="166"/>
      <c r="J15" s="183"/>
      <c r="K15" s="1787"/>
      <c r="L15" s="1610">
        <f>A46</f>
        <v>51</v>
      </c>
      <c r="M15" s="207" t="s">
        <v>5798</v>
      </c>
      <c r="N15" s="166"/>
      <c r="O15" s="166"/>
      <c r="P15" s="1610">
        <f>A47</f>
        <v>52</v>
      </c>
      <c r="Q15" s="207" t="s">
        <v>5307</v>
      </c>
      <c r="R15" s="166"/>
      <c r="S15" s="183"/>
      <c r="T15" s="1690"/>
      <c r="U15" s="1690"/>
    </row>
    <row r="16" spans="1:21" x14ac:dyDescent="0.35">
      <c r="A16" s="530">
        <v>17</v>
      </c>
      <c r="B16" s="164"/>
      <c r="C16" s="182"/>
      <c r="D16" s="166"/>
      <c r="E16" s="166"/>
      <c r="F16" s="166"/>
      <c r="G16" s="166"/>
      <c r="H16" s="166"/>
      <c r="I16" s="166"/>
      <c r="J16" s="183"/>
      <c r="K16" s="1787"/>
      <c r="L16" s="367"/>
      <c r="M16" s="173"/>
      <c r="N16" s="365"/>
      <c r="O16" s="166"/>
      <c r="P16" s="166"/>
      <c r="Q16" s="173"/>
      <c r="R16" s="166"/>
      <c r="S16" s="183"/>
      <c r="T16" s="1690"/>
      <c r="U16" s="1690"/>
    </row>
    <row r="17" spans="1:21" x14ac:dyDescent="0.35">
      <c r="A17" s="530">
        <v>18</v>
      </c>
      <c r="B17" s="164"/>
      <c r="C17" s="1610">
        <f>A17</f>
        <v>18</v>
      </c>
      <c r="D17" s="1611" t="s">
        <v>5315</v>
      </c>
      <c r="E17" s="1506"/>
      <c r="F17" s="1506"/>
      <c r="G17" s="166"/>
      <c r="H17" s="166"/>
      <c r="I17" s="166"/>
      <c r="J17" s="183"/>
      <c r="K17" s="1787"/>
      <c r="L17" s="187"/>
      <c r="M17" s="188"/>
      <c r="N17" s="188"/>
      <c r="O17" s="188"/>
      <c r="P17" s="213"/>
      <c r="Q17" s="188"/>
      <c r="R17" s="188"/>
      <c r="S17" s="189"/>
      <c r="T17" s="1690"/>
      <c r="U17" s="1690"/>
    </row>
    <row r="18" spans="1:21" x14ac:dyDescent="0.35">
      <c r="A18" s="530">
        <v>19</v>
      </c>
      <c r="B18" s="164"/>
      <c r="C18" s="367"/>
      <c r="D18" s="326"/>
      <c r="E18" s="166"/>
      <c r="F18" s="166"/>
      <c r="G18" s="166"/>
      <c r="H18" s="166"/>
      <c r="I18" s="166"/>
      <c r="J18" s="183"/>
      <c r="K18" s="1787"/>
      <c r="L18" s="1690"/>
      <c r="M18" s="1690"/>
      <c r="N18" s="1690"/>
      <c r="O18" s="1690"/>
      <c r="P18" s="1690"/>
      <c r="Q18" s="1690"/>
      <c r="R18" s="1690"/>
      <c r="S18" s="1690"/>
      <c r="T18" s="1690"/>
      <c r="U18" s="1690"/>
    </row>
    <row r="19" spans="1:21" x14ac:dyDescent="0.35">
      <c r="A19" s="85">
        <v>20</v>
      </c>
      <c r="B19" s="164"/>
      <c r="C19" s="182"/>
      <c r="D19" s="166"/>
      <c r="E19" s="166"/>
      <c r="F19" s="166"/>
      <c r="G19" s="166"/>
      <c r="H19" s="166"/>
      <c r="I19" s="166"/>
      <c r="J19" s="183"/>
      <c r="K19" s="1787"/>
      <c r="L19" s="1690"/>
      <c r="M19" s="1690"/>
      <c r="N19" s="1690"/>
      <c r="O19" s="1690"/>
      <c r="P19" s="1690"/>
      <c r="Q19" s="1690"/>
      <c r="R19" s="1690"/>
      <c r="S19" s="1690"/>
      <c r="T19" s="1690"/>
      <c r="U19" s="1690"/>
    </row>
    <row r="20" spans="1:21" x14ac:dyDescent="0.35">
      <c r="A20" s="85">
        <v>21</v>
      </c>
      <c r="B20" s="164"/>
      <c r="C20" s="182"/>
      <c r="D20" s="1689"/>
      <c r="E20" s="1689"/>
      <c r="F20" s="1689"/>
      <c r="G20" s="1610">
        <f>A21</f>
        <v>22</v>
      </c>
      <c r="H20" s="1611" t="s">
        <v>5804</v>
      </c>
      <c r="I20" s="1506"/>
      <c r="J20" s="1464"/>
      <c r="K20" s="1787"/>
      <c r="L20" s="164"/>
      <c r="M20" s="1690"/>
      <c r="N20" s="1690"/>
      <c r="O20" s="1690"/>
      <c r="P20" s="1690"/>
      <c r="Q20" s="1690"/>
      <c r="R20" s="1690"/>
      <c r="S20" s="1690"/>
      <c r="T20" s="1690"/>
      <c r="U20" s="1690"/>
    </row>
    <row r="21" spans="1:21" x14ac:dyDescent="0.35">
      <c r="A21" s="85">
        <v>22</v>
      </c>
      <c r="B21" s="164"/>
      <c r="C21" s="182"/>
      <c r="D21" s="1689"/>
      <c r="E21" s="1689"/>
      <c r="F21" s="1689"/>
      <c r="G21" s="365"/>
      <c r="H21" s="326"/>
      <c r="I21" s="1689"/>
      <c r="J21" s="183"/>
      <c r="K21" s="1787"/>
      <c r="L21" s="164"/>
      <c r="M21" s="1690"/>
      <c r="N21" s="1690"/>
      <c r="O21" s="1690"/>
      <c r="P21" s="1690"/>
      <c r="Q21" s="1690"/>
      <c r="R21" s="1690"/>
      <c r="S21" s="1690"/>
      <c r="T21" s="1690"/>
      <c r="U21" s="1690"/>
    </row>
    <row r="22" spans="1:21" x14ac:dyDescent="0.35">
      <c r="A22" s="85">
        <v>23</v>
      </c>
      <c r="B22" s="164"/>
      <c r="C22" s="182"/>
      <c r="D22" s="1689"/>
      <c r="E22" s="1689"/>
      <c r="F22" s="1689"/>
      <c r="G22" s="1689"/>
      <c r="H22" s="1689"/>
      <c r="I22" s="1689"/>
      <c r="J22" s="183"/>
      <c r="K22" s="1787"/>
      <c r="L22" s="164"/>
      <c r="M22" s="1690"/>
      <c r="N22" s="1690"/>
      <c r="O22" s="1690"/>
      <c r="P22" s="1690"/>
      <c r="Q22" s="1690"/>
      <c r="R22" s="1690"/>
      <c r="S22" s="1690"/>
      <c r="T22" s="1690"/>
      <c r="U22" s="1690"/>
    </row>
    <row r="23" spans="1:21" x14ac:dyDescent="0.35">
      <c r="A23" s="85">
        <v>24</v>
      </c>
      <c r="B23" s="164"/>
      <c r="C23" s="374" t="s">
        <v>5640</v>
      </c>
      <c r="D23" s="166"/>
      <c r="E23" s="166"/>
      <c r="F23" s="166"/>
      <c r="G23" s="166"/>
      <c r="H23" s="166"/>
      <c r="I23" s="166"/>
      <c r="J23" s="183"/>
      <c r="K23" s="1787"/>
      <c r="L23" s="164"/>
      <c r="M23" s="1690"/>
      <c r="N23" s="1690"/>
      <c r="O23" s="1690"/>
      <c r="P23" s="1690"/>
      <c r="Q23" s="1690"/>
      <c r="R23" s="1690"/>
      <c r="S23" s="1690"/>
      <c r="T23" s="1690"/>
      <c r="U23" s="1690"/>
    </row>
    <row r="24" spans="1:21" x14ac:dyDescent="0.35">
      <c r="A24" s="85">
        <v>25</v>
      </c>
      <c r="B24" s="164"/>
      <c r="C24" s="1610">
        <f>A25</f>
        <v>26</v>
      </c>
      <c r="D24" s="166" t="s">
        <v>5312</v>
      </c>
      <c r="E24" s="166"/>
      <c r="F24" s="166"/>
      <c r="G24" s="1610">
        <f>A26</f>
        <v>27</v>
      </c>
      <c r="H24" s="1611" t="s">
        <v>5643</v>
      </c>
      <c r="I24" s="1611"/>
      <c r="J24" s="183"/>
      <c r="K24" s="1787"/>
      <c r="L24" s="164"/>
      <c r="M24" s="1690"/>
      <c r="N24" s="1690"/>
      <c r="O24" s="1690"/>
      <c r="P24" s="1690"/>
      <c r="Q24" s="1690"/>
      <c r="R24" s="1690"/>
      <c r="S24" s="1690"/>
      <c r="T24" s="1690"/>
      <c r="U24" s="1690"/>
    </row>
    <row r="25" spans="1:21" x14ac:dyDescent="0.35">
      <c r="A25" s="530">
        <v>26</v>
      </c>
      <c r="B25" s="164"/>
      <c r="C25" s="367"/>
      <c r="D25" s="326"/>
      <c r="E25" s="166"/>
      <c r="F25" s="166"/>
      <c r="G25" s="365"/>
      <c r="H25" s="326"/>
      <c r="I25" s="166"/>
      <c r="J25" s="183"/>
      <c r="K25" s="1787"/>
      <c r="L25" s="1695"/>
      <c r="M25" s="1690"/>
      <c r="N25" s="1690"/>
      <c r="O25" s="1690"/>
      <c r="P25" s="1690"/>
      <c r="Q25" s="1690"/>
      <c r="R25" s="1690"/>
      <c r="S25" s="1690"/>
      <c r="T25" s="1690"/>
      <c r="U25" s="1690"/>
    </row>
    <row r="26" spans="1:21" x14ac:dyDescent="0.35">
      <c r="A26" s="530">
        <v>27</v>
      </c>
      <c r="B26" s="164"/>
      <c r="C26" s="182"/>
      <c r="D26" s="166"/>
      <c r="E26" s="166"/>
      <c r="F26" s="166"/>
      <c r="G26" s="166"/>
      <c r="H26" s="166"/>
      <c r="I26" s="166"/>
      <c r="J26" s="183"/>
      <c r="K26" s="1787"/>
      <c r="L26" s="1695"/>
      <c r="M26" s="1690"/>
      <c r="N26" s="1690"/>
      <c r="O26" s="1690"/>
      <c r="P26" s="1690"/>
      <c r="Q26" s="1690"/>
      <c r="R26" s="1690"/>
      <c r="S26" s="1690"/>
      <c r="T26" s="1690"/>
      <c r="U26" s="1690"/>
    </row>
    <row r="27" spans="1:21" x14ac:dyDescent="0.35">
      <c r="B27" s="1695"/>
      <c r="C27" s="182"/>
      <c r="D27" s="1689"/>
      <c r="E27" s="1689"/>
      <c r="F27" s="1689"/>
      <c r="G27" s="1610">
        <f>A28</f>
        <v>30</v>
      </c>
      <c r="H27" s="1611" t="s">
        <v>5805</v>
      </c>
      <c r="I27" s="1506"/>
      <c r="J27" s="1464"/>
      <c r="K27" s="1787"/>
      <c r="L27" s="1695"/>
      <c r="M27" s="1690"/>
      <c r="N27" s="1690"/>
      <c r="O27" s="1690"/>
      <c r="P27" s="1690"/>
      <c r="Q27" s="1690"/>
      <c r="R27" s="1690"/>
      <c r="S27" s="1690"/>
      <c r="T27" s="1690"/>
      <c r="U27" s="1690"/>
    </row>
    <row r="28" spans="1:21" x14ac:dyDescent="0.35">
      <c r="A28" s="1789">
        <v>30</v>
      </c>
      <c r="B28" s="1690"/>
      <c r="C28" s="182"/>
      <c r="D28" s="1689"/>
      <c r="E28" s="1689"/>
      <c r="F28" s="1689"/>
      <c r="G28" s="365"/>
      <c r="H28" s="326"/>
      <c r="I28" s="1689"/>
      <c r="J28" s="183"/>
      <c r="K28" s="1787"/>
      <c r="L28" s="1695"/>
      <c r="M28" s="1690"/>
      <c r="N28" s="1690"/>
      <c r="O28" s="1690"/>
      <c r="P28" s="1690"/>
      <c r="Q28" s="1690"/>
      <c r="R28" s="1690"/>
      <c r="S28" s="1690"/>
      <c r="T28" s="1690"/>
      <c r="U28" s="1690"/>
    </row>
    <row r="29" spans="1:21" x14ac:dyDescent="0.35">
      <c r="B29" s="1690"/>
      <c r="C29" s="182"/>
      <c r="D29" s="1689"/>
      <c r="E29" s="1689"/>
      <c r="F29" s="1689"/>
      <c r="G29" s="1689"/>
      <c r="H29" s="1689"/>
      <c r="I29" s="1689"/>
      <c r="J29" s="183"/>
      <c r="K29" s="1787"/>
      <c r="L29" s="1695"/>
      <c r="M29" s="1690"/>
      <c r="N29" s="1690"/>
      <c r="O29" s="1690"/>
      <c r="P29" s="1690"/>
      <c r="Q29" s="1690"/>
      <c r="R29" s="1690"/>
      <c r="S29" s="1690"/>
      <c r="T29" s="1690"/>
      <c r="U29" s="1690"/>
    </row>
    <row r="30" spans="1:21" x14ac:dyDescent="0.35">
      <c r="A30" s="1694">
        <v>34</v>
      </c>
      <c r="B30" s="1690"/>
      <c r="C30" s="374" t="s">
        <v>5641</v>
      </c>
      <c r="D30" s="166"/>
      <c r="E30" s="365"/>
      <c r="F30" s="365"/>
      <c r="G30" s="1689"/>
      <c r="H30" s="1689"/>
      <c r="I30" s="166"/>
      <c r="J30" s="183"/>
      <c r="K30" s="1787"/>
      <c r="L30" s="1695"/>
      <c r="M30" s="1690"/>
      <c r="N30" s="1690"/>
      <c r="O30" s="1690"/>
      <c r="P30" s="1690"/>
      <c r="Q30" s="1690"/>
      <c r="R30" s="1690"/>
      <c r="S30" s="1690"/>
      <c r="T30" s="1690"/>
      <c r="U30" s="1690"/>
    </row>
    <row r="31" spans="1:21" x14ac:dyDescent="0.35">
      <c r="A31" s="1694">
        <v>35</v>
      </c>
      <c r="B31" s="1690"/>
      <c r="C31" s="1610">
        <f>A30</f>
        <v>34</v>
      </c>
      <c r="D31" s="166" t="s">
        <v>5312</v>
      </c>
      <c r="E31" s="166"/>
      <c r="F31" s="365"/>
      <c r="G31" s="1689"/>
      <c r="H31" s="1689"/>
      <c r="I31" s="166"/>
      <c r="J31" s="1696"/>
      <c r="K31" s="1787"/>
      <c r="L31" s="1695"/>
      <c r="M31" s="1690"/>
      <c r="N31" s="1690"/>
      <c r="O31" s="1690"/>
      <c r="P31" s="1690"/>
      <c r="Q31" s="1690"/>
      <c r="R31" s="1690"/>
      <c r="S31" s="1690"/>
      <c r="T31" s="1690"/>
      <c r="U31" s="1690"/>
    </row>
    <row r="32" spans="1:21" x14ac:dyDescent="0.35">
      <c r="A32" s="1695"/>
      <c r="B32" s="1690"/>
      <c r="C32" s="367"/>
      <c r="D32" s="326"/>
      <c r="E32" s="365"/>
      <c r="F32" s="365"/>
      <c r="G32" s="1689"/>
      <c r="H32" s="1689"/>
      <c r="I32" s="166"/>
      <c r="J32" s="183"/>
      <c r="K32" s="1787"/>
      <c r="L32" s="1695"/>
      <c r="M32" s="1690"/>
      <c r="N32" s="1690"/>
      <c r="O32" s="1690"/>
      <c r="P32" s="1690"/>
      <c r="Q32" s="1690"/>
      <c r="R32" s="1690"/>
      <c r="S32" s="1690"/>
      <c r="T32" s="1690"/>
      <c r="U32" s="1690"/>
    </row>
    <row r="33" spans="1:21" x14ac:dyDescent="0.35">
      <c r="A33" s="1694">
        <v>38</v>
      </c>
      <c r="B33" s="1690"/>
      <c r="C33" s="182"/>
      <c r="D33" s="166"/>
      <c r="E33" s="166"/>
      <c r="F33" s="166"/>
      <c r="G33" s="166"/>
      <c r="H33" s="166"/>
      <c r="I33" s="166"/>
      <c r="J33" s="183"/>
      <c r="K33" s="1787"/>
      <c r="L33" s="1695"/>
      <c r="M33" s="1690"/>
      <c r="N33" s="1690"/>
      <c r="O33" s="1690"/>
      <c r="P33" s="1690"/>
      <c r="Q33" s="1690"/>
      <c r="R33" s="1690"/>
      <c r="S33" s="1690"/>
      <c r="T33" s="1690"/>
      <c r="U33" s="1690"/>
    </row>
    <row r="34" spans="1:21" x14ac:dyDescent="0.35">
      <c r="A34" s="1694">
        <v>39</v>
      </c>
      <c r="B34" s="1690"/>
      <c r="C34" s="1610">
        <f>A31</f>
        <v>35</v>
      </c>
      <c r="D34" s="1611" t="s">
        <v>5643</v>
      </c>
      <c r="E34" s="1611"/>
      <c r="F34" s="1689"/>
      <c r="G34" s="1610">
        <f>A33</f>
        <v>38</v>
      </c>
      <c r="H34" s="1611" t="s">
        <v>5806</v>
      </c>
      <c r="I34" s="1506"/>
      <c r="J34" s="1464"/>
      <c r="K34" s="1787"/>
      <c r="L34" s="1695"/>
      <c r="M34" s="1690"/>
      <c r="N34" s="1690"/>
      <c r="O34" s="1690"/>
      <c r="P34" s="1690"/>
      <c r="Q34" s="1690"/>
      <c r="R34" s="1690"/>
      <c r="S34" s="1690"/>
      <c r="T34" s="1690"/>
      <c r="U34" s="1690"/>
    </row>
    <row r="35" spans="1:21" x14ac:dyDescent="0.35">
      <c r="A35" s="1694">
        <v>40</v>
      </c>
      <c r="B35" s="1695"/>
      <c r="C35" s="367"/>
      <c r="D35" s="326"/>
      <c r="E35" s="166"/>
      <c r="F35" s="1689"/>
      <c r="G35" s="365"/>
      <c r="H35" s="326"/>
      <c r="I35" s="1689"/>
      <c r="J35" s="183"/>
      <c r="K35" s="1787"/>
      <c r="L35" s="1695"/>
      <c r="M35" s="1690"/>
      <c r="N35" s="1690"/>
      <c r="O35" s="1690"/>
      <c r="P35" s="1690"/>
      <c r="Q35" s="1690"/>
      <c r="R35" s="1690"/>
      <c r="S35" s="1690"/>
      <c r="T35" s="1690"/>
      <c r="U35" s="1690"/>
    </row>
    <row r="36" spans="1:21" x14ac:dyDescent="0.35">
      <c r="A36" s="1694">
        <v>41</v>
      </c>
      <c r="B36" s="1695"/>
      <c r="C36" s="182"/>
      <c r="D36" s="1689"/>
      <c r="E36" s="1689"/>
      <c r="F36" s="1689"/>
      <c r="G36" s="1689"/>
      <c r="H36" s="1689"/>
      <c r="I36" s="1689"/>
      <c r="J36" s="183"/>
      <c r="K36" s="1787"/>
      <c r="L36" s="1695"/>
      <c r="M36" s="1690"/>
      <c r="N36" s="1690"/>
      <c r="O36" s="1690"/>
      <c r="P36" s="1690"/>
      <c r="Q36" s="1690"/>
      <c r="R36" s="1690"/>
      <c r="S36" s="1690"/>
      <c r="T36" s="1690"/>
      <c r="U36" s="1690"/>
    </row>
    <row r="37" spans="1:21" x14ac:dyDescent="0.35">
      <c r="A37" s="1694">
        <v>42</v>
      </c>
      <c r="B37" s="1695"/>
      <c r="C37" s="1658">
        <f>A36</f>
        <v>41</v>
      </c>
      <c r="D37" s="166" t="str">
        <f>"Losses used against income - amount claimed against "&amp;tax_year</f>
        <v>Losses used against income - amount claimed against 2017-18</v>
      </c>
      <c r="E37" s="166"/>
      <c r="F37" s="166"/>
      <c r="G37" s="1689"/>
      <c r="H37" s="1689"/>
      <c r="I37" s="166"/>
      <c r="J37" s="183"/>
      <c r="K37" s="1787"/>
      <c r="L37" s="1695"/>
      <c r="M37" s="1690"/>
      <c r="N37" s="1690"/>
      <c r="O37" s="1690"/>
      <c r="P37" s="1690"/>
      <c r="Q37" s="1690"/>
      <c r="R37" s="1690"/>
      <c r="S37" s="1690"/>
      <c r="T37" s="1690"/>
      <c r="U37" s="1690"/>
    </row>
    <row r="38" spans="1:21" x14ac:dyDescent="0.35">
      <c r="A38" s="1694">
        <v>43</v>
      </c>
      <c r="B38" s="1695"/>
      <c r="C38" s="182"/>
      <c r="D38" s="1700"/>
      <c r="E38" s="1689"/>
      <c r="F38" s="1689"/>
      <c r="G38" s="1689"/>
      <c r="H38" s="1689"/>
      <c r="I38" s="166"/>
      <c r="J38" s="183"/>
      <c r="K38" s="1787"/>
      <c r="L38" s="1695"/>
      <c r="M38" s="1690"/>
      <c r="N38" s="1690"/>
      <c r="O38" s="1690"/>
      <c r="P38" s="1690"/>
      <c r="Q38" s="1690"/>
      <c r="R38" s="1690"/>
      <c r="S38" s="1690"/>
      <c r="T38" s="1690"/>
      <c r="U38" s="1690"/>
    </row>
    <row r="39" spans="1:21" x14ac:dyDescent="0.35">
      <c r="A39" s="1163">
        <v>44</v>
      </c>
      <c r="B39" s="1690"/>
      <c r="C39" s="182"/>
      <c r="D39" s="166"/>
      <c r="E39" s="166"/>
      <c r="F39" s="166"/>
      <c r="G39" s="166"/>
      <c r="H39" s="166"/>
      <c r="I39" s="166"/>
      <c r="J39" s="183"/>
      <c r="K39" s="1690"/>
      <c r="L39" s="1690"/>
      <c r="M39" s="1690"/>
      <c r="N39" s="1690"/>
      <c r="O39" s="1690"/>
      <c r="P39" s="1690"/>
      <c r="Q39" s="1690"/>
      <c r="R39" s="1690"/>
      <c r="S39" s="1690"/>
      <c r="T39" s="1690"/>
      <c r="U39" s="1690"/>
    </row>
    <row r="40" spans="1:21" x14ac:dyDescent="0.35">
      <c r="A40" s="1694">
        <v>45</v>
      </c>
      <c r="B40" s="1690"/>
      <c r="C40" s="1610">
        <f>A37</f>
        <v>42</v>
      </c>
      <c r="D40" s="1611" t="str">
        <f>"Amount in box "&amp;C37&amp;" to which EIS/SEIS relief"</f>
        <v>Amount in box 41 to which EIS/SEIS relief</v>
      </c>
      <c r="E40" s="166"/>
      <c r="F40" s="166"/>
      <c r="G40" s="1610">
        <f>A38</f>
        <v>43</v>
      </c>
      <c r="H40" s="166" t="str">
        <f>"Losses used against income - amount claimed against "&amp;last_year</f>
        <v>Losses used against income - amount claimed against 2016-17</v>
      </c>
      <c r="I40" s="166"/>
      <c r="J40" s="183"/>
      <c r="K40" s="1690"/>
      <c r="L40" s="1690"/>
      <c r="M40" s="1690"/>
      <c r="N40" s="1690"/>
      <c r="O40" s="1690"/>
      <c r="P40" s="1690"/>
      <c r="Q40" s="1690"/>
      <c r="R40" s="1690"/>
      <c r="S40" s="1690"/>
      <c r="T40" s="1690"/>
      <c r="U40" s="1690"/>
    </row>
    <row r="41" spans="1:21" x14ac:dyDescent="0.35">
      <c r="A41" s="530">
        <v>46</v>
      </c>
      <c r="B41" s="1690"/>
      <c r="C41" s="182"/>
      <c r="D41" s="326"/>
      <c r="E41" s="166"/>
      <c r="F41" s="166"/>
      <c r="G41" s="365"/>
      <c r="H41" s="326"/>
      <c r="I41" s="166"/>
      <c r="J41" s="183"/>
      <c r="K41" s="1690"/>
      <c r="L41" s="1690"/>
      <c r="M41" s="1690"/>
      <c r="N41" s="1690"/>
      <c r="O41" s="1690"/>
      <c r="P41" s="1690"/>
      <c r="Q41" s="1690"/>
      <c r="R41" s="1690"/>
      <c r="S41" s="1690"/>
      <c r="T41" s="1690"/>
      <c r="U41" s="1690"/>
    </row>
    <row r="42" spans="1:21" x14ac:dyDescent="0.35">
      <c r="A42" s="164">
        <v>47</v>
      </c>
      <c r="B42" s="1695"/>
      <c r="C42" s="187"/>
      <c r="D42" s="188"/>
      <c r="E42" s="188"/>
      <c r="F42" s="188"/>
      <c r="G42" s="213"/>
      <c r="H42" s="188"/>
      <c r="I42" s="188"/>
      <c r="J42" s="189"/>
      <c r="K42" s="1787"/>
      <c r="L42" s="1695"/>
      <c r="M42" s="1690"/>
      <c r="N42" s="1690"/>
      <c r="O42" s="1690"/>
      <c r="P42" s="1690"/>
      <c r="Q42" s="1690"/>
      <c r="R42" s="1690"/>
      <c r="S42" s="1690"/>
      <c r="T42" s="1690"/>
      <c r="U42" s="1690"/>
    </row>
    <row r="43" spans="1:21" x14ac:dyDescent="0.35">
      <c r="A43" s="530">
        <v>48</v>
      </c>
      <c r="B43" s="1695"/>
      <c r="C43" s="1690"/>
      <c r="D43" s="1690"/>
      <c r="E43" s="1690"/>
      <c r="F43" s="1690"/>
      <c r="G43" s="1690"/>
      <c r="H43" s="1690"/>
      <c r="I43" s="1690"/>
      <c r="J43" s="1690"/>
      <c r="K43" s="1787"/>
      <c r="L43" s="1695"/>
      <c r="M43" s="1690"/>
      <c r="N43" s="1690"/>
      <c r="O43" s="1690"/>
      <c r="P43" s="1690"/>
      <c r="Q43" s="1690"/>
      <c r="R43" s="1690"/>
      <c r="S43" s="1690"/>
      <c r="T43" s="1690"/>
      <c r="U43" s="1690"/>
    </row>
    <row r="44" spans="1:21" x14ac:dyDescent="0.35">
      <c r="A44" s="164">
        <v>49</v>
      </c>
      <c r="B44" s="1690"/>
      <c r="C44" s="1690"/>
      <c r="D44" s="1690"/>
      <c r="E44" s="1690"/>
      <c r="F44" s="1690"/>
      <c r="G44" s="1690"/>
      <c r="H44" s="1690"/>
      <c r="I44" s="1690"/>
      <c r="J44" s="1690"/>
      <c r="K44" s="1690"/>
      <c r="L44" s="1690"/>
      <c r="M44" s="1690"/>
      <c r="N44" s="1690"/>
      <c r="O44" s="1690"/>
      <c r="P44" s="1690"/>
      <c r="Q44" s="1690"/>
      <c r="R44" s="1690"/>
      <c r="S44" s="1690"/>
      <c r="T44" s="1690"/>
      <c r="U44" s="1690"/>
    </row>
    <row r="45" spans="1:21" x14ac:dyDescent="0.35">
      <c r="A45" s="530">
        <v>50</v>
      </c>
    </row>
    <row r="46" spans="1:21" x14ac:dyDescent="0.35">
      <c r="A46" s="530">
        <v>51</v>
      </c>
    </row>
    <row r="47" spans="1:21" x14ac:dyDescent="0.35">
      <c r="A47" s="1694">
        <v>52</v>
      </c>
    </row>
  </sheetData>
  <sheetProtection sheet="1" objects="1" scenarios="1"/>
  <phoneticPr fontId="68" type="noConversion"/>
  <pageMargins left="0.196850393700787" right="0.196850393700787" top="0.196850393700787" bottom="0.196850393700787" header="0" footer="0"/>
  <pageSetup paperSize="9" orientation="landscape" horizontalDpi="1200" verticalDpi="1200" r:id="rId1"/>
  <headerFooter alignWithMargins="0"/>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W33"/>
  <sheetViews>
    <sheetView showGridLines="0" showRowColHeaders="0" topLeftCell="B1" workbookViewId="0">
      <selection activeCell="L38" sqref="L38"/>
    </sheetView>
  </sheetViews>
  <sheetFormatPr defaultColWidth="9.1328125" defaultRowHeight="11.65" x14ac:dyDescent="0.35"/>
  <cols>
    <col min="1" max="1" width="3" style="163" hidden="1" customWidth="1"/>
    <col min="2" max="2" width="7.59765625" style="163" customWidth="1"/>
    <col min="3" max="4" width="5.265625" style="163" customWidth="1"/>
    <col min="5" max="5" width="12.1328125" style="163" customWidth="1"/>
    <col min="6" max="6" width="20.73046875" style="163" customWidth="1"/>
    <col min="7" max="7" width="4.86328125" style="163" customWidth="1"/>
    <col min="8" max="8" width="5.265625" style="163" customWidth="1"/>
    <col min="9" max="9" width="14.3984375" style="163" customWidth="1"/>
    <col min="10" max="10" width="17.3984375" style="163" customWidth="1"/>
    <col min="11" max="11" width="5.265625" style="163" customWidth="1"/>
    <col min="12" max="12" width="13.3984375" style="163" customWidth="1"/>
    <col min="13" max="13" width="3" style="163" customWidth="1"/>
    <col min="14" max="14" width="17.73046875" style="163" customWidth="1"/>
    <col min="15" max="15" width="7.265625" style="163" hidden="1" customWidth="1"/>
    <col min="16" max="16" width="20" style="163" hidden="1" customWidth="1"/>
    <col min="17" max="17" width="6.265625" style="163" hidden="1" customWidth="1"/>
    <col min="18" max="18" width="18.86328125" style="163" hidden="1" customWidth="1"/>
    <col min="19" max="16384" width="9.1328125" style="163"/>
  </cols>
  <sheetData>
    <row r="1" spans="1:23" ht="12.75" customHeight="1" x14ac:dyDescent="0.35">
      <c r="A1" s="163" t="s">
        <v>3569</v>
      </c>
      <c r="B1" s="164"/>
      <c r="C1" s="164"/>
      <c r="D1" s="164"/>
      <c r="E1" s="164"/>
      <c r="F1" s="164"/>
      <c r="G1" s="164"/>
      <c r="H1" s="164"/>
      <c r="I1" s="164"/>
      <c r="J1" s="164"/>
      <c r="K1" s="164"/>
      <c r="L1" s="164"/>
      <c r="M1" s="164"/>
      <c r="N1" s="164"/>
      <c r="O1" s="165"/>
      <c r="P1" s="165"/>
      <c r="Q1" s="165"/>
      <c r="R1" s="165"/>
      <c r="S1" s="165"/>
      <c r="T1" s="165"/>
      <c r="U1" s="165"/>
      <c r="V1" s="165"/>
      <c r="W1" s="165"/>
    </row>
    <row r="2" spans="1:23" ht="12.75" customHeight="1" x14ac:dyDescent="0.4">
      <c r="A2" s="163">
        <v>1</v>
      </c>
      <c r="B2" s="164"/>
      <c r="C2" s="371" t="s">
        <v>2964</v>
      </c>
      <c r="D2" s="180"/>
      <c r="E2" s="372"/>
      <c r="F2" s="202"/>
      <c r="G2" s="456" t="str">
        <f>NRD</f>
        <v>NRD</v>
      </c>
      <c r="H2" s="709"/>
      <c r="I2" s="372"/>
      <c r="J2" s="180"/>
      <c r="K2" s="180"/>
      <c r="L2" s="180"/>
      <c r="M2" s="456" t="s">
        <v>3569</v>
      </c>
      <c r="N2" s="164"/>
      <c r="O2" s="165"/>
      <c r="P2" s="165"/>
      <c r="Q2" s="165"/>
      <c r="R2" s="165"/>
      <c r="S2" s="165"/>
      <c r="T2" s="165"/>
      <c r="U2" s="165"/>
      <c r="V2" s="165"/>
      <c r="W2" s="165"/>
    </row>
    <row r="3" spans="1:23" ht="12.75" customHeight="1" x14ac:dyDescent="0.35">
      <c r="A3" s="163">
        <v>15</v>
      </c>
      <c r="B3" s="164"/>
      <c r="C3" s="182"/>
      <c r="D3" s="166"/>
      <c r="E3" s="166"/>
      <c r="F3" s="166"/>
      <c r="G3" s="183"/>
      <c r="H3" s="182"/>
      <c r="I3" s="166"/>
      <c r="J3" s="166"/>
      <c r="K3" s="166"/>
      <c r="L3" s="166"/>
      <c r="M3" s="183"/>
      <c r="N3" s="164"/>
      <c r="R3" s="165"/>
      <c r="S3" s="165"/>
      <c r="T3" s="165"/>
      <c r="U3" s="165"/>
      <c r="V3" s="165"/>
      <c r="W3" s="165"/>
    </row>
    <row r="4" spans="1:23" ht="12.75" customHeight="1" x14ac:dyDescent="0.35">
      <c r="A4" s="163">
        <v>16</v>
      </c>
      <c r="B4" s="164"/>
      <c r="C4" s="374" t="s">
        <v>2833</v>
      </c>
      <c r="D4" s="166"/>
      <c r="E4" s="166"/>
      <c r="F4" s="166"/>
      <c r="G4" s="183"/>
      <c r="H4" s="374" t="s">
        <v>2965</v>
      </c>
      <c r="I4" s="166"/>
      <c r="J4" s="166"/>
      <c r="K4" s="166"/>
      <c r="L4" s="166"/>
      <c r="M4" s="183"/>
      <c r="N4" s="164"/>
      <c r="O4" s="165"/>
      <c r="P4" s="369" t="str">
        <f>"box_"&amp;NRD&amp;C5</f>
        <v>box_NRD1</v>
      </c>
      <c r="Q4" s="368" t="b">
        <v>0</v>
      </c>
      <c r="R4" s="165"/>
      <c r="S4" s="165"/>
      <c r="T4" s="165"/>
      <c r="U4" s="165"/>
      <c r="V4" s="165"/>
      <c r="W4" s="165"/>
    </row>
    <row r="5" spans="1:23" ht="12.75" customHeight="1" x14ac:dyDescent="0.35">
      <c r="A5" s="163">
        <v>20</v>
      </c>
      <c r="B5" s="164"/>
      <c r="C5" s="170">
        <f>A2</f>
        <v>1</v>
      </c>
      <c r="D5" s="166"/>
      <c r="E5" s="166"/>
      <c r="F5" s="199"/>
      <c r="G5" s="375"/>
      <c r="H5" s="190">
        <f>NRD!A8</f>
        <v>28</v>
      </c>
      <c r="I5" s="174"/>
      <c r="J5" s="166"/>
      <c r="K5" s="166"/>
      <c r="L5" s="166"/>
      <c r="M5" s="183"/>
      <c r="N5" s="164"/>
      <c r="O5" s="165"/>
      <c r="P5" s="369" t="s">
        <v>3664</v>
      </c>
      <c r="Q5" s="370" t="b">
        <f>NOT(box_NRD1)</f>
        <v>1</v>
      </c>
      <c r="R5" s="165"/>
      <c r="S5" s="165"/>
      <c r="T5" s="165"/>
      <c r="U5" s="165"/>
      <c r="V5" s="165"/>
      <c r="W5" s="165"/>
    </row>
    <row r="6" spans="1:23" ht="12.75" customHeight="1" x14ac:dyDescent="0.35">
      <c r="A6" s="163">
        <v>21</v>
      </c>
      <c r="B6" s="164"/>
      <c r="C6" s="182"/>
      <c r="D6" s="166"/>
      <c r="E6" s="166"/>
      <c r="F6" s="199"/>
      <c r="G6" s="183"/>
      <c r="H6" s="174"/>
      <c r="I6" s="169"/>
      <c r="J6" s="166"/>
      <c r="K6" s="166"/>
      <c r="L6" s="166"/>
      <c r="M6" s="183"/>
      <c r="N6" s="164"/>
      <c r="O6" s="165"/>
      <c r="P6" s="369" t="s">
        <v>3665</v>
      </c>
      <c r="Q6" s="368" t="b">
        <v>0</v>
      </c>
      <c r="R6" s="165"/>
      <c r="S6" s="165"/>
      <c r="T6" s="165"/>
      <c r="U6" s="165"/>
      <c r="V6" s="165"/>
      <c r="W6" s="165"/>
    </row>
    <row r="7" spans="1:23" ht="12.75" customHeight="1" x14ac:dyDescent="0.35">
      <c r="A7" s="163">
        <v>22</v>
      </c>
      <c r="B7" s="164"/>
      <c r="C7" s="182"/>
      <c r="D7" s="166"/>
      <c r="E7" s="166"/>
      <c r="F7" s="199"/>
      <c r="G7" s="183"/>
      <c r="H7" s="707"/>
      <c r="I7" s="169"/>
      <c r="J7" s="166"/>
      <c r="K7" s="166"/>
      <c r="L7" s="166"/>
      <c r="M7" s="183"/>
      <c r="N7" s="164"/>
      <c r="O7" s="165"/>
      <c r="P7" s="369" t="s">
        <v>972</v>
      </c>
      <c r="Q7" s="370" t="b">
        <f>AND(OR(box_NRD15,box_NRD16,Resident),NON_DOM_Allowances)</f>
        <v>1</v>
      </c>
      <c r="R7" s="165"/>
      <c r="S7" s="165"/>
      <c r="T7" s="165"/>
      <c r="U7" s="165"/>
      <c r="V7" s="165"/>
      <c r="W7" s="165"/>
    </row>
    <row r="8" spans="1:23" ht="12.75" customHeight="1" x14ac:dyDescent="0.35">
      <c r="A8" s="115">
        <v>28</v>
      </c>
      <c r="B8" s="164"/>
      <c r="C8" s="374" t="s">
        <v>2834</v>
      </c>
      <c r="D8" s="166"/>
      <c r="E8" s="174"/>
      <c r="F8" s="198"/>
      <c r="G8" s="375"/>
      <c r="H8" s="170">
        <f>A9</f>
        <v>29</v>
      </c>
      <c r="I8" s="166"/>
      <c r="J8" s="166"/>
      <c r="K8" s="166"/>
      <c r="L8" s="166"/>
      <c r="M8" s="183"/>
      <c r="N8" s="164"/>
      <c r="O8" s="165"/>
      <c r="P8" s="369" t="str">
        <f>"box_"&amp;NRD&amp;A3</f>
        <v>box_NRD15</v>
      </c>
      <c r="Q8" s="368" t="b">
        <v>0</v>
      </c>
      <c r="R8" s="721" t="s">
        <v>2133</v>
      </c>
      <c r="S8" s="165"/>
      <c r="T8" s="165"/>
      <c r="U8" s="165"/>
      <c r="V8" s="165"/>
      <c r="W8" s="165"/>
    </row>
    <row r="9" spans="1:23" ht="12.75" customHeight="1" x14ac:dyDescent="0.35">
      <c r="A9" s="115">
        <v>29</v>
      </c>
      <c r="B9" s="164"/>
      <c r="C9" s="170">
        <f>A3</f>
        <v>15</v>
      </c>
      <c r="D9" s="166"/>
      <c r="E9" s="174"/>
      <c r="F9" s="198"/>
      <c r="G9" s="375"/>
      <c r="H9" s="182"/>
      <c r="I9" s="166"/>
      <c r="J9" s="166"/>
      <c r="K9" s="166"/>
      <c r="L9" s="166"/>
      <c r="M9" s="183"/>
      <c r="N9" s="164"/>
      <c r="O9" s="165"/>
      <c r="P9" s="369" t="str">
        <f>"box_"&amp;NRD&amp;A4</f>
        <v>box_NRD16</v>
      </c>
      <c r="Q9" s="368" t="b">
        <v>0</v>
      </c>
      <c r="R9" s="721" t="s">
        <v>2133</v>
      </c>
      <c r="S9" s="165"/>
      <c r="T9" s="165"/>
      <c r="U9" s="165"/>
      <c r="V9" s="165"/>
      <c r="W9" s="165"/>
    </row>
    <row r="10" spans="1:23" ht="12.75" customHeight="1" x14ac:dyDescent="0.35">
      <c r="A10" s="115">
        <v>30</v>
      </c>
      <c r="B10" s="228"/>
      <c r="C10" s="376"/>
      <c r="D10" s="166"/>
      <c r="E10" s="166"/>
      <c r="F10" s="198"/>
      <c r="G10" s="183"/>
      <c r="H10" s="182"/>
      <c r="I10" s="166"/>
      <c r="J10" s="166"/>
      <c r="K10" s="166"/>
      <c r="L10" s="166"/>
      <c r="M10" s="183"/>
      <c r="N10" s="164"/>
      <c r="O10" s="165"/>
      <c r="P10" s="369" t="str">
        <f>"box_"&amp;NRD&amp;H5</f>
        <v>box_NRD28</v>
      </c>
      <c r="Q10" s="147" t="b">
        <v>0</v>
      </c>
      <c r="R10" s="721" t="s">
        <v>2132</v>
      </c>
      <c r="S10" s="165"/>
      <c r="T10" s="165"/>
      <c r="U10" s="165"/>
      <c r="V10" s="165"/>
      <c r="W10" s="165"/>
    </row>
    <row r="11" spans="1:23" ht="12.75" customHeight="1" x14ac:dyDescent="0.35">
      <c r="A11" s="115">
        <v>31</v>
      </c>
      <c r="B11" s="228"/>
      <c r="C11" s="182"/>
      <c r="D11" s="166"/>
      <c r="E11" s="365"/>
      <c r="F11" s="198"/>
      <c r="G11" s="183"/>
      <c r="H11" s="170">
        <f>A10</f>
        <v>30</v>
      </c>
      <c r="I11" s="166"/>
      <c r="J11" s="166"/>
      <c r="K11" s="166"/>
      <c r="L11" s="166"/>
      <c r="M11" s="183"/>
      <c r="N11" s="164"/>
      <c r="O11" s="165"/>
      <c r="P11" s="369" t="str">
        <f>"box_"&amp;NRD&amp;H8</f>
        <v>box_NRD29</v>
      </c>
      <c r="Q11" s="731" t="b">
        <v>0</v>
      </c>
      <c r="R11" s="721" t="s">
        <v>2222</v>
      </c>
      <c r="S11" s="165"/>
      <c r="T11" s="165"/>
      <c r="U11" s="165"/>
      <c r="V11" s="165"/>
      <c r="W11" s="165"/>
    </row>
    <row r="12" spans="1:23" ht="12.75" customHeight="1" x14ac:dyDescent="0.35">
      <c r="A12" s="115">
        <v>32</v>
      </c>
      <c r="B12" s="228"/>
      <c r="C12" s="170">
        <f>A4</f>
        <v>16</v>
      </c>
      <c r="D12" s="166"/>
      <c r="E12" s="365"/>
      <c r="F12" s="198"/>
      <c r="G12" s="183"/>
      <c r="H12" s="182"/>
      <c r="I12" s="166"/>
      <c r="J12" s="166"/>
      <c r="K12" s="166"/>
      <c r="L12" s="166"/>
      <c r="M12" s="183"/>
      <c r="N12" s="164"/>
      <c r="O12" s="165"/>
      <c r="P12" s="369" t="str">
        <f>"box_"&amp;NRD&amp;H11</f>
        <v>box_NRD30</v>
      </c>
      <c r="Q12" s="731" t="b">
        <v>0</v>
      </c>
      <c r="R12" s="721" t="s">
        <v>4478</v>
      </c>
      <c r="S12" s="165"/>
      <c r="T12" s="165"/>
      <c r="U12" s="165"/>
      <c r="V12" s="165"/>
      <c r="W12" s="165"/>
    </row>
    <row r="13" spans="1:23" ht="12.75" customHeight="1" x14ac:dyDescent="0.35">
      <c r="A13" s="115">
        <v>33</v>
      </c>
      <c r="B13" s="228"/>
      <c r="C13" s="182"/>
      <c r="D13" s="174"/>
      <c r="E13" s="174"/>
      <c r="F13" s="174"/>
      <c r="G13" s="183"/>
      <c r="H13" s="182"/>
      <c r="I13" s="166"/>
      <c r="J13" s="166"/>
      <c r="K13" s="166"/>
      <c r="L13" s="166"/>
      <c r="M13" s="183"/>
      <c r="N13" s="164"/>
      <c r="P13" s="369" t="str">
        <f>"box_"&amp;NRD&amp;H14</f>
        <v>box_NRD31</v>
      </c>
      <c r="Q13" s="368" t="b">
        <v>0</v>
      </c>
      <c r="R13" s="721" t="s">
        <v>2393</v>
      </c>
      <c r="T13" s="165"/>
      <c r="U13" s="165"/>
      <c r="V13" s="165"/>
      <c r="W13" s="165"/>
    </row>
    <row r="14" spans="1:23" ht="12.75" customHeight="1" x14ac:dyDescent="0.35">
      <c r="A14" s="115">
        <v>34</v>
      </c>
      <c r="B14" s="228"/>
      <c r="C14" s="182"/>
      <c r="D14" s="174"/>
      <c r="E14" s="166"/>
      <c r="F14" s="166"/>
      <c r="G14" s="183"/>
      <c r="H14" s="170">
        <f>A11</f>
        <v>31</v>
      </c>
      <c r="I14" s="166"/>
      <c r="J14" s="166"/>
      <c r="K14" s="166"/>
      <c r="L14" s="166"/>
      <c r="M14" s="183"/>
      <c r="N14" s="164"/>
      <c r="P14" s="369" t="str">
        <f>"box_"&amp;NRD&amp;H17</f>
        <v>box_NRD32</v>
      </c>
      <c r="Q14" s="368" t="b">
        <v>0</v>
      </c>
      <c r="R14" s="721" t="s">
        <v>2223</v>
      </c>
      <c r="S14" s="165"/>
      <c r="T14" s="165"/>
      <c r="U14" s="165"/>
      <c r="V14" s="165"/>
      <c r="W14" s="165"/>
    </row>
    <row r="15" spans="1:23" ht="12.75" customHeight="1" x14ac:dyDescent="0.35">
      <c r="A15" s="115">
        <v>35</v>
      </c>
      <c r="B15" s="228"/>
      <c r="C15" s="374" t="s">
        <v>2622</v>
      </c>
      <c r="D15" s="166"/>
      <c r="E15" s="166"/>
      <c r="F15" s="166"/>
      <c r="G15" s="183"/>
      <c r="H15" s="182"/>
      <c r="I15" s="166"/>
      <c r="J15" s="166"/>
      <c r="K15" s="166"/>
      <c r="L15" s="166"/>
      <c r="M15" s="183"/>
      <c r="N15" s="164"/>
      <c r="O15" s="165"/>
      <c r="P15" s="369" t="str">
        <f>"box_"&amp;NRD&amp;H20</f>
        <v>box_NRD33</v>
      </c>
      <c r="Q15" s="368" t="b">
        <v>0</v>
      </c>
      <c r="R15" s="721" t="s">
        <v>2224</v>
      </c>
      <c r="S15" s="165"/>
      <c r="T15" s="165"/>
      <c r="U15" s="165"/>
      <c r="V15" s="165"/>
      <c r="W15" s="165"/>
    </row>
    <row r="16" spans="1:23" ht="12.75" customHeight="1" x14ac:dyDescent="0.35">
      <c r="A16" s="163">
        <v>36</v>
      </c>
      <c r="B16" s="228"/>
      <c r="C16" s="182"/>
      <c r="D16" s="170">
        <f>A5</f>
        <v>20</v>
      </c>
      <c r="E16" s="166" t="s">
        <v>1013</v>
      </c>
      <c r="F16" s="166"/>
      <c r="G16" s="183"/>
      <c r="H16" s="182"/>
      <c r="I16" s="166"/>
      <c r="J16" s="166"/>
      <c r="K16" s="166"/>
      <c r="L16" s="166"/>
      <c r="M16" s="183"/>
      <c r="N16" s="164"/>
      <c r="O16" s="165"/>
      <c r="P16" s="369" t="s">
        <v>1367</v>
      </c>
      <c r="Q16" s="370" t="b">
        <f>NOT(AND(remit_basis,box_NRD29=FALSE,box_NRD16=FALSE))</f>
        <v>1</v>
      </c>
      <c r="R16" s="165"/>
      <c r="S16" s="165"/>
      <c r="T16" s="165"/>
      <c r="U16" s="165"/>
      <c r="V16" s="165"/>
      <c r="W16" s="165"/>
    </row>
    <row r="17" spans="1:23" ht="12.75" customHeight="1" x14ac:dyDescent="0.35">
      <c r="A17" s="163">
        <v>37</v>
      </c>
      <c r="B17" s="228"/>
      <c r="C17" s="182"/>
      <c r="D17" s="174"/>
      <c r="E17" s="204"/>
      <c r="F17" s="166"/>
      <c r="G17" s="183"/>
      <c r="H17" s="170">
        <f>A12</f>
        <v>32</v>
      </c>
      <c r="I17" s="166"/>
      <c r="J17" s="166"/>
      <c r="K17" s="166"/>
      <c r="L17" s="166"/>
      <c r="M17" s="183"/>
      <c r="N17" s="164"/>
      <c r="O17" s="165"/>
      <c r="P17" s="369" t="s">
        <v>1368</v>
      </c>
      <c r="Q17" s="370" t="b">
        <f>AND(remit_basis,box_NRD29=FALSE,OR(box_NRD30,box_NRD31,box_NRD32),box_NRD33=FALSE)</f>
        <v>0</v>
      </c>
      <c r="R17" s="165"/>
      <c r="S17" s="165"/>
      <c r="T17" s="165"/>
      <c r="U17" s="165"/>
      <c r="V17" s="165"/>
      <c r="W17" s="165"/>
    </row>
    <row r="18" spans="1:23" ht="12.75" customHeight="1" x14ac:dyDescent="0.35">
      <c r="A18" s="163">
        <v>38</v>
      </c>
      <c r="B18" s="228"/>
      <c r="C18" s="182"/>
      <c r="D18" s="174"/>
      <c r="E18" s="166"/>
      <c r="F18" s="166"/>
      <c r="G18" s="183"/>
      <c r="H18" s="182"/>
      <c r="I18" s="166"/>
      <c r="J18" s="166"/>
      <c r="K18" s="166"/>
      <c r="L18" s="166"/>
      <c r="M18" s="183"/>
      <c r="N18" s="164"/>
      <c r="O18" s="165"/>
      <c r="P18" s="165"/>
      <c r="Q18" s="165"/>
      <c r="R18" s="165"/>
      <c r="S18" s="165"/>
      <c r="T18" s="165"/>
      <c r="U18" s="165"/>
      <c r="V18" s="165"/>
      <c r="W18" s="165"/>
    </row>
    <row r="19" spans="1:23" ht="12.75" customHeight="1" x14ac:dyDescent="0.35">
      <c r="A19" s="163">
        <v>39</v>
      </c>
      <c r="B19" s="164"/>
      <c r="C19" s="182"/>
      <c r="D19" s="170">
        <f>A6</f>
        <v>21</v>
      </c>
      <c r="E19" s="166" t="s">
        <v>2623</v>
      </c>
      <c r="F19" s="166"/>
      <c r="G19" s="183"/>
      <c r="H19" s="182"/>
      <c r="I19" s="166"/>
      <c r="J19" s="166"/>
      <c r="K19" s="166"/>
      <c r="L19" s="166"/>
      <c r="M19" s="183"/>
      <c r="N19" s="164"/>
      <c r="O19" s="165"/>
      <c r="P19" s="165"/>
      <c r="Q19" s="165"/>
      <c r="R19" s="165"/>
      <c r="S19" s="165"/>
      <c r="T19" s="165"/>
      <c r="U19" s="165"/>
      <c r="V19" s="165"/>
      <c r="W19" s="165"/>
    </row>
    <row r="20" spans="1:23" ht="12.75" customHeight="1" x14ac:dyDescent="0.35">
      <c r="B20" s="164"/>
      <c r="C20" s="182"/>
      <c r="D20" s="166"/>
      <c r="E20" s="204"/>
      <c r="F20" s="166"/>
      <c r="G20" s="183"/>
      <c r="H20" s="170">
        <f>A13</f>
        <v>33</v>
      </c>
      <c r="I20" s="166"/>
      <c r="J20" s="166"/>
      <c r="K20" s="170">
        <f>A14</f>
        <v>34</v>
      </c>
      <c r="L20" s="166" t="s">
        <v>3477</v>
      </c>
      <c r="M20" s="183"/>
      <c r="N20" s="164"/>
      <c r="O20" s="165"/>
      <c r="P20" s="165"/>
      <c r="Q20" s="165"/>
      <c r="R20" s="165"/>
      <c r="S20" s="165"/>
      <c r="T20" s="165"/>
      <c r="U20" s="165"/>
      <c r="V20" s="165"/>
      <c r="W20" s="165"/>
    </row>
    <row r="21" spans="1:23" ht="12.75" customHeight="1" x14ac:dyDescent="0.35">
      <c r="B21" s="164"/>
      <c r="C21" s="182"/>
      <c r="D21" s="166"/>
      <c r="E21" s="166"/>
      <c r="F21" s="166"/>
      <c r="G21" s="183"/>
      <c r="H21" s="182"/>
      <c r="I21" s="166"/>
      <c r="J21" s="166"/>
      <c r="K21" s="166"/>
      <c r="L21" s="173"/>
      <c r="M21" s="183"/>
      <c r="N21" s="164"/>
      <c r="O21" s="165"/>
      <c r="P21" s="165"/>
      <c r="Q21" s="165"/>
      <c r="R21" s="165"/>
      <c r="S21" s="165"/>
      <c r="T21" s="165"/>
      <c r="U21" s="165"/>
      <c r="V21" s="165"/>
      <c r="W21" s="165"/>
    </row>
    <row r="22" spans="1:23" ht="12.75" customHeight="1" x14ac:dyDescent="0.35">
      <c r="B22" s="164"/>
      <c r="C22" s="182"/>
      <c r="D22" s="170">
        <f>A7</f>
        <v>22</v>
      </c>
      <c r="E22" s="166" t="s">
        <v>2624</v>
      </c>
      <c r="F22" s="166"/>
      <c r="G22" s="183"/>
      <c r="H22" s="182"/>
      <c r="I22" s="166"/>
      <c r="J22" s="166"/>
      <c r="K22" s="166"/>
      <c r="L22" s="166"/>
      <c r="M22" s="183"/>
      <c r="N22" s="164"/>
      <c r="O22" s="165"/>
      <c r="P22" s="165"/>
      <c r="Q22" s="165"/>
      <c r="R22" s="165"/>
      <c r="S22" s="165"/>
      <c r="T22" s="165"/>
      <c r="U22" s="165"/>
      <c r="V22" s="165"/>
      <c r="W22" s="165"/>
    </row>
    <row r="23" spans="1:23" ht="12.75" customHeight="1" x14ac:dyDescent="0.35">
      <c r="B23" s="164"/>
      <c r="C23" s="182"/>
      <c r="D23" s="166"/>
      <c r="E23" s="204"/>
      <c r="F23" s="166"/>
      <c r="G23" s="183"/>
      <c r="H23" s="170">
        <f>A15</f>
        <v>35</v>
      </c>
      <c r="I23" s="166" t="s">
        <v>1981</v>
      </c>
      <c r="J23" s="166"/>
      <c r="K23" s="170">
        <f>A16</f>
        <v>36</v>
      </c>
      <c r="L23" s="166" t="s">
        <v>4176</v>
      </c>
      <c r="M23" s="183"/>
      <c r="N23" s="164"/>
      <c r="O23" s="165"/>
      <c r="P23" s="165"/>
      <c r="Q23" s="165"/>
      <c r="R23" s="165"/>
      <c r="S23" s="165"/>
      <c r="T23" s="165"/>
      <c r="U23" s="165"/>
      <c r="V23" s="165"/>
      <c r="W23" s="165"/>
    </row>
    <row r="24" spans="1:23" ht="12.75" customHeight="1" x14ac:dyDescent="0.35">
      <c r="B24" s="164"/>
      <c r="C24" s="182"/>
      <c r="D24" s="166"/>
      <c r="E24" s="166"/>
      <c r="F24" s="166"/>
      <c r="G24" s="183"/>
      <c r="H24" s="182"/>
      <c r="I24" s="173"/>
      <c r="J24" s="166"/>
      <c r="K24" s="166"/>
      <c r="L24" s="204"/>
      <c r="M24" s="183"/>
      <c r="N24" s="164"/>
      <c r="O24" s="165"/>
      <c r="P24" s="165"/>
      <c r="Q24" s="165"/>
      <c r="R24" s="165"/>
      <c r="S24" s="165"/>
      <c r="T24" s="165"/>
      <c r="U24" s="165"/>
      <c r="V24" s="165"/>
      <c r="W24" s="165"/>
    </row>
    <row r="25" spans="1:23" x14ac:dyDescent="0.35">
      <c r="B25" s="164"/>
      <c r="C25" s="187"/>
      <c r="D25" s="213"/>
      <c r="E25" s="188"/>
      <c r="F25" s="188"/>
      <c r="G25" s="189"/>
      <c r="H25" s="187"/>
      <c r="I25" s="188"/>
      <c r="J25" s="188"/>
      <c r="K25" s="188"/>
      <c r="L25" s="188"/>
      <c r="M25" s="189"/>
      <c r="N25" s="164"/>
      <c r="O25" s="165"/>
      <c r="P25" s="165"/>
      <c r="Q25" s="165"/>
      <c r="R25" s="165"/>
      <c r="S25" s="165"/>
      <c r="T25" s="165"/>
      <c r="U25" s="165"/>
      <c r="V25" s="165"/>
      <c r="W25" s="165"/>
    </row>
    <row r="26" spans="1:23" x14ac:dyDescent="0.35">
      <c r="B26" s="164"/>
      <c r="C26" s="164"/>
      <c r="D26" s="164"/>
      <c r="E26" s="164"/>
      <c r="F26" s="178"/>
      <c r="G26" s="164"/>
      <c r="H26" s="164"/>
      <c r="I26" s="164"/>
      <c r="J26" s="164"/>
      <c r="K26" s="164"/>
      <c r="L26" s="164"/>
      <c r="M26" s="164"/>
      <c r="N26" s="164"/>
      <c r="O26" s="165"/>
      <c r="P26" s="165"/>
      <c r="Q26" s="165"/>
      <c r="R26" s="165"/>
      <c r="S26" s="165"/>
      <c r="T26" s="165"/>
      <c r="U26" s="165"/>
      <c r="V26" s="165"/>
      <c r="W26" s="165"/>
    </row>
    <row r="27" spans="1:23" x14ac:dyDescent="0.35">
      <c r="B27" s="164"/>
      <c r="C27" s="164"/>
      <c r="D27" s="164"/>
      <c r="E27" s="164"/>
      <c r="F27" s="164"/>
      <c r="G27" s="164"/>
      <c r="H27" s="164"/>
      <c r="I27" s="164"/>
      <c r="J27" s="164"/>
      <c r="K27" s="164"/>
      <c r="L27" s="164"/>
      <c r="M27" s="164"/>
      <c r="N27" s="164"/>
    </row>
    <row r="28" spans="1:23" x14ac:dyDescent="0.35">
      <c r="B28" s="164"/>
      <c r="C28" s="164"/>
      <c r="D28" s="164"/>
      <c r="E28" s="164"/>
      <c r="F28" s="164"/>
      <c r="G28" s="164"/>
      <c r="H28" s="164"/>
      <c r="I28" s="164"/>
      <c r="J28" s="164"/>
      <c r="K28" s="164"/>
      <c r="L28" s="164"/>
      <c r="M28" s="164"/>
      <c r="N28" s="164"/>
    </row>
    <row r="29" spans="1:23" x14ac:dyDescent="0.35">
      <c r="B29" s="164"/>
      <c r="C29" s="164"/>
      <c r="D29" s="164"/>
      <c r="E29" s="164"/>
      <c r="F29" s="164"/>
      <c r="G29" s="164"/>
      <c r="H29" s="164"/>
      <c r="I29" s="164"/>
      <c r="J29" s="164"/>
      <c r="K29" s="164"/>
      <c r="L29" s="164"/>
      <c r="M29" s="164"/>
      <c r="N29" s="164"/>
    </row>
    <row r="30" spans="1:23" x14ac:dyDescent="0.35">
      <c r="B30" s="164"/>
      <c r="C30" s="164"/>
      <c r="D30" s="164"/>
      <c r="E30" s="164"/>
      <c r="F30" s="164"/>
      <c r="G30" s="164"/>
      <c r="H30" s="164"/>
      <c r="I30" s="164"/>
      <c r="J30" s="164"/>
      <c r="K30" s="164"/>
      <c r="L30" s="164"/>
      <c r="M30" s="164"/>
      <c r="N30" s="164"/>
    </row>
    <row r="31" spans="1:23" x14ac:dyDescent="0.35">
      <c r="B31" s="164"/>
      <c r="C31" s="164"/>
      <c r="D31" s="164"/>
      <c r="E31" s="164"/>
      <c r="F31" s="164"/>
      <c r="G31" s="164"/>
      <c r="H31" s="164"/>
      <c r="I31" s="164"/>
      <c r="J31" s="164"/>
      <c r="K31" s="164"/>
      <c r="L31" s="164"/>
      <c r="M31" s="164"/>
      <c r="N31" s="164"/>
    </row>
    <row r="32" spans="1:23" x14ac:dyDescent="0.35">
      <c r="B32" s="164"/>
      <c r="C32" s="164"/>
      <c r="D32" s="164"/>
      <c r="E32" s="164"/>
      <c r="F32" s="164"/>
      <c r="G32" s="164"/>
      <c r="H32" s="164"/>
      <c r="I32" s="164"/>
      <c r="J32" s="164"/>
      <c r="K32" s="164"/>
      <c r="L32" s="164"/>
      <c r="M32" s="164"/>
      <c r="N32" s="164"/>
    </row>
    <row r="33" spans="2:14" x14ac:dyDescent="0.35">
      <c r="B33" s="164"/>
      <c r="C33" s="164"/>
      <c r="D33" s="164"/>
      <c r="E33" s="164"/>
      <c r="F33" s="164"/>
      <c r="G33" s="164"/>
      <c r="H33" s="164"/>
      <c r="I33" s="164"/>
      <c r="J33" s="164"/>
      <c r="K33" s="164"/>
      <c r="L33" s="164"/>
      <c r="M33" s="164"/>
      <c r="N33" s="164"/>
    </row>
  </sheetData>
  <sheetProtection sheet="1" objects="1" scenarios="1"/>
  <phoneticPr fontId="68" type="noConversion"/>
  <dataValidations count="2">
    <dataValidation allowBlank="1" showInputMessage="1" showErrorMessage="1" promptTitle="Nominated income" prompt="If NRD28 is ticked and NRD29 or NRD33 are not ticked then NRD34 or NRD35 must contain a minimum of £1" sqref="L21"/>
    <dataValidation allowBlank="1" showInputMessage="1" showErrorMessage="1" promptTitle="Nominated Capital Gains" prompt="If NRD28 is ticked and NRD29 or NRD33 are not ticked then NRD34 or NRD35 must contain a minimum of £1" sqref="I24"/>
  </dataValidations>
  <pageMargins left="0.19685039370078741" right="0.19685039370078741" top="0.19685039370078741" bottom="0.19685039370078741" header="0" footer="0"/>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anchor moveWithCells="1">
                  <from>
                    <xdr:col>2</xdr:col>
                    <xdr:colOff>285750</xdr:colOff>
                    <xdr:row>4</xdr:row>
                    <xdr:rowOff>104775</xdr:rowOff>
                  </from>
                  <to>
                    <xdr:col>3</xdr:col>
                    <xdr:colOff>238125</xdr:colOff>
                    <xdr:row>6</xdr:row>
                    <xdr:rowOff>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2</xdr:col>
                    <xdr:colOff>285750</xdr:colOff>
                    <xdr:row>8</xdr:row>
                    <xdr:rowOff>114300</xdr:rowOff>
                  </from>
                  <to>
                    <xdr:col>3</xdr:col>
                    <xdr:colOff>238125</xdr:colOff>
                    <xdr:row>10</xdr:row>
                    <xdr:rowOff>9525</xdr:rowOff>
                  </to>
                </anchor>
              </controlPr>
            </control>
          </mc:Choice>
        </mc:AlternateContent>
        <mc:AlternateContent xmlns:mc="http://schemas.openxmlformats.org/markup-compatibility/2006">
          <mc:Choice Requires="x14">
            <control shapeId="3079" r:id="rId6" name="Check Box 7">
              <controlPr defaultSize="0" autoFill="0" autoLine="0" autoPict="0">
                <anchor moveWithCells="1">
                  <from>
                    <xdr:col>2</xdr:col>
                    <xdr:colOff>285750</xdr:colOff>
                    <xdr:row>11</xdr:row>
                    <xdr:rowOff>114300</xdr:rowOff>
                  </from>
                  <to>
                    <xdr:col>3</xdr:col>
                    <xdr:colOff>238125</xdr:colOff>
                    <xdr:row>13</xdr:row>
                    <xdr:rowOff>9525</xdr:rowOff>
                  </to>
                </anchor>
              </controlPr>
            </control>
          </mc:Choice>
        </mc:AlternateContent>
        <mc:AlternateContent xmlns:mc="http://schemas.openxmlformats.org/markup-compatibility/2006">
          <mc:Choice Requires="x14">
            <control shapeId="3080" r:id="rId7" name="Check Box 8">
              <controlPr defaultSize="0" autoFill="0" autoLine="0" autoPict="0">
                <anchor moveWithCells="1">
                  <from>
                    <xdr:col>7</xdr:col>
                    <xdr:colOff>314325</xdr:colOff>
                    <xdr:row>4</xdr:row>
                    <xdr:rowOff>114300</xdr:rowOff>
                  </from>
                  <to>
                    <xdr:col>8</xdr:col>
                    <xdr:colOff>266700</xdr:colOff>
                    <xdr:row>6</xdr:row>
                    <xdr:rowOff>9525</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7</xdr:col>
                    <xdr:colOff>314325</xdr:colOff>
                    <xdr:row>7</xdr:row>
                    <xdr:rowOff>104775</xdr:rowOff>
                  </from>
                  <to>
                    <xdr:col>8</xdr:col>
                    <xdr:colOff>266700</xdr:colOff>
                    <xdr:row>9</xdr:row>
                    <xdr:rowOff>0</xdr:rowOff>
                  </to>
                </anchor>
              </controlPr>
            </control>
          </mc:Choice>
        </mc:AlternateContent>
        <mc:AlternateContent xmlns:mc="http://schemas.openxmlformats.org/markup-compatibility/2006">
          <mc:Choice Requires="x14">
            <control shapeId="3083" r:id="rId9" name="Check Box 11">
              <controlPr defaultSize="0" autoFill="0" autoLine="0" autoPict="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xmlns:mc="http://schemas.openxmlformats.org/markup-compatibility/2006">
          <mc:Choice Requires="x14">
            <control shapeId="3084" r:id="rId10" name="Check Box 12">
              <controlPr defaultSize="0" autoFill="0" autoLine="0" autoPict="0">
                <anchor moveWithCells="1">
                  <from>
                    <xdr:col>7</xdr:col>
                    <xdr:colOff>304800</xdr:colOff>
                    <xdr:row>19</xdr:row>
                    <xdr:rowOff>114300</xdr:rowOff>
                  </from>
                  <to>
                    <xdr:col>8</xdr:col>
                    <xdr:colOff>257175</xdr:colOff>
                    <xdr:row>21</xdr:row>
                    <xdr:rowOff>9525</xdr:rowOff>
                  </to>
                </anchor>
              </controlPr>
            </control>
          </mc:Choice>
        </mc:AlternateContent>
        <mc:AlternateContent xmlns:mc="http://schemas.openxmlformats.org/markup-compatibility/2006">
          <mc:Choice Requires="x14">
            <control shapeId="3087" r:id="rId11" name="Check Box 15">
              <controlPr defaultSize="0" autoFill="0" autoLine="0" autoPict="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xmlns:mc="http://schemas.openxmlformats.org/markup-compatibility/2006">
          <mc:Choice Requires="x14">
            <control shapeId="3194" r:id="rId12" name="Check Box 122">
              <controlPr defaultSize="0" autoFill="0" autoLine="0" autoPict="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N39"/>
  <sheetViews>
    <sheetView showGridLines="0" showRowColHeaders="0" topLeftCell="B1" workbookViewId="0">
      <selection activeCell="H10" sqref="H10"/>
    </sheetView>
  </sheetViews>
  <sheetFormatPr defaultColWidth="9.1328125" defaultRowHeight="11.65" x14ac:dyDescent="0.35"/>
  <cols>
    <col min="1" max="1" width="4.73046875" style="163" hidden="1" customWidth="1"/>
    <col min="2" max="2" width="8.1328125" style="163" customWidth="1"/>
    <col min="3" max="3" width="4.73046875" style="163" customWidth="1"/>
    <col min="4" max="4" width="13.3984375" style="163" customWidth="1"/>
    <col min="5" max="5" width="27.86328125" style="163" customWidth="1"/>
    <col min="6" max="6" width="6.3984375" style="163" customWidth="1"/>
    <col min="7" max="7" width="4.265625" style="163" customWidth="1"/>
    <col min="8" max="8" width="13.265625" style="163" customWidth="1"/>
    <col min="9" max="9" width="33.3984375" style="163" customWidth="1"/>
    <col min="10" max="10" width="29.265625" style="163" customWidth="1"/>
    <col min="11" max="16384" width="9.1328125" style="163"/>
  </cols>
  <sheetData>
    <row r="1" spans="1:14" ht="12.75" customHeight="1" x14ac:dyDescent="0.35">
      <c r="A1" s="163" t="s">
        <v>579</v>
      </c>
      <c r="B1" s="164"/>
      <c r="C1" s="164"/>
      <c r="D1" s="164"/>
      <c r="E1" s="164"/>
      <c r="F1" s="164"/>
      <c r="G1" s="164"/>
      <c r="H1" s="164"/>
      <c r="I1" s="164"/>
      <c r="J1" s="164"/>
      <c r="K1" s="165"/>
      <c r="L1" s="165"/>
    </row>
    <row r="2" spans="1:14" ht="12.75" customHeight="1" x14ac:dyDescent="0.35">
      <c r="B2" s="164"/>
      <c r="C2" s="467" t="s">
        <v>580</v>
      </c>
      <c r="D2" s="423"/>
      <c r="E2" s="424"/>
      <c r="F2" s="424"/>
      <c r="G2" s="425"/>
      <c r="H2" s="426"/>
      <c r="I2" s="469" t="s">
        <v>579</v>
      </c>
      <c r="J2" s="164"/>
      <c r="K2" s="165"/>
      <c r="L2" s="165"/>
    </row>
    <row r="3" spans="1:14" ht="12.75" customHeight="1" x14ac:dyDescent="0.35">
      <c r="A3" s="163">
        <v>1</v>
      </c>
      <c r="B3" s="164"/>
      <c r="C3" s="182"/>
      <c r="D3" s="166"/>
      <c r="E3" s="166"/>
      <c r="F3" s="166"/>
      <c r="G3" s="169"/>
      <c r="H3" s="387"/>
      <c r="I3" s="183"/>
      <c r="J3" s="164"/>
      <c r="K3" s="165"/>
      <c r="L3" s="165"/>
    </row>
    <row r="4" spans="1:14" ht="12.75" customHeight="1" x14ac:dyDescent="0.35">
      <c r="A4" s="163">
        <v>2</v>
      </c>
      <c r="B4" s="164"/>
      <c r="C4" s="427" t="s">
        <v>1524</v>
      </c>
      <c r="D4" s="166"/>
      <c r="E4" s="166"/>
      <c r="F4" s="166"/>
      <c r="G4" s="169"/>
      <c r="H4" s="387"/>
      <c r="I4" s="183"/>
      <c r="J4" s="164"/>
      <c r="K4" s="165"/>
      <c r="L4" s="165"/>
    </row>
    <row r="5" spans="1:14" ht="6" customHeight="1" x14ac:dyDescent="0.35">
      <c r="A5" s="163">
        <v>3</v>
      </c>
      <c r="B5" s="164"/>
      <c r="C5" s="182"/>
      <c r="D5" s="166"/>
      <c r="E5" s="166"/>
      <c r="F5" s="166"/>
      <c r="G5" s="169"/>
      <c r="H5" s="387"/>
      <c r="I5" s="183"/>
      <c r="J5" s="164"/>
      <c r="K5" s="165"/>
      <c r="L5" s="165"/>
    </row>
    <row r="6" spans="1:14" ht="12.75" customHeight="1" x14ac:dyDescent="0.35">
      <c r="A6" s="163">
        <v>4</v>
      </c>
      <c r="B6" s="164"/>
      <c r="C6" s="454">
        <f>A9</f>
        <v>7</v>
      </c>
      <c r="D6" s="385" t="str">
        <f>"Underpaid tax for earlier years included in "&amp;tax_year&amp;" tax code"</f>
        <v>Underpaid tax for earlier years included in 2017-18 tax code</v>
      </c>
      <c r="E6" s="166"/>
      <c r="F6" s="166"/>
      <c r="G6" s="169"/>
      <c r="H6" s="387"/>
      <c r="I6" s="183"/>
      <c r="J6" s="164"/>
      <c r="K6" s="165"/>
      <c r="L6" s="165"/>
      <c r="M6" s="165"/>
      <c r="N6" s="165"/>
    </row>
    <row r="7" spans="1:14" ht="12.75" customHeight="1" x14ac:dyDescent="0.35">
      <c r="A7" s="163">
        <v>5</v>
      </c>
      <c r="B7" s="164"/>
      <c r="C7" s="464"/>
      <c r="D7" s="283"/>
      <c r="E7" s="166"/>
      <c r="F7" s="166"/>
      <c r="G7" s="169"/>
      <c r="H7" s="387"/>
      <c r="I7" s="183"/>
      <c r="J7" s="164"/>
      <c r="K7" s="165"/>
      <c r="L7" s="165"/>
      <c r="M7" s="165"/>
      <c r="N7" s="165"/>
    </row>
    <row r="8" spans="1:14" ht="12.75" customHeight="1" x14ac:dyDescent="0.35">
      <c r="A8" s="163">
        <v>6</v>
      </c>
      <c r="B8" s="164"/>
      <c r="C8" s="464"/>
      <c r="D8" s="166"/>
      <c r="E8" s="166"/>
      <c r="F8" s="166"/>
      <c r="G8" s="229"/>
      <c r="H8" s="387"/>
      <c r="I8" s="183"/>
      <c r="J8" s="164"/>
      <c r="K8" s="165"/>
      <c r="L8" s="165"/>
      <c r="M8" s="165"/>
      <c r="N8" s="165"/>
    </row>
    <row r="9" spans="1:14" ht="12.75" customHeight="1" x14ac:dyDescent="0.35">
      <c r="A9" s="163">
        <v>7</v>
      </c>
      <c r="B9" s="164"/>
      <c r="C9" s="454">
        <f>A10</f>
        <v>8</v>
      </c>
      <c r="D9" s="385" t="str">
        <f>tax_year&amp;" underpaid tax included in "&amp;next_year&amp;" tax code"</f>
        <v>2017-18 underpaid tax included in 2018-19 tax code</v>
      </c>
      <c r="E9" s="166"/>
      <c r="F9" s="166"/>
      <c r="G9" s="454">
        <f>A11</f>
        <v>9</v>
      </c>
      <c r="H9" s="166" t="str">
        <f>"Outstanding debt included in "&amp;tax_year&amp;" tax code"</f>
        <v>Outstanding debt included in 2017-18 tax code</v>
      </c>
      <c r="I9" s="183"/>
      <c r="J9" s="164"/>
      <c r="K9" s="165"/>
      <c r="L9" s="165"/>
      <c r="M9" s="165"/>
      <c r="N9" s="165"/>
    </row>
    <row r="10" spans="1:14" ht="12.75" customHeight="1" x14ac:dyDescent="0.35">
      <c r="A10" s="163">
        <v>8</v>
      </c>
      <c r="B10" s="164"/>
      <c r="C10" s="464"/>
      <c r="D10" s="283"/>
      <c r="E10" s="166"/>
      <c r="F10" s="166"/>
      <c r="G10" s="229"/>
      <c r="H10" s="283"/>
      <c r="I10" s="183"/>
      <c r="J10" s="164"/>
      <c r="K10" s="165"/>
      <c r="L10" s="165"/>
      <c r="M10" s="165"/>
      <c r="N10" s="165"/>
    </row>
    <row r="11" spans="1:14" ht="12.75" customHeight="1" x14ac:dyDescent="0.35">
      <c r="A11" s="163">
        <v>9</v>
      </c>
      <c r="B11" s="164"/>
      <c r="C11" s="464"/>
      <c r="D11" s="166"/>
      <c r="E11" s="166"/>
      <c r="F11" s="166"/>
      <c r="G11" s="229"/>
      <c r="H11" s="387"/>
      <c r="I11" s="183"/>
      <c r="J11" s="164"/>
      <c r="K11" s="165"/>
      <c r="L11" s="165"/>
      <c r="M11" s="165"/>
      <c r="N11" s="165"/>
    </row>
    <row r="12" spans="1:14" ht="12.75" hidden="1" customHeight="1" x14ac:dyDescent="0.35">
      <c r="A12" s="163">
        <v>10</v>
      </c>
      <c r="B12" s="164"/>
      <c r="C12" s="465" t="s">
        <v>1525</v>
      </c>
      <c r="D12" s="166"/>
      <c r="E12" s="166"/>
      <c r="F12" s="166"/>
      <c r="G12" s="229"/>
      <c r="H12" s="387"/>
      <c r="I12" s="183"/>
      <c r="J12" s="164"/>
      <c r="K12" s="165"/>
      <c r="L12" s="165"/>
      <c r="M12" s="165"/>
      <c r="N12" s="165"/>
    </row>
    <row r="13" spans="1:14" ht="12.75" hidden="1" customHeight="1" x14ac:dyDescent="0.35">
      <c r="A13" s="163">
        <v>11</v>
      </c>
      <c r="B13" s="164"/>
      <c r="C13" s="464"/>
      <c r="D13" s="166"/>
      <c r="E13" s="166"/>
      <c r="F13" s="166"/>
      <c r="G13" s="229"/>
      <c r="H13" s="387"/>
      <c r="I13" s="183"/>
      <c r="J13" s="164"/>
      <c r="K13" s="165"/>
      <c r="L13" s="165"/>
      <c r="M13" s="165"/>
      <c r="N13" s="165"/>
    </row>
    <row r="14" spans="1:14" ht="12.75" hidden="1" customHeight="1" x14ac:dyDescent="0.35">
      <c r="A14" s="163">
        <v>12</v>
      </c>
      <c r="B14" s="164"/>
      <c r="C14" s="454">
        <f>A12</f>
        <v>10</v>
      </c>
      <c r="D14" s="207" t="s">
        <v>2548</v>
      </c>
      <c r="E14" s="166"/>
      <c r="F14" s="166"/>
      <c r="G14" s="454">
        <f>A13</f>
        <v>11</v>
      </c>
      <c r="H14" s="207" t="str">
        <f>"First Payment on account for "&amp;next_year</f>
        <v>First Payment on account for 2018-19</v>
      </c>
      <c r="I14" s="183"/>
      <c r="J14" s="164"/>
      <c r="K14" s="165"/>
      <c r="L14" s="165"/>
      <c r="M14" s="165"/>
      <c r="N14" s="165"/>
    </row>
    <row r="15" spans="1:14" ht="12.75" hidden="1" customHeight="1" x14ac:dyDescent="0.35">
      <c r="A15" s="163">
        <v>13</v>
      </c>
      <c r="B15" s="164"/>
      <c r="C15" s="464"/>
      <c r="D15" s="166"/>
      <c r="E15" s="166"/>
      <c r="F15" s="166"/>
      <c r="G15" s="466"/>
      <c r="H15" s="283"/>
      <c r="I15" s="183" t="str">
        <f>" (only required if box "&amp;C14&amp;" ticked)"</f>
        <v xml:space="preserve"> (only required if box 10 ticked)</v>
      </c>
      <c r="J15" s="164"/>
      <c r="K15" s="368" t="b">
        <v>0</v>
      </c>
      <c r="L15" s="165"/>
      <c r="M15" s="165"/>
      <c r="N15" s="165"/>
    </row>
    <row r="16" spans="1:14" ht="12.75" hidden="1" customHeight="1" x14ac:dyDescent="0.35">
      <c r="A16" s="163">
        <v>14</v>
      </c>
      <c r="B16" s="164"/>
      <c r="C16" s="464"/>
      <c r="D16" s="166"/>
      <c r="E16" s="166"/>
      <c r="F16" s="166"/>
      <c r="G16" s="466"/>
      <c r="H16" s="387"/>
      <c r="I16" s="183"/>
      <c r="J16" s="164"/>
      <c r="K16" s="165"/>
      <c r="L16" s="165"/>
      <c r="M16" s="165"/>
      <c r="N16" s="165"/>
    </row>
    <row r="17" spans="1:14" ht="12.75" customHeight="1" x14ac:dyDescent="0.35">
      <c r="A17" s="163">
        <v>15</v>
      </c>
      <c r="B17" s="164"/>
      <c r="C17" s="465" t="s">
        <v>3624</v>
      </c>
      <c r="D17" s="166"/>
      <c r="E17" s="166"/>
      <c r="F17" s="166"/>
      <c r="G17" s="466"/>
      <c r="H17" s="387"/>
      <c r="I17" s="183"/>
      <c r="J17" s="164"/>
      <c r="K17" s="165"/>
      <c r="L17" s="165"/>
      <c r="M17" s="165"/>
      <c r="N17" s="165"/>
    </row>
    <row r="18" spans="1:14" ht="6" customHeight="1" x14ac:dyDescent="0.35">
      <c r="A18" s="163">
        <v>16</v>
      </c>
      <c r="B18" s="164"/>
      <c r="C18" s="464"/>
      <c r="D18" s="166"/>
      <c r="E18" s="166"/>
      <c r="F18" s="166"/>
      <c r="G18" s="466"/>
      <c r="H18" s="387"/>
      <c r="I18" s="183"/>
      <c r="J18" s="164"/>
      <c r="K18" s="165"/>
      <c r="L18" s="165"/>
      <c r="M18" s="165"/>
      <c r="N18" s="165"/>
    </row>
    <row r="19" spans="1:14" ht="12.75" customHeight="1" x14ac:dyDescent="0.35">
      <c r="B19" s="164"/>
      <c r="C19" s="455">
        <f>A14</f>
        <v>12</v>
      </c>
      <c r="D19" s="290" t="s">
        <v>2661</v>
      </c>
      <c r="E19" s="166"/>
      <c r="F19" s="166"/>
      <c r="G19" s="455">
        <f>A15</f>
        <v>13</v>
      </c>
      <c r="H19" s="385" t="s">
        <v>1457</v>
      </c>
      <c r="I19" s="183"/>
      <c r="J19" s="164"/>
      <c r="K19" s="165"/>
      <c r="L19" s="165"/>
      <c r="M19" s="165"/>
      <c r="N19" s="165"/>
    </row>
    <row r="20" spans="1:14" ht="12.75" customHeight="1" x14ac:dyDescent="0.35">
      <c r="B20" s="164"/>
      <c r="C20" s="464"/>
      <c r="D20" s="264"/>
      <c r="E20" s="166"/>
      <c r="F20" s="166"/>
      <c r="G20" s="200"/>
      <c r="H20" s="173"/>
      <c r="I20" s="183"/>
      <c r="J20" s="164"/>
      <c r="K20" s="165"/>
      <c r="L20" s="165"/>
      <c r="M20" s="165"/>
      <c r="N20" s="165"/>
    </row>
    <row r="21" spans="1:14" ht="12.75" customHeight="1" x14ac:dyDescent="0.35">
      <c r="B21" s="164"/>
      <c r="C21" s="464"/>
      <c r="D21" s="166"/>
      <c r="E21" s="166"/>
      <c r="F21" s="166"/>
      <c r="G21" s="466"/>
      <c r="H21" s="387"/>
      <c r="I21" s="183"/>
      <c r="J21" s="164"/>
      <c r="K21" s="165"/>
      <c r="L21" s="165"/>
      <c r="M21" s="165"/>
      <c r="N21" s="165"/>
    </row>
    <row r="22" spans="1:14" ht="12.75" customHeight="1" x14ac:dyDescent="0.35">
      <c r="B22" s="164"/>
      <c r="C22" s="454">
        <f>A16</f>
        <v>14</v>
      </c>
      <c r="D22" s="385" t="s">
        <v>1682</v>
      </c>
      <c r="E22" s="166"/>
      <c r="F22" s="166"/>
      <c r="G22" s="454">
        <f>A17</f>
        <v>15</v>
      </c>
      <c r="H22" s="385" t="s">
        <v>1683</v>
      </c>
      <c r="I22" s="183"/>
      <c r="J22" s="164"/>
      <c r="L22" s="165"/>
      <c r="M22" s="165"/>
      <c r="N22" s="165"/>
    </row>
    <row r="23" spans="1:14" ht="12.75" customHeight="1" x14ac:dyDescent="0.35">
      <c r="B23" s="164"/>
      <c r="C23" s="464"/>
      <c r="D23" s="283"/>
      <c r="E23" s="166"/>
      <c r="F23" s="388"/>
      <c r="G23" s="388"/>
      <c r="H23" s="283"/>
      <c r="I23" s="183"/>
      <c r="J23" s="164"/>
      <c r="K23" s="165"/>
      <c r="L23" s="165"/>
      <c r="M23" s="165"/>
      <c r="N23" s="165"/>
    </row>
    <row r="24" spans="1:14" ht="12.75" customHeight="1" x14ac:dyDescent="0.35">
      <c r="B24" s="164"/>
      <c r="C24" s="464"/>
      <c r="D24" s="166"/>
      <c r="E24" s="166"/>
      <c r="F24" s="166"/>
      <c r="G24" s="166"/>
      <c r="H24" s="166"/>
      <c r="I24" s="183"/>
      <c r="J24" s="164"/>
      <c r="K24" s="165"/>
      <c r="L24" s="165"/>
      <c r="M24" s="165"/>
      <c r="N24" s="165"/>
    </row>
    <row r="25" spans="1:14" ht="12.75" customHeight="1" x14ac:dyDescent="0.35">
      <c r="B25" s="164"/>
      <c r="C25" s="464"/>
      <c r="D25" s="166"/>
      <c r="E25" s="166"/>
      <c r="F25" s="388"/>
      <c r="G25" s="454">
        <f>A18</f>
        <v>16</v>
      </c>
      <c r="H25" s="207" t="str">
        <f>"Any "&amp;next_year&amp;" repayment claimed now"</f>
        <v>Any 2018-19 repayment claimed now</v>
      </c>
      <c r="I25" s="183"/>
      <c r="J25" s="164"/>
      <c r="K25" s="165"/>
      <c r="L25" s="165"/>
      <c r="M25" s="165"/>
      <c r="N25" s="165"/>
    </row>
    <row r="26" spans="1:14" ht="12.75" customHeight="1" x14ac:dyDescent="0.35">
      <c r="B26" s="164"/>
      <c r="C26" s="182"/>
      <c r="D26" s="166"/>
      <c r="E26" s="166"/>
      <c r="F26" s="166"/>
      <c r="G26" s="220"/>
      <c r="H26" s="283"/>
      <c r="I26" s="183"/>
      <c r="J26" s="164"/>
      <c r="K26" s="165"/>
      <c r="L26" s="165"/>
      <c r="M26" s="165"/>
      <c r="N26" s="165"/>
    </row>
    <row r="27" spans="1:14" ht="12.75" customHeight="1" x14ac:dyDescent="0.35">
      <c r="B27" s="164"/>
      <c r="C27" s="255"/>
      <c r="D27" s="256"/>
      <c r="E27" s="188"/>
      <c r="F27" s="188"/>
      <c r="G27" s="221"/>
      <c r="H27" s="188"/>
      <c r="I27" s="189"/>
      <c r="J27" s="164"/>
      <c r="K27" s="165"/>
      <c r="L27" s="165"/>
      <c r="M27" s="165"/>
      <c r="N27" s="165"/>
    </row>
    <row r="28" spans="1:14" ht="12.75" customHeight="1" x14ac:dyDescent="0.35">
      <c r="B28" s="164"/>
      <c r="C28" s="178"/>
      <c r="D28" s="178"/>
      <c r="E28" s="164"/>
      <c r="F28" s="164"/>
      <c r="G28" s="164"/>
      <c r="H28" s="164"/>
      <c r="I28" s="164"/>
      <c r="J28" s="164"/>
      <c r="K28" s="165"/>
      <c r="L28" s="165"/>
      <c r="M28" s="165"/>
      <c r="N28" s="165"/>
    </row>
    <row r="29" spans="1:14" ht="12.75" customHeight="1" x14ac:dyDescent="0.35">
      <c r="B29" s="468"/>
      <c r="C29" s="178"/>
      <c r="D29" s="178"/>
      <c r="E29" s="468"/>
      <c r="F29" s="468"/>
      <c r="G29" s="468"/>
      <c r="H29" s="468"/>
      <c r="I29" s="468"/>
      <c r="J29" s="468"/>
      <c r="K29" s="165"/>
      <c r="L29" s="165"/>
      <c r="M29" s="165"/>
      <c r="N29" s="165"/>
    </row>
    <row r="30" spans="1:14" ht="12.75" customHeight="1" x14ac:dyDescent="0.35">
      <c r="B30" s="164"/>
      <c r="C30" s="164"/>
      <c r="D30" s="164"/>
      <c r="E30" s="164"/>
      <c r="F30" s="164"/>
      <c r="G30" s="164"/>
      <c r="H30" s="164"/>
      <c r="I30" s="164"/>
      <c r="J30" s="164"/>
      <c r="K30" s="165"/>
      <c r="L30" s="165"/>
      <c r="M30" s="165"/>
      <c r="N30" s="165"/>
    </row>
    <row r="31" spans="1:14" x14ac:dyDescent="0.35">
      <c r="B31" s="164"/>
      <c r="C31" s="164"/>
      <c r="D31" s="164"/>
      <c r="E31" s="164"/>
      <c r="F31" s="164"/>
      <c r="G31" s="164"/>
      <c r="H31" s="164"/>
      <c r="I31" s="164"/>
      <c r="J31" s="164"/>
    </row>
    <row r="32" spans="1:14" x14ac:dyDescent="0.35">
      <c r="B32" s="164"/>
      <c r="C32" s="164"/>
      <c r="D32" s="164"/>
      <c r="E32" s="164"/>
      <c r="F32" s="164"/>
      <c r="G32" s="164"/>
      <c r="H32" s="164"/>
      <c r="I32" s="164"/>
      <c r="J32" s="164"/>
    </row>
    <row r="33" spans="2:10" x14ac:dyDescent="0.35">
      <c r="B33" s="164"/>
      <c r="C33" s="164"/>
      <c r="D33" s="164"/>
      <c r="E33" s="164"/>
      <c r="F33" s="164"/>
      <c r="G33" s="164"/>
      <c r="H33" s="164"/>
      <c r="I33" s="164"/>
      <c r="J33" s="164"/>
    </row>
    <row r="34" spans="2:10" x14ac:dyDescent="0.35">
      <c r="B34" s="468"/>
      <c r="C34" s="178"/>
      <c r="D34" s="178"/>
      <c r="E34" s="468"/>
      <c r="F34" s="468"/>
      <c r="G34" s="468"/>
      <c r="H34" s="468"/>
      <c r="I34" s="468"/>
      <c r="J34" s="468"/>
    </row>
    <row r="35" spans="2:10" x14ac:dyDescent="0.35">
      <c r="B35" s="164"/>
      <c r="C35" s="164"/>
      <c r="D35" s="164"/>
      <c r="E35" s="164"/>
      <c r="F35" s="164"/>
      <c r="G35" s="164"/>
      <c r="H35" s="164"/>
      <c r="I35" s="164"/>
      <c r="J35" s="164"/>
    </row>
    <row r="36" spans="2:10" x14ac:dyDescent="0.35">
      <c r="B36" s="164"/>
      <c r="C36" s="164"/>
      <c r="D36" s="164"/>
      <c r="E36" s="164"/>
      <c r="F36" s="164"/>
      <c r="G36" s="164"/>
      <c r="H36" s="164"/>
      <c r="I36" s="164"/>
      <c r="J36" s="164"/>
    </row>
    <row r="37" spans="2:10" x14ac:dyDescent="0.35">
      <c r="B37" s="164"/>
      <c r="C37" s="164"/>
      <c r="D37" s="164"/>
      <c r="E37" s="164"/>
      <c r="F37" s="164"/>
      <c r="G37" s="164"/>
      <c r="H37" s="164"/>
      <c r="I37" s="164"/>
      <c r="J37" s="164"/>
    </row>
    <row r="38" spans="2:10" x14ac:dyDescent="0.35">
      <c r="B38" s="164"/>
      <c r="C38" s="164"/>
      <c r="D38" s="164"/>
      <c r="E38" s="164"/>
      <c r="F38" s="164"/>
      <c r="G38" s="164"/>
      <c r="H38" s="164"/>
      <c r="I38" s="164"/>
      <c r="J38" s="164"/>
    </row>
    <row r="39" spans="2:10" x14ac:dyDescent="0.35">
      <c r="B39" s="468"/>
      <c r="C39" s="178"/>
      <c r="D39" s="178"/>
      <c r="E39" s="468"/>
      <c r="F39" s="468"/>
      <c r="G39" s="468"/>
      <c r="H39" s="468"/>
      <c r="I39" s="468"/>
      <c r="J39" s="468"/>
    </row>
  </sheetData>
  <sheetProtection sheet="1" objects="1" scenarios="1"/>
  <phoneticPr fontId="68" type="noConversion"/>
  <pageMargins left="0.75" right="0.75" top="1" bottom="1" header="0.5" footer="0.5"/>
  <pageSetup paperSize="9" orientation="landscape"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99"/>
  </sheetPr>
  <dimension ref="A1:N204"/>
  <sheetViews>
    <sheetView showGridLines="0" topLeftCell="A49" zoomScaleNormal="100" workbookViewId="0">
      <selection activeCell="H49" sqref="H49"/>
    </sheetView>
  </sheetViews>
  <sheetFormatPr defaultColWidth="9.1328125" defaultRowHeight="12.75" x14ac:dyDescent="0.35"/>
  <cols>
    <col min="1" max="1" width="4.59765625" style="7" customWidth="1"/>
    <col min="2" max="2" width="1.1328125" style="4" customWidth="1"/>
    <col min="3" max="3" width="6.3984375" style="22" customWidth="1"/>
    <col min="4" max="4" width="5.86328125" style="22" customWidth="1"/>
    <col min="5" max="5" width="23.59765625" style="146" customWidth="1"/>
    <col min="6" max="6" width="12.1328125" style="146" customWidth="1"/>
    <col min="7" max="7" width="10.73046875" style="146" customWidth="1"/>
    <col min="8" max="8" width="13.1328125" style="146" customWidth="1"/>
    <col min="9" max="9" width="11" style="146" customWidth="1"/>
    <col min="10" max="10" width="12.86328125" style="7" customWidth="1"/>
    <col min="11" max="11" width="2" style="7" customWidth="1"/>
    <col min="12" max="12" width="12.265625" style="7" customWidth="1"/>
    <col min="13" max="13" width="13.265625" style="7" customWidth="1"/>
    <col min="14" max="14" width="11.59765625" style="7" customWidth="1"/>
    <col min="15" max="15" width="11.1328125" style="7" customWidth="1"/>
    <col min="16" max="16" width="10.3984375" style="7" customWidth="1"/>
    <col min="17" max="16384" width="9.1328125" style="7"/>
  </cols>
  <sheetData>
    <row r="1" spans="1:12" ht="33" customHeight="1" thickBot="1" x14ac:dyDescent="0.45">
      <c r="A1" s="1087"/>
      <c r="B1" s="1088"/>
      <c r="C1" s="2505"/>
      <c r="D1" s="2506"/>
      <c r="E1" s="1063"/>
      <c r="F1" s="1063"/>
      <c r="G1" s="1063"/>
      <c r="H1" s="2505" t="s">
        <v>6847</v>
      </c>
      <c r="I1" s="1087"/>
      <c r="J1" s="1087"/>
      <c r="K1" s="869"/>
      <c r="L1" s="7">
        <v>1</v>
      </c>
    </row>
    <row r="2" spans="1:12" ht="12.75" customHeight="1" thickTop="1" x14ac:dyDescent="0.35">
      <c r="B2" s="1089"/>
      <c r="C2" s="2507"/>
      <c r="D2" s="2507"/>
      <c r="E2" s="1054"/>
      <c r="F2" s="96"/>
      <c r="G2" s="96"/>
      <c r="H2" s="96"/>
      <c r="I2" s="96"/>
      <c r="J2" s="107"/>
      <c r="K2" s="869"/>
      <c r="L2" s="7">
        <v>1</v>
      </c>
    </row>
    <row r="3" spans="1:12" ht="12.75" customHeight="1" x14ac:dyDescent="0.35">
      <c r="B3" s="434"/>
      <c r="C3" s="2507"/>
      <c r="D3" s="1055" t="str">
        <f>IF('Add pages'!C4="","",'Add pages'!C4)</f>
        <v/>
      </c>
      <c r="F3" s="96"/>
      <c r="G3" s="96"/>
      <c r="I3" s="153"/>
      <c r="J3" s="153"/>
      <c r="K3" s="869"/>
      <c r="L3" s="7">
        <v>1</v>
      </c>
    </row>
    <row r="4" spans="1:12" ht="12.75" customHeight="1" x14ac:dyDescent="0.35">
      <c r="B4" s="434"/>
      <c r="C4" s="2507"/>
      <c r="D4" s="1055" t="str">
        <f>IF('Add pages'!C5="","",'Add pages'!C5)</f>
        <v/>
      </c>
      <c r="F4" s="96"/>
      <c r="G4" s="2768"/>
      <c r="H4" s="2769"/>
      <c r="I4" s="2770" t="str">
        <f>"Unique Taxpayer Reference (UTR) "&amp;IF(Taxpayer_Reference="","",Taxpayer_Reference)</f>
        <v xml:space="preserve">Unique Taxpayer Reference (UTR) </v>
      </c>
      <c r="J4" s="107"/>
      <c r="K4" s="869"/>
      <c r="L4" s="7">
        <v>1</v>
      </c>
    </row>
    <row r="5" spans="1:12" ht="12.75" customHeight="1" x14ac:dyDescent="0.35">
      <c r="B5" s="1089" t="str">
        <f>IF('Add pages'!C6="","",'Add pages'!C6)</f>
        <v/>
      </c>
      <c r="C5" s="1089"/>
      <c r="D5" s="1089"/>
      <c r="E5" s="1089"/>
      <c r="F5" s="1089"/>
      <c r="G5" s="1089"/>
      <c r="H5" s="1089"/>
      <c r="I5" s="1089"/>
      <c r="J5" s="1089"/>
      <c r="K5" s="869"/>
      <c r="L5" s="7">
        <v>1</v>
      </c>
    </row>
    <row r="6" spans="1:12" ht="12.75" customHeight="1" x14ac:dyDescent="0.35">
      <c r="B6" s="434"/>
      <c r="C6" s="2507"/>
      <c r="D6" s="1055" t="str">
        <f>IF('Add pages'!C7="","",'Add pages'!C7)</f>
        <v/>
      </c>
      <c r="E6" s="1056"/>
      <c r="F6" s="626"/>
      <c r="G6" s="96"/>
      <c r="H6" s="96"/>
      <c r="I6" s="96"/>
      <c r="J6" s="96"/>
      <c r="K6" s="869"/>
      <c r="L6" s="7">
        <v>1</v>
      </c>
    </row>
    <row r="7" spans="1:12" ht="12.75" customHeight="1" x14ac:dyDescent="0.35">
      <c r="B7" s="1089"/>
      <c r="C7" s="2507"/>
      <c r="D7" s="2507"/>
      <c r="E7" s="96"/>
      <c r="F7" s="96"/>
      <c r="G7" s="96"/>
      <c r="H7" s="100" t="s">
        <v>1480</v>
      </c>
      <c r="I7" s="1057" t="str">
        <f ca="1">date_formatted</f>
        <v>19 December 2017</v>
      </c>
      <c r="J7" s="107"/>
      <c r="K7" s="869"/>
      <c r="L7" s="7">
        <v>1</v>
      </c>
    </row>
    <row r="8" spans="1:12" ht="12.75" customHeight="1" x14ac:dyDescent="0.35">
      <c r="B8" s="1089"/>
      <c r="C8" s="869"/>
      <c r="D8" s="869"/>
      <c r="E8" s="1089"/>
      <c r="F8" s="1089"/>
      <c r="G8" s="1089"/>
      <c r="H8" s="1089"/>
      <c r="I8" s="1089"/>
      <c r="J8" s="1089"/>
      <c r="K8" s="1089"/>
      <c r="L8" s="7">
        <v>1</v>
      </c>
    </row>
    <row r="9" spans="1:12" ht="12.75" customHeight="1" x14ac:dyDescent="0.4">
      <c r="B9" s="434"/>
      <c r="C9" s="108" t="str">
        <f>"Tax Calculation for "&amp;tax_year</f>
        <v>Tax Calculation for 2017-18</v>
      </c>
      <c r="F9" s="44" t="str">
        <f>" (year ended 5 April "&amp;Tax_year_end&amp;")"</f>
        <v xml:space="preserve"> (year ended 5 April 2018)</v>
      </c>
      <c r="J9" s="146"/>
      <c r="L9" s="7">
        <v>1</v>
      </c>
    </row>
    <row r="10" spans="1:12" x14ac:dyDescent="0.35">
      <c r="B10" s="434"/>
      <c r="C10" s="869"/>
      <c r="D10" s="869"/>
      <c r="E10" s="96"/>
      <c r="F10" s="96"/>
      <c r="G10" s="96"/>
      <c r="H10" s="96"/>
      <c r="I10" s="96"/>
      <c r="J10" s="96"/>
      <c r="L10" s="7">
        <v>1</v>
      </c>
    </row>
    <row r="11" spans="1:12" ht="13.15" x14ac:dyDescent="0.4">
      <c r="A11" s="112" t="s">
        <v>4131</v>
      </c>
      <c r="B11" s="434"/>
      <c r="C11" s="106" t="s">
        <v>2771</v>
      </c>
      <c r="D11" s="95"/>
      <c r="E11" s="435"/>
      <c r="F11" s="101"/>
      <c r="G11" s="96"/>
      <c r="H11" s="96"/>
      <c r="I11" s="96"/>
      <c r="J11" s="96"/>
      <c r="L11" s="7">
        <v>1</v>
      </c>
    </row>
    <row r="12" spans="1:12" ht="12" customHeight="1" x14ac:dyDescent="0.4">
      <c r="A12" s="112" t="s">
        <v>4132</v>
      </c>
      <c r="B12" s="434"/>
      <c r="C12" s="18"/>
      <c r="D12" s="18"/>
      <c r="E12" s="96"/>
      <c r="F12" s="92"/>
      <c r="G12" s="96"/>
      <c r="H12" s="96"/>
      <c r="I12" s="96"/>
      <c r="J12" s="146"/>
      <c r="L12" s="7">
        <v>1</v>
      </c>
    </row>
    <row r="13" spans="1:12" x14ac:dyDescent="0.35">
      <c r="A13" s="112" t="s">
        <v>4133</v>
      </c>
      <c r="B13" s="434"/>
      <c r="C13" s="96" t="s">
        <v>937</v>
      </c>
      <c r="D13" s="96"/>
      <c r="F13" s="856">
        <f>Pay_Emp</f>
        <v>0</v>
      </c>
      <c r="H13" s="96"/>
      <c r="I13" s="96"/>
      <c r="J13" s="146"/>
      <c r="L13" s="7">
        <f>IF(AND(Pay_Emp&gt;0,(Benefits_Emp+Exps_Emp)&gt;0),1,0)</f>
        <v>0</v>
      </c>
    </row>
    <row r="14" spans="1:12" x14ac:dyDescent="0.35">
      <c r="A14" s="112" t="s">
        <v>629</v>
      </c>
      <c r="B14" s="434"/>
      <c r="C14" s="4" t="s">
        <v>2543</v>
      </c>
      <c r="D14" s="96" t="s">
        <v>795</v>
      </c>
      <c r="F14" s="856">
        <f>Benefits_Emp</f>
        <v>0</v>
      </c>
      <c r="H14" s="96"/>
      <c r="I14" s="96"/>
      <c r="J14" s="146"/>
      <c r="L14" s="7">
        <f>IF(Benefits_Emp&gt;0,1,0)</f>
        <v>0</v>
      </c>
    </row>
    <row r="15" spans="1:12" x14ac:dyDescent="0.35">
      <c r="A15" s="112" t="s">
        <v>630</v>
      </c>
      <c r="B15" s="434"/>
      <c r="C15" s="4" t="s">
        <v>1432</v>
      </c>
      <c r="D15" s="96" t="s">
        <v>2279</v>
      </c>
      <c r="F15" s="858">
        <f>Exps_Emp</f>
        <v>0</v>
      </c>
      <c r="H15" s="96"/>
      <c r="I15" s="96"/>
      <c r="J15" s="146"/>
      <c r="L15" s="7">
        <f>IF(Exps_Emp&gt;0,1,0)</f>
        <v>0</v>
      </c>
    </row>
    <row r="16" spans="1:12" x14ac:dyDescent="0.35">
      <c r="A16" s="112" t="s">
        <v>631</v>
      </c>
      <c r="B16" s="434"/>
      <c r="C16" s="96" t="s">
        <v>937</v>
      </c>
      <c r="D16" s="96"/>
      <c r="F16" s="96"/>
      <c r="G16" s="858">
        <f>income_E</f>
        <v>0</v>
      </c>
      <c r="H16" s="718"/>
      <c r="I16" s="96"/>
      <c r="J16" s="146"/>
      <c r="L16" s="7">
        <f>IF(AND(Benefits_Emp+Exps_Emp=0,income_E&gt;0),1,0)</f>
        <v>0</v>
      </c>
    </row>
    <row r="17" spans="1:12" x14ac:dyDescent="0.35">
      <c r="A17" s="112" t="s">
        <v>4303</v>
      </c>
      <c r="B17" s="434"/>
      <c r="C17" s="96" t="s">
        <v>2298</v>
      </c>
      <c r="D17" s="96"/>
      <c r="F17" s="96"/>
      <c r="G17" s="858">
        <f>income_E</f>
        <v>0</v>
      </c>
      <c r="H17" s="718"/>
      <c r="I17" s="96"/>
      <c r="J17" s="146"/>
      <c r="L17" s="7">
        <f>IF(AND(Benefits_Emp+Exps_Emp&gt;0,income_E&gt;0),1,0)</f>
        <v>0</v>
      </c>
    </row>
    <row r="18" spans="1:12" x14ac:dyDescent="0.35">
      <c r="A18" s="112" t="s">
        <v>632</v>
      </c>
      <c r="B18" s="434"/>
      <c r="C18" s="96" t="s">
        <v>938</v>
      </c>
      <c r="D18" s="96"/>
      <c r="F18" s="96"/>
      <c r="G18" s="856">
        <f>income_Shares</f>
        <v>0</v>
      </c>
      <c r="H18" s="718"/>
      <c r="I18" s="96"/>
      <c r="J18" s="146"/>
      <c r="L18" s="7">
        <f>IF(income_Shares&gt;0,1,0)</f>
        <v>0</v>
      </c>
    </row>
    <row r="19" spans="1:12" x14ac:dyDescent="0.35">
      <c r="A19" s="112" t="s">
        <v>633</v>
      </c>
      <c r="B19" s="434"/>
      <c r="C19" s="96" t="s">
        <v>2813</v>
      </c>
      <c r="D19" s="96"/>
      <c r="F19" s="96"/>
      <c r="G19" s="856">
        <f>income_D</f>
        <v>0</v>
      </c>
      <c r="H19" s="718"/>
      <c r="I19" s="96"/>
      <c r="J19" s="146"/>
      <c r="L19" s="7">
        <f>IF(income_D&gt;0,1,0)</f>
        <v>0</v>
      </c>
    </row>
    <row r="20" spans="1:12" x14ac:dyDescent="0.35">
      <c r="A20" s="112" t="s">
        <v>634</v>
      </c>
      <c r="B20" s="434"/>
      <c r="C20" s="96" t="s">
        <v>1553</v>
      </c>
      <c r="D20" s="96"/>
      <c r="F20" s="96"/>
      <c r="G20" s="856">
        <f>income_D_PTR</f>
        <v>0</v>
      </c>
      <c r="H20" s="718"/>
      <c r="I20" s="96"/>
      <c r="J20" s="146"/>
      <c r="L20" s="7">
        <f>IF(income_D_PTR&gt;0,1,0)</f>
        <v>0</v>
      </c>
    </row>
    <row r="21" spans="1:12" x14ac:dyDescent="0.35">
      <c r="A21" s="112" t="s">
        <v>635</v>
      </c>
      <c r="B21" s="434"/>
      <c r="C21" s="96" t="s">
        <v>2773</v>
      </c>
      <c r="D21" s="96"/>
      <c r="F21" s="96"/>
      <c r="G21" s="856">
        <f>income_IFP</f>
        <v>0</v>
      </c>
      <c r="H21" s="718"/>
      <c r="I21" s="96"/>
      <c r="J21" s="146"/>
      <c r="L21" s="7">
        <f>IF(income_IFP&gt;0,1,0)</f>
        <v>0</v>
      </c>
    </row>
    <row r="22" spans="1:12" x14ac:dyDescent="0.35">
      <c r="A22" s="112" t="s">
        <v>636</v>
      </c>
      <c r="B22" s="434"/>
      <c r="C22" s="96" t="s">
        <v>1423</v>
      </c>
      <c r="D22" s="96"/>
      <c r="F22" s="96"/>
      <c r="G22" s="856">
        <f>income_Foreign</f>
        <v>0</v>
      </c>
      <c r="H22" s="718"/>
      <c r="I22" s="96"/>
      <c r="J22" s="146"/>
      <c r="L22" s="7">
        <f>IF(income_Foreign&gt;0,1,0)</f>
        <v>0</v>
      </c>
    </row>
    <row r="23" spans="1:12" x14ac:dyDescent="0.35">
      <c r="A23" s="112" t="s">
        <v>3199</v>
      </c>
      <c r="B23" s="434"/>
      <c r="C23" s="96" t="s">
        <v>3201</v>
      </c>
      <c r="D23" s="96"/>
      <c r="F23" s="96"/>
      <c r="G23" s="856">
        <f>foreign_dividends</f>
        <v>0</v>
      </c>
      <c r="H23" s="718"/>
      <c r="I23" s="96"/>
      <c r="J23" s="146"/>
      <c r="L23" s="7">
        <f>IF(foreign_dividends&gt;0,1,0)</f>
        <v>0</v>
      </c>
    </row>
    <row r="24" spans="1:12" x14ac:dyDescent="0.35">
      <c r="A24" s="112" t="s">
        <v>637</v>
      </c>
      <c r="B24" s="434"/>
      <c r="C24" s="96" t="s">
        <v>674</v>
      </c>
      <c r="D24" s="96"/>
      <c r="F24" s="96"/>
      <c r="G24" s="856">
        <f>income_Trust</f>
        <v>0</v>
      </c>
      <c r="H24" s="718"/>
      <c r="I24" s="96"/>
      <c r="J24" s="146"/>
      <c r="L24" s="7">
        <f>IF(income_Trust&gt;0,1,0)</f>
        <v>0</v>
      </c>
    </row>
    <row r="25" spans="1:12" x14ac:dyDescent="0.35">
      <c r="A25" s="112" t="s">
        <v>638</v>
      </c>
      <c r="B25" s="434"/>
      <c r="C25" s="96" t="s">
        <v>5543</v>
      </c>
      <c r="D25" s="96"/>
      <c r="F25" s="96"/>
      <c r="G25" s="856">
        <f>income_Case3</f>
        <v>0</v>
      </c>
      <c r="H25" s="718"/>
      <c r="I25" s="96"/>
      <c r="J25" s="146"/>
      <c r="L25" s="7">
        <f>IF(income_Case3&gt;0,1,0)</f>
        <v>0</v>
      </c>
    </row>
    <row r="26" spans="1:12" x14ac:dyDescent="0.35">
      <c r="A26" s="112" t="s">
        <v>639</v>
      </c>
      <c r="B26" s="434"/>
      <c r="C26" s="96" t="s">
        <v>2577</v>
      </c>
      <c r="D26" s="96"/>
      <c r="F26" s="96"/>
      <c r="G26" s="856">
        <f>income_F</f>
        <v>0</v>
      </c>
      <c r="H26" s="718"/>
      <c r="I26" s="96"/>
      <c r="J26" s="146"/>
      <c r="L26" s="7">
        <f>IF(income_F&gt;0,1,0)</f>
        <v>0</v>
      </c>
    </row>
    <row r="27" spans="1:12" x14ac:dyDescent="0.35">
      <c r="A27" s="112" t="s">
        <v>917</v>
      </c>
      <c r="B27" s="434"/>
      <c r="C27" s="96" t="s">
        <v>675</v>
      </c>
      <c r="D27" s="96"/>
      <c r="F27" s="96"/>
      <c r="G27" s="856">
        <f>income_Pensions</f>
        <v>0</v>
      </c>
      <c r="H27" s="718"/>
      <c r="I27" s="96"/>
      <c r="J27" s="146"/>
      <c r="L27" s="7">
        <f>IF(income_Pensions&gt;0,1,0)</f>
        <v>0</v>
      </c>
    </row>
    <row r="28" spans="1:12" x14ac:dyDescent="0.35">
      <c r="A28" s="112" t="s">
        <v>918</v>
      </c>
      <c r="B28" s="434"/>
      <c r="C28" s="96" t="s">
        <v>676</v>
      </c>
      <c r="D28" s="96"/>
      <c r="F28" s="96"/>
      <c r="G28" s="856">
        <f>income_CEG</f>
        <v>0</v>
      </c>
      <c r="H28" s="718"/>
      <c r="I28" s="96"/>
      <c r="J28" s="146"/>
      <c r="L28" s="7">
        <f>IF(income_CEG&gt;0,1,0)</f>
        <v>0</v>
      </c>
    </row>
    <row r="29" spans="1:12" x14ac:dyDescent="0.35">
      <c r="A29" s="112" t="s">
        <v>919</v>
      </c>
      <c r="B29" s="434"/>
      <c r="C29" s="96" t="s">
        <v>2959</v>
      </c>
      <c r="D29" s="96"/>
      <c r="F29" s="96"/>
      <c r="G29" s="856">
        <f>income_Other</f>
        <v>0</v>
      </c>
      <c r="H29" s="718"/>
      <c r="I29" s="96"/>
      <c r="J29" s="146"/>
      <c r="L29" s="7">
        <f>IF(income_Other&gt;0,1,0)</f>
        <v>0</v>
      </c>
    </row>
    <row r="30" spans="1:12" x14ac:dyDescent="0.35">
      <c r="A30" s="112" t="s">
        <v>920</v>
      </c>
      <c r="B30" s="434"/>
      <c r="C30" s="92" t="s">
        <v>2776</v>
      </c>
      <c r="D30" s="92"/>
      <c r="F30" s="102"/>
      <c r="G30" s="429"/>
      <c r="H30" s="856">
        <f>income_Total</f>
        <v>0</v>
      </c>
      <c r="I30" s="96"/>
      <c r="J30" s="146"/>
      <c r="L30" s="7">
        <v>1</v>
      </c>
    </row>
    <row r="31" spans="1:12" ht="12" customHeight="1" x14ac:dyDescent="0.35">
      <c r="A31" s="112" t="s">
        <v>921</v>
      </c>
      <c r="B31" s="434"/>
      <c r="C31" s="869"/>
      <c r="D31" s="869"/>
      <c r="E31" s="96"/>
      <c r="F31" s="102"/>
      <c r="G31" s="102"/>
      <c r="H31" s="96"/>
      <c r="I31" s="96"/>
      <c r="J31" s="146"/>
      <c r="L31" s="7">
        <v>1</v>
      </c>
    </row>
    <row r="32" spans="1:12" ht="13.15" x14ac:dyDescent="0.4">
      <c r="A32" s="112" t="s">
        <v>922</v>
      </c>
      <c r="B32" s="434"/>
      <c r="C32" s="106" t="s">
        <v>1118</v>
      </c>
      <c r="D32" s="1090"/>
      <c r="E32" s="435"/>
      <c r="F32" s="1091"/>
      <c r="G32" s="102"/>
      <c r="H32" s="96"/>
      <c r="I32" s="96"/>
      <c r="J32" s="146"/>
      <c r="L32" s="7">
        <f>IF(Allce_PA=Allce_dedn_total,0,1)</f>
        <v>0</v>
      </c>
    </row>
    <row r="33" spans="1:12" ht="12" customHeight="1" x14ac:dyDescent="0.35">
      <c r="A33" s="112" t="s">
        <v>2691</v>
      </c>
      <c r="B33" s="434"/>
      <c r="C33" s="111"/>
      <c r="D33" s="111"/>
      <c r="E33" s="96"/>
      <c r="F33" s="102"/>
      <c r="G33" s="102"/>
      <c r="H33" s="96"/>
      <c r="I33" s="96"/>
      <c r="J33" s="146"/>
      <c r="L33" s="7">
        <f>IF(Allce_PA=Allce_dedn_total,0,1)</f>
        <v>0</v>
      </c>
    </row>
    <row r="34" spans="1:12" ht="12" customHeight="1" x14ac:dyDescent="0.35">
      <c r="A34" s="112" t="s">
        <v>2692</v>
      </c>
      <c r="B34" s="434"/>
      <c r="C34" s="96" t="s">
        <v>2936</v>
      </c>
      <c r="D34" s="96"/>
      <c r="F34" s="102"/>
      <c r="G34" s="856">
        <f>dedn_RAR</f>
        <v>0</v>
      </c>
      <c r="H34" s="718"/>
      <c r="I34" s="96"/>
      <c r="J34" s="146"/>
      <c r="L34" s="7">
        <f>IF(dedn_RAR&gt;0,1,0)</f>
        <v>0</v>
      </c>
    </row>
    <row r="35" spans="1:12" ht="12" customHeight="1" x14ac:dyDescent="0.35">
      <c r="A35" s="112" t="s">
        <v>2693</v>
      </c>
      <c r="B35" s="434"/>
      <c r="C35" s="96" t="s">
        <v>2935</v>
      </c>
      <c r="D35" s="96"/>
      <c r="F35" s="102"/>
      <c r="G35" s="856">
        <f>dedn_Trust</f>
        <v>0</v>
      </c>
      <c r="H35" s="718"/>
      <c r="I35" s="96"/>
      <c r="J35" s="146"/>
      <c r="L35" s="7">
        <f>IF(dedn_Trust&gt;0,1,0)</f>
        <v>0</v>
      </c>
    </row>
    <row r="36" spans="1:12" ht="12" customHeight="1" x14ac:dyDescent="0.35">
      <c r="A36" s="112" t="s">
        <v>2695</v>
      </c>
      <c r="B36" s="434"/>
      <c r="C36" s="96" t="s">
        <v>4765</v>
      </c>
      <c r="D36" s="96"/>
      <c r="F36" s="102"/>
      <c r="G36" s="856">
        <f>ded_Loss</f>
        <v>0</v>
      </c>
      <c r="H36" s="718"/>
      <c r="I36" s="96"/>
      <c r="J36" s="146"/>
      <c r="L36" s="7">
        <f>IF(AND(ded_Loss&gt;0,ded_Loss=ded_loss_restricted),1,0)</f>
        <v>0</v>
      </c>
    </row>
    <row r="37" spans="1:12" ht="12" customHeight="1" x14ac:dyDescent="0.35">
      <c r="A37" s="870" t="s">
        <v>4303</v>
      </c>
      <c r="B37" s="434"/>
      <c r="C37" s="96" t="str">
        <f>"Income tax relief "&amp;DOLLAR(ded_Loss,0)&amp;" reduced to maximum allowable "</f>
        <v xml:space="preserve">Income tax relief £0 reduced to maximum allowable </v>
      </c>
      <c r="D37" s="111"/>
      <c r="E37" s="96"/>
      <c r="F37" s="102"/>
      <c r="G37" s="718">
        <f>ded_loss_restricted</f>
        <v>0</v>
      </c>
      <c r="H37" s="96"/>
      <c r="I37" s="96"/>
      <c r="J37" s="146"/>
      <c r="L37" s="7">
        <f>IF(AND(ded_Loss&gt;0,ded_Loss&gt;ded_loss_restricted),1,0)</f>
        <v>0</v>
      </c>
    </row>
    <row r="38" spans="1:12" x14ac:dyDescent="0.35">
      <c r="A38" s="112" t="s">
        <v>2696</v>
      </c>
      <c r="B38" s="434"/>
      <c r="C38" s="146" t="s">
        <v>3295</v>
      </c>
      <c r="D38" s="146"/>
      <c r="F38" s="102"/>
      <c r="G38" s="856">
        <f>dedn_Annuity</f>
        <v>0</v>
      </c>
      <c r="H38" s="718"/>
      <c r="I38" s="96"/>
      <c r="J38" s="146"/>
      <c r="L38" s="7">
        <f>IF(dedn_Annuity&gt;0,1,0)</f>
        <v>0</v>
      </c>
    </row>
    <row r="39" spans="1:12" x14ac:dyDescent="0.35">
      <c r="A39" s="112" t="s">
        <v>1820</v>
      </c>
      <c r="B39" s="434"/>
      <c r="C39" s="146" t="s">
        <v>2958</v>
      </c>
      <c r="D39" s="146"/>
      <c r="F39" s="102"/>
      <c r="G39" s="856">
        <f>dedn_Gift</f>
        <v>0</v>
      </c>
      <c r="H39" s="718"/>
      <c r="I39" s="96"/>
      <c r="J39" s="146"/>
      <c r="L39" s="7">
        <f>IF(dedn_Gift&gt;0,1,0)</f>
        <v>0</v>
      </c>
    </row>
    <row r="40" spans="1:12" x14ac:dyDescent="0.35">
      <c r="A40" s="112" t="s">
        <v>1821</v>
      </c>
      <c r="B40" s="434"/>
      <c r="C40" s="96" t="str">
        <f>IF(Allce_PA=P_A,"Personal Allowance","Reduced Personal Allowance")</f>
        <v>Personal Allowance</v>
      </c>
      <c r="D40" s="96"/>
      <c r="F40" s="102"/>
      <c r="G40" s="856">
        <f>Allce_PA</f>
        <v>11500</v>
      </c>
      <c r="I40" s="96"/>
      <c r="J40" s="146"/>
      <c r="L40" s="7">
        <f>IF(AND(Allce_PA&lt;&gt;Allce_dedn_total,Allce_PA&gt;0),1,0)</f>
        <v>0</v>
      </c>
    </row>
    <row r="41" spans="1:12" x14ac:dyDescent="0.35">
      <c r="A41" s="870" t="s">
        <v>4303</v>
      </c>
      <c r="B41" s="434"/>
      <c r="C41" s="4" t="s">
        <v>1432</v>
      </c>
      <c r="D41" s="96" t="str">
        <f>C40</f>
        <v>Personal Allowance</v>
      </c>
      <c r="F41" s="102"/>
      <c r="G41" s="856"/>
      <c r="H41" s="856">
        <f>Allce_PA</f>
        <v>11500</v>
      </c>
      <c r="I41" s="96"/>
      <c r="J41" s="146"/>
      <c r="L41" s="7">
        <f>IF(AND(Allce_PA=Allce_dedn_total,Allce_PA&gt;0),1,0)</f>
        <v>1</v>
      </c>
    </row>
    <row r="42" spans="1:12" x14ac:dyDescent="0.35">
      <c r="A42" s="870" t="s">
        <v>4642</v>
      </c>
      <c r="C42" s="4" t="s">
        <v>4747</v>
      </c>
      <c r="D42" s="96" t="s">
        <v>4744</v>
      </c>
      <c r="G42" s="856">
        <f>AllceOut_TPA</f>
        <v>0</v>
      </c>
      <c r="H42" s="856"/>
      <c r="L42" s="7">
        <f>IF(AllceOut_TPA&gt;0,IF(AND(Allce_PA&lt;&gt;Allce_dedn_total,Allce_PA&gt;0),1,0),0)</f>
        <v>0</v>
      </c>
    </row>
    <row r="43" spans="1:12" x14ac:dyDescent="0.35">
      <c r="A43" s="870" t="s">
        <v>4303</v>
      </c>
      <c r="C43" s="4" t="s">
        <v>4747</v>
      </c>
      <c r="D43" s="96" t="s">
        <v>4744</v>
      </c>
      <c r="H43" s="856">
        <f>AllceOut_TPA</f>
        <v>0</v>
      </c>
      <c r="L43" s="7">
        <f>IF(AllceOut_TPA&gt;0,IF(AND(Allce_PA=Allce_dedn_total,Allce_PA&gt;0),1,0),0)</f>
        <v>0</v>
      </c>
    </row>
    <row r="44" spans="1:12" x14ac:dyDescent="0.35">
      <c r="A44" s="112" t="s">
        <v>62</v>
      </c>
      <c r="B44" s="434"/>
      <c r="C44" s="96" t="s">
        <v>3662</v>
      </c>
      <c r="D44" s="96"/>
      <c r="F44" s="102"/>
      <c r="G44" s="856">
        <f>Allce_BPA</f>
        <v>0</v>
      </c>
      <c r="H44" s="718"/>
      <c r="I44" s="96"/>
      <c r="J44" s="146"/>
      <c r="L44" s="7">
        <f>IF(Allce_BPA&gt;0,1,0)</f>
        <v>0</v>
      </c>
    </row>
    <row r="45" spans="1:12" x14ac:dyDescent="0.35">
      <c r="A45" s="112" t="s">
        <v>63</v>
      </c>
      <c r="B45" s="434"/>
      <c r="C45" s="96" t="s">
        <v>3184</v>
      </c>
      <c r="D45" s="96"/>
      <c r="F45" s="102"/>
      <c r="G45" s="856">
        <f>Allce_BPA_Spare</f>
        <v>0</v>
      </c>
      <c r="H45" s="718"/>
      <c r="I45" s="96"/>
      <c r="J45" s="146"/>
      <c r="L45" s="7">
        <f>IF(Allce_BPA_Spare&gt;0,1,0)</f>
        <v>0</v>
      </c>
    </row>
    <row r="46" spans="1:12" ht="12" customHeight="1" x14ac:dyDescent="0.35">
      <c r="A46" s="112" t="s">
        <v>64</v>
      </c>
      <c r="B46" s="434"/>
      <c r="C46" s="87" t="s">
        <v>2456</v>
      </c>
      <c r="D46" s="87"/>
      <c r="F46" s="102"/>
      <c r="G46" s="856">
        <f>Income_Excluded</f>
        <v>0</v>
      </c>
      <c r="H46" s="718"/>
      <c r="I46" s="96"/>
      <c r="J46" s="146"/>
      <c r="L46" s="7">
        <f>IF(Income_Excluded&gt;0,1,0)</f>
        <v>0</v>
      </c>
    </row>
    <row r="47" spans="1:12" x14ac:dyDescent="0.35">
      <c r="A47" s="112" t="s">
        <v>65</v>
      </c>
      <c r="B47" s="434"/>
      <c r="C47" s="88" t="s">
        <v>1119</v>
      </c>
      <c r="D47" s="88"/>
      <c r="F47" s="96"/>
      <c r="G47" s="429"/>
      <c r="H47" s="856">
        <f>Allce_dedn_total</f>
        <v>11500</v>
      </c>
      <c r="I47" s="96"/>
      <c r="J47" s="146"/>
      <c r="L47" s="7">
        <f>IF(Allce_PA=Allce_dedn_total,0,1)</f>
        <v>0</v>
      </c>
    </row>
    <row r="48" spans="1:12" x14ac:dyDescent="0.35">
      <c r="A48" s="112" t="s">
        <v>66</v>
      </c>
      <c r="B48" s="434"/>
      <c r="C48" s="577"/>
      <c r="D48" s="577"/>
      <c r="E48" s="88"/>
      <c r="F48" s="96"/>
      <c r="G48" s="856"/>
      <c r="H48" s="718"/>
      <c r="I48" s="96"/>
      <c r="J48" s="146"/>
      <c r="L48" s="7">
        <v>1</v>
      </c>
    </row>
    <row r="49" spans="1:12" ht="13.15" x14ac:dyDescent="0.4">
      <c r="A49" s="112" t="s">
        <v>67</v>
      </c>
      <c r="B49" s="434"/>
      <c r="C49" s="106" t="s">
        <v>6669</v>
      </c>
      <c r="D49" s="95"/>
      <c r="E49" s="435"/>
      <c r="F49" s="435"/>
      <c r="G49" s="1093"/>
      <c r="H49" s="1094">
        <f>taxable_income</f>
        <v>0</v>
      </c>
      <c r="I49" s="96"/>
      <c r="J49" s="146"/>
      <c r="L49" s="7">
        <f>IF(taxable_income&gt;0,1,0)</f>
        <v>0</v>
      </c>
    </row>
    <row r="50" spans="1:12" ht="13.15" x14ac:dyDescent="0.4">
      <c r="A50" s="112" t="s">
        <v>4303</v>
      </c>
      <c r="B50" s="434"/>
      <c r="C50" s="106" t="s">
        <v>6310</v>
      </c>
      <c r="D50" s="95"/>
      <c r="E50" s="435"/>
      <c r="F50" s="435"/>
      <c r="G50" s="1093"/>
      <c r="H50" s="1094">
        <f>taxable_income</f>
        <v>0</v>
      </c>
      <c r="I50" s="96"/>
      <c r="J50" s="146"/>
      <c r="L50" s="7">
        <f>IF(taxable_income&lt;=0,1,0)</f>
        <v>1</v>
      </c>
    </row>
    <row r="51" spans="1:12" ht="13.15" x14ac:dyDescent="0.4">
      <c r="A51" s="112" t="s">
        <v>68</v>
      </c>
      <c r="B51" s="434"/>
      <c r="C51" s="18"/>
      <c r="D51" s="18"/>
      <c r="E51" s="96"/>
      <c r="F51" s="96"/>
      <c r="G51" s="102"/>
      <c r="H51" s="96"/>
      <c r="I51" s="96"/>
      <c r="J51" s="146"/>
      <c r="L51" s="7">
        <v>1</v>
      </c>
    </row>
    <row r="52" spans="1:12" x14ac:dyDescent="0.35">
      <c r="A52" s="862" t="s">
        <v>69</v>
      </c>
      <c r="B52" s="434"/>
      <c r="C52" s="92" t="s">
        <v>1120</v>
      </c>
      <c r="D52" s="92"/>
      <c r="E52" s="96"/>
      <c r="F52" s="96"/>
      <c r="G52" s="96"/>
      <c r="H52" s="96"/>
      <c r="I52" s="96"/>
      <c r="J52" s="146"/>
      <c r="L52" s="7">
        <v>1</v>
      </c>
    </row>
    <row r="53" spans="1:12" x14ac:dyDescent="0.35">
      <c r="A53" s="3221" t="s">
        <v>7861</v>
      </c>
      <c r="B53" s="3222"/>
      <c r="C53" s="3055" t="s">
        <v>8033</v>
      </c>
      <c r="D53" s="3055"/>
      <c r="E53" s="3045"/>
      <c r="F53" s="3055"/>
      <c r="G53" s="3055"/>
      <c r="H53" s="3223"/>
      <c r="I53" s="3055"/>
      <c r="J53" s="3045"/>
      <c r="K53" s="3043"/>
      <c r="L53" s="3043">
        <f>IF(AND(Residency_Status_in_UK=2,OR(ppr_extender&gt;0,gift_extender&gt;0)),1,0)</f>
        <v>0</v>
      </c>
    </row>
    <row r="54" spans="1:12" x14ac:dyDescent="0.35">
      <c r="A54" s="3221" t="s">
        <v>7862</v>
      </c>
      <c r="B54" s="3222"/>
      <c r="C54" s="3055" t="s">
        <v>8032</v>
      </c>
      <c r="D54" s="3055"/>
      <c r="E54" s="3045"/>
      <c r="F54" s="3055"/>
      <c r="G54" s="3055"/>
      <c r="H54" s="3223"/>
      <c r="I54" s="3055"/>
      <c r="J54" s="3045"/>
      <c r="K54" s="3043"/>
      <c r="L54" s="3043">
        <f>IF(AND(Residency_Status_in_UK=2,OR(ppr_extender&gt;0,gift_extender&gt;0)),1,0)</f>
        <v>0</v>
      </c>
    </row>
    <row r="55" spans="1:12" x14ac:dyDescent="0.35">
      <c r="A55" s="862" t="s">
        <v>70</v>
      </c>
      <c r="B55" s="434"/>
      <c r="C55" s="96" t="str">
        <f>"Your basic rate limit has been increased by "&amp;DOLLAR(ppr_extender,0)&amp;" and "&amp;DOLLAR(gift_extender,0)&amp;" to "&amp;DOLLAR(extended_BR,0)&amp;" for pension"</f>
        <v>Your basic rate limit has been increased by £0 and £0 to £33,500 for pension</v>
      </c>
      <c r="D55" s="96"/>
      <c r="F55" s="96"/>
      <c r="G55" s="96"/>
      <c r="H55" s="107"/>
      <c r="I55" s="96"/>
      <c r="J55" s="146"/>
      <c r="L55" s="3043">
        <f>IF(AND(Residency_Status_in_UK=1,ppr_extender&gt;0,gift_extender&gt;0),1,0)</f>
        <v>0</v>
      </c>
    </row>
    <row r="56" spans="1:12" x14ac:dyDescent="0.35">
      <c r="A56" s="1095" t="s">
        <v>4303</v>
      </c>
      <c r="B56" s="871"/>
      <c r="C56" s="96" t="str">
        <f>"Your basic rate limit has been increased by "&amp;DOLLAR(ppr_extender,0)&amp;" to "&amp;DOLLAR(extended_BR,0)&amp;" for pension payments etc."</f>
        <v>Your basic rate limit has been increased by £0 to £33,500 for pension payments etc.</v>
      </c>
      <c r="D56" s="864"/>
      <c r="F56" s="96"/>
      <c r="G56" s="96"/>
      <c r="H56" s="107"/>
      <c r="I56" s="96"/>
      <c r="J56" s="146"/>
      <c r="L56" s="3043">
        <f>IF(AND(Residency_Status_in_UK=1,ppr_extender&gt;0,gift_extender=0),1,0)</f>
        <v>0</v>
      </c>
    </row>
    <row r="57" spans="1:12" x14ac:dyDescent="0.35">
      <c r="A57" s="870" t="s">
        <v>4303</v>
      </c>
      <c r="B57" s="871"/>
      <c r="C57" s="96" t="str">
        <f>"Your basic rate limit has been increased by "&amp;DOLLAR(gift_extender,0)&amp;" to "&amp;DOLLAR(extended_BR,0)&amp;" for Gift Aid payments."</f>
        <v>Your basic rate limit has been increased by £0 to £33,500 for Gift Aid payments.</v>
      </c>
      <c r="D57" s="864"/>
      <c r="F57" s="96"/>
      <c r="G57" s="96"/>
      <c r="H57" s="107"/>
      <c r="I57" s="96"/>
      <c r="J57" s="429"/>
      <c r="L57" s="3043">
        <f>IF(AND(Residency_Status_in_UK=1,ppr_extender=0,gift_extender&gt;0),1,0)</f>
        <v>0</v>
      </c>
    </row>
    <row r="58" spans="1:12" x14ac:dyDescent="0.35">
      <c r="A58" s="3221" t="s">
        <v>7860</v>
      </c>
      <c r="B58" s="3222"/>
      <c r="C58" s="3055" t="str">
        <f>"Your basic rate limit has been increased by "&amp;DOLLAR(ppr_extender,0)&amp;" and "&amp;DOLLAR(gift_extender,0)&amp;" to "&amp;DOLLAR(extended_BR_STp,0)&amp;" and "&amp;DOLLAR(extended_BR,0)&amp;" for pension"</f>
        <v>Your basic rate limit has been increased by £0 and £0 to £33,500 and £33,500 for pension</v>
      </c>
      <c r="D58" s="3055"/>
      <c r="E58" s="3045"/>
      <c r="F58" s="3055"/>
      <c r="G58" s="3055"/>
      <c r="H58" s="3223"/>
      <c r="I58" s="3055"/>
      <c r="J58" s="3045"/>
      <c r="K58" s="3043"/>
      <c r="L58" s="3043">
        <f>IF(AND(Residency_Status_in_UK=2,ppr_extender&gt;0,gift_extender&gt;0),1,0)</f>
        <v>0</v>
      </c>
    </row>
    <row r="59" spans="1:12" x14ac:dyDescent="0.35">
      <c r="A59" s="3224" t="s">
        <v>4303</v>
      </c>
      <c r="B59" s="3225"/>
      <c r="C59" s="3055" t="str">
        <f>"Your basic rate limit has been increased by "&amp;DOLLAR(ppr_extender,0)&amp;" to "&amp;DOLLAR(extended_BR_STp,0)&amp;" and "&amp;DOLLAR(extended_BR,0)&amp;" for pension payments etc."</f>
        <v>Your basic rate limit has been increased by £0 to £33,500 and £33,500 for pension payments etc.</v>
      </c>
      <c r="D59" s="3226"/>
      <c r="E59" s="3045"/>
      <c r="F59" s="3055"/>
      <c r="G59" s="3055"/>
      <c r="H59" s="3223"/>
      <c r="I59" s="3055"/>
      <c r="J59" s="3045"/>
      <c r="K59" s="3043"/>
      <c r="L59" s="3043">
        <f>IF(AND(Residency_Status_in_UK=2,ppr_extender&gt;0,gift_extender=0),1,0)</f>
        <v>0</v>
      </c>
    </row>
    <row r="60" spans="1:12" x14ac:dyDescent="0.35">
      <c r="A60" s="3227" t="s">
        <v>4303</v>
      </c>
      <c r="B60" s="3225"/>
      <c r="C60" s="3055" t="str">
        <f>"Your basic rate limit has been increased by "&amp;DOLLAR(gift_extender,0)&amp;" to "&amp;DOLLAR(extended_BR_STp,0)&amp;" and "&amp;DOLLAR(extended_BR,0)&amp;" for Gift Aid payments."</f>
        <v>Your basic rate limit has been increased by £0 to £33,500 and £33,500 for Gift Aid payments.</v>
      </c>
      <c r="D60" s="3226"/>
      <c r="E60" s="3045"/>
      <c r="F60" s="3055"/>
      <c r="G60" s="3055"/>
      <c r="H60" s="3223"/>
      <c r="I60" s="3055"/>
      <c r="J60" s="3228"/>
      <c r="K60" s="3043"/>
      <c r="L60" s="3043">
        <f>IF(AND(Residency_Status_in_UK=2,ppr_extender=0,gift_extender&gt;0),1,0)</f>
        <v>0</v>
      </c>
    </row>
    <row r="61" spans="1:12" x14ac:dyDescent="0.35">
      <c r="A61" s="862" t="s">
        <v>71</v>
      </c>
      <c r="B61" s="434"/>
      <c r="C61" s="96" t="s">
        <v>1828</v>
      </c>
      <c r="D61" s="96"/>
      <c r="F61" s="96"/>
      <c r="G61" s="102"/>
      <c r="H61" s="96"/>
      <c r="I61" s="96"/>
      <c r="J61" s="146"/>
      <c r="L61" s="7">
        <f>IF(AND(ppr_extender&gt;0,gift_extender&gt;0),1,0)</f>
        <v>0</v>
      </c>
    </row>
    <row r="62" spans="1:12" x14ac:dyDescent="0.35">
      <c r="A62" s="870" t="s">
        <v>4303</v>
      </c>
      <c r="B62" s="871"/>
      <c r="C62" s="96" t="s">
        <v>4107</v>
      </c>
      <c r="D62" s="864"/>
      <c r="F62" s="96"/>
      <c r="G62" s="102"/>
      <c r="H62" s="96"/>
      <c r="I62" s="96"/>
      <c r="J62" s="146"/>
      <c r="L62" s="7">
        <f>IF(OR(AND(ppr_extender=0,gift_extender&gt;0),AND(ppr_extender&gt;0,gift_extender=0)),1,0)</f>
        <v>0</v>
      </c>
    </row>
    <row r="63" spans="1:12" x14ac:dyDescent="0.35">
      <c r="A63" s="112" t="s">
        <v>72</v>
      </c>
      <c r="B63" s="434"/>
      <c r="C63" s="577"/>
      <c r="D63" s="577"/>
      <c r="E63" s="96"/>
      <c r="F63" s="96"/>
      <c r="G63" s="102"/>
      <c r="H63" s="96"/>
      <c r="I63" s="857"/>
      <c r="J63" s="146"/>
      <c r="L63" s="7">
        <v>1</v>
      </c>
    </row>
    <row r="64" spans="1:12" x14ac:dyDescent="0.35">
      <c r="A64" s="112" t="s">
        <v>5592</v>
      </c>
      <c r="B64" s="434"/>
      <c r="C64" s="577"/>
      <c r="D64" s="577"/>
      <c r="E64" s="107"/>
      <c r="G64" s="44" t="str">
        <f>IF(non_resident,"Pay, pensions, profit etc.",IF(Residency_Status_in_UK=2,"Pay, pensions, profit etc. (Scottish income tax rate)","Pay, pensions, profit etc. (UK rate for England, Wales and Northern Ireland)"))</f>
        <v>Pay, pensions, profit etc. (UK rate for England, Wales and Northern Ireland)</v>
      </c>
      <c r="I64" s="103"/>
      <c r="J64" s="430"/>
      <c r="L64" s="7">
        <f>IF((taxable_pay_BR+taxable_pay_HR+taxable_pay_AHR)&gt;0,1,0)</f>
        <v>0</v>
      </c>
    </row>
    <row r="65" spans="1:12" x14ac:dyDescent="0.35">
      <c r="A65" s="112" t="s">
        <v>73</v>
      </c>
      <c r="B65" s="434"/>
      <c r="C65" s="577"/>
      <c r="D65" s="577"/>
      <c r="E65" s="107"/>
      <c r="G65" s="44" t="s">
        <v>5589</v>
      </c>
      <c r="H65" s="858">
        <f>taxable_pay_BR</f>
        <v>0</v>
      </c>
      <c r="I65" s="103" t="str">
        <f>IF(Residency_Status_in_UK=2,"x "&amp;SBR_rate*100&amp;"% =","x "&amp;BR_rate*100&amp;"% =")</f>
        <v>x 20% =</v>
      </c>
      <c r="J65" s="430">
        <f>tax_on_pay_BR</f>
        <v>0</v>
      </c>
      <c r="L65" s="7">
        <f>IF((taxable_pay_BR+taxable_pay_HR+taxable_pay_AHR)&gt;0,1,0)</f>
        <v>0</v>
      </c>
    </row>
    <row r="66" spans="1:12" x14ac:dyDescent="0.35">
      <c r="A66" s="112" t="s">
        <v>74</v>
      </c>
      <c r="B66" s="434"/>
      <c r="C66" s="577"/>
      <c r="D66" s="577"/>
      <c r="E66" s="107"/>
      <c r="G66" s="44" t="s">
        <v>5590</v>
      </c>
      <c r="H66" s="858">
        <f>taxable_pay_HR</f>
        <v>0</v>
      </c>
      <c r="I66" s="103" t="str">
        <f>IF(Residency_Status_in_UK=2,"x "&amp;SHR_rate*100&amp;"% =","x "&amp;HR_rate*100&amp;"% =")</f>
        <v>x 40% =</v>
      </c>
      <c r="J66" s="430">
        <f>tax_on_pay_HR</f>
        <v>0</v>
      </c>
      <c r="L66" s="7">
        <f>IF((taxable_pay_HR+taxable_pay_AHR)&gt;0,1,0)</f>
        <v>0</v>
      </c>
    </row>
    <row r="67" spans="1:12" x14ac:dyDescent="0.35">
      <c r="A67" s="112" t="s">
        <v>3964</v>
      </c>
      <c r="B67" s="434"/>
      <c r="C67" s="577"/>
      <c r="D67" s="577"/>
      <c r="E67" s="107"/>
      <c r="G67" s="44" t="s">
        <v>5591</v>
      </c>
      <c r="H67" s="858">
        <f>taxable_pay_AHR</f>
        <v>0</v>
      </c>
      <c r="I67" s="103" t="str">
        <f>IF(Residency_Status_in_UK=2,"x "&amp;SAHR_rate*100&amp;"% =","x "&amp;AHR_rate*100&amp;"% =")</f>
        <v>x 45% =</v>
      </c>
      <c r="J67" s="430">
        <f>tax_on_pay_AHR</f>
        <v>0</v>
      </c>
      <c r="L67" s="7">
        <f>IF(taxable_pay_AHR&gt;0,1,0)</f>
        <v>0</v>
      </c>
    </row>
    <row r="68" spans="1:12" x14ac:dyDescent="0.35">
      <c r="A68" s="112" t="s">
        <v>75</v>
      </c>
      <c r="B68" s="434"/>
      <c r="C68" s="577"/>
      <c r="D68" s="577"/>
      <c r="E68" s="107"/>
      <c r="G68" s="7"/>
      <c r="H68" s="429"/>
      <c r="I68" s="44"/>
      <c r="J68" s="432"/>
      <c r="L68" s="7">
        <f>IF(AND((taxable_pay_BR+taxable_pay_HR+taxable_pay_AHR)&gt;0,OR((taxable_int_SR+taxable_int_BR+taxable_int_HR+taxable_int_AHR)&gt;0,(taxable_divs_BR+taxable_divs_HR)&gt;0)),1,0)</f>
        <v>0</v>
      </c>
    </row>
    <row r="69" spans="1:12" x14ac:dyDescent="0.35">
      <c r="A69" s="112" t="s">
        <v>5587</v>
      </c>
      <c r="B69" s="434"/>
      <c r="C69" s="577"/>
      <c r="D69" s="577"/>
      <c r="F69" s="107"/>
      <c r="G69" s="44" t="str">
        <f>IF(AND(OR(income_Savings_taxfree&gt;0,taxable_int_SR+taxable_int_BR+taxable_int_HR+taxable_int_AHR&gt;0),income_CEG&gt;0),"Savings interest from banks or building societies, securities and gains on life policies",IF(income_CEG&gt;0,"Gains on life policies","Savings interest from banks or building societies, securities etc."))</f>
        <v>Savings interest from banks or building societies, securities etc.</v>
      </c>
      <c r="I69" s="103"/>
      <c r="J69" s="430"/>
      <c r="L69" s="7">
        <f>IF(OR(income_Savings_taxfree&gt;0,taxable_int_SR+taxable_int_BR+taxable_int_HR+taxable_int_AHR&gt;0,income_CEG&gt;0),1,0)</f>
        <v>0</v>
      </c>
    </row>
    <row r="70" spans="1:12" x14ac:dyDescent="0.35">
      <c r="A70" s="112" t="s">
        <v>5468</v>
      </c>
      <c r="B70" s="434"/>
      <c r="C70" s="577"/>
      <c r="D70" s="577"/>
      <c r="E70" s="107"/>
      <c r="G70" s="44" t="s">
        <v>3290</v>
      </c>
      <c r="H70" s="858">
        <f>taxable_int_SR</f>
        <v>0</v>
      </c>
      <c r="I70" s="103" t="s">
        <v>4972</v>
      </c>
      <c r="J70" s="430">
        <f>tax_on_int_SR</f>
        <v>0</v>
      </c>
      <c r="L70" s="7">
        <f>IF(OR(income_Savings_taxfree&gt;0,taxable_int_SR+taxable_int_BR+taxable_int_HR+taxable_int_AHR&gt;0),1,0)</f>
        <v>0</v>
      </c>
    </row>
    <row r="71" spans="1:12" x14ac:dyDescent="0.35">
      <c r="A71" s="2637" t="s">
        <v>5469</v>
      </c>
      <c r="B71" s="434"/>
      <c r="C71" s="577"/>
      <c r="D71" s="577"/>
      <c r="E71" s="107"/>
      <c r="G71" s="44" t="s">
        <v>5588</v>
      </c>
      <c r="H71" s="2638">
        <f>income_Savings_taxfree</f>
        <v>0</v>
      </c>
      <c r="I71" s="103" t="s">
        <v>4972</v>
      </c>
      <c r="J71" s="432">
        <v>0</v>
      </c>
      <c r="L71" s="1117">
        <f>IF(OR(income_Savings_taxfree&gt;0,taxable_int_BR+taxable_int_HR+taxable_int_AHR&gt;0),1,0)</f>
        <v>0</v>
      </c>
    </row>
    <row r="72" spans="1:12" x14ac:dyDescent="0.35">
      <c r="A72" s="112" t="s">
        <v>800</v>
      </c>
      <c r="B72" s="434"/>
      <c r="C72" s="577"/>
      <c r="D72" s="577"/>
      <c r="E72" s="107"/>
      <c r="G72" s="44" t="s">
        <v>5589</v>
      </c>
      <c r="H72" s="858">
        <f>taxable_int_BR</f>
        <v>0</v>
      </c>
      <c r="I72" s="103" t="s">
        <v>4969</v>
      </c>
      <c r="J72" s="430">
        <f>tax_on_int_BR</f>
        <v>0</v>
      </c>
      <c r="L72" s="7">
        <f>IF(taxable_int_BR+taxable_int_HR+taxable_int_AHR&gt;0,1,0)</f>
        <v>0</v>
      </c>
    </row>
    <row r="73" spans="1:12" x14ac:dyDescent="0.35">
      <c r="A73" s="112" t="s">
        <v>801</v>
      </c>
      <c r="B73" s="434"/>
      <c r="C73" s="577"/>
      <c r="D73" s="577"/>
      <c r="E73" s="107"/>
      <c r="G73" s="44" t="s">
        <v>5590</v>
      </c>
      <c r="H73" s="858">
        <f>taxable_int_HR</f>
        <v>0</v>
      </c>
      <c r="I73" s="103" t="s">
        <v>4970</v>
      </c>
      <c r="J73" s="430">
        <f>tax_on_int_HR</f>
        <v>0</v>
      </c>
      <c r="L73" s="7">
        <f>IF(taxable_int_HR+taxable_int_AHR&gt;0,1,0)</f>
        <v>0</v>
      </c>
    </row>
    <row r="74" spans="1:12" x14ac:dyDescent="0.35">
      <c r="A74" s="112" t="s">
        <v>3228</v>
      </c>
      <c r="B74" s="434"/>
      <c r="C74" s="577"/>
      <c r="D74" s="577"/>
      <c r="E74" s="107"/>
      <c r="G74" s="44" t="s">
        <v>5591</v>
      </c>
      <c r="H74" s="858">
        <f>taxable_int_AHR</f>
        <v>0</v>
      </c>
      <c r="I74" s="103" t="s">
        <v>4971</v>
      </c>
      <c r="J74" s="430">
        <f>tax_on_int_AHR</f>
        <v>0</v>
      </c>
      <c r="L74" s="7">
        <f>IF(taxable_int_AHR&gt;0,1,0)</f>
        <v>0</v>
      </c>
    </row>
    <row r="75" spans="1:12" x14ac:dyDescent="0.35">
      <c r="A75" s="112" t="s">
        <v>802</v>
      </c>
      <c r="B75" s="434"/>
      <c r="C75" s="577"/>
      <c r="D75" s="577"/>
      <c r="E75" s="107"/>
      <c r="G75" s="44"/>
      <c r="H75" s="429"/>
      <c r="I75" s="44"/>
      <c r="J75" s="432"/>
      <c r="L75" s="7">
        <f>IF(AND(income_Savings_taxfree+taxable_int_SR+taxable_int_BR+taxable_int_HR+taxable_int_AHR&gt;0,divs_taxfree_BR+taxable_divs_BR+taxable_divs_HR+taxable_divs_AHR&gt;0),1,0)</f>
        <v>0</v>
      </c>
    </row>
    <row r="76" spans="1:12" x14ac:dyDescent="0.35">
      <c r="A76" s="2639" t="s">
        <v>5593</v>
      </c>
      <c r="B76" s="434"/>
      <c r="C76" s="577"/>
      <c r="D76" s="577"/>
      <c r="E76" s="107"/>
      <c r="G76" s="44" t="s">
        <v>1431</v>
      </c>
      <c r="I76" s="103"/>
      <c r="J76" s="432"/>
      <c r="L76" s="3043">
        <f>IF(OR(taxable_divs_BR+taxable_divs_HR+taxable_divs_AHR&gt;0,divs_taxfree_BR+divs_taxfree_HR+divs_taxfree_AHR&gt;0),1,0)</f>
        <v>0</v>
      </c>
    </row>
    <row r="77" spans="1:12" x14ac:dyDescent="0.35">
      <c r="A77" s="2639" t="s">
        <v>5493</v>
      </c>
      <c r="B77" s="434"/>
      <c r="C77" s="577"/>
      <c r="D77" s="577"/>
      <c r="E77" s="107"/>
      <c r="G77" s="44" t="s">
        <v>8047</v>
      </c>
      <c r="H77" s="2638">
        <f>divs_taxfree_BR</f>
        <v>0</v>
      </c>
      <c r="I77" s="103" t="s">
        <v>4972</v>
      </c>
      <c r="J77" s="432">
        <v>0</v>
      </c>
      <c r="L77" s="3043">
        <f>IF(divs_taxfree_BR&gt;0,1,0)</f>
        <v>0</v>
      </c>
    </row>
    <row r="78" spans="1:12" x14ac:dyDescent="0.35">
      <c r="A78" s="112" t="s">
        <v>5494</v>
      </c>
      <c r="B78" s="434"/>
      <c r="C78" s="577"/>
      <c r="D78" s="577"/>
      <c r="E78" s="107"/>
      <c r="F78" s="1141"/>
      <c r="G78" s="44" t="s">
        <v>5589</v>
      </c>
      <c r="H78" s="858">
        <f>taxable_divs_BR</f>
        <v>0</v>
      </c>
      <c r="I78" s="44" t="str">
        <f>"x "&amp;DivBR_rate*100&amp;"% ="</f>
        <v>x 7.5% =</v>
      </c>
      <c r="J78" s="430">
        <f>tax_on_divs_BR</f>
        <v>0</v>
      </c>
      <c r="L78" s="7">
        <f>IF((taxable_divs_BR+taxable_divs_HR+taxable_divs_AHR)&gt;0,1,0)</f>
        <v>0</v>
      </c>
    </row>
    <row r="79" spans="1:12" x14ac:dyDescent="0.35">
      <c r="A79" s="3478" t="s">
        <v>8036</v>
      </c>
      <c r="B79" s="3222"/>
      <c r="C79" s="3479"/>
      <c r="D79" s="3479"/>
      <c r="E79" s="107"/>
      <c r="G79" s="44" t="s">
        <v>8048</v>
      </c>
      <c r="H79" s="2638">
        <f>divs_taxfree_HR</f>
        <v>0</v>
      </c>
      <c r="I79" s="103" t="s">
        <v>4972</v>
      </c>
      <c r="J79" s="432">
        <v>0</v>
      </c>
      <c r="K79" s="3043"/>
      <c r="L79" s="3043">
        <f>IF(divs_taxfree_HR&gt;0,1,0)</f>
        <v>0</v>
      </c>
    </row>
    <row r="80" spans="1:12" x14ac:dyDescent="0.35">
      <c r="A80" s="112" t="s">
        <v>803</v>
      </c>
      <c r="B80" s="434"/>
      <c r="C80" s="577"/>
      <c r="D80" s="577"/>
      <c r="E80" s="96"/>
      <c r="F80" s="96"/>
      <c r="G80" s="44" t="s">
        <v>5590</v>
      </c>
      <c r="H80" s="858">
        <f>taxable_divs_HR</f>
        <v>0</v>
      </c>
      <c r="I80" s="44" t="str">
        <f>"x "&amp;DivHR_rate*100&amp;"% ="</f>
        <v>x 32.5% =</v>
      </c>
      <c r="J80" s="430">
        <f>tax_on_divs_HR</f>
        <v>0</v>
      </c>
      <c r="L80" s="7">
        <f>IF((taxable_divs_HR+taxable_divs_AHR)&gt;0,1,0)</f>
        <v>0</v>
      </c>
    </row>
    <row r="81" spans="1:14" x14ac:dyDescent="0.35">
      <c r="A81" s="3478" t="s">
        <v>8037</v>
      </c>
      <c r="B81" s="3222"/>
      <c r="C81" s="3479"/>
      <c r="D81" s="3479"/>
      <c r="E81" s="107"/>
      <c r="G81" s="44" t="s">
        <v>8049</v>
      </c>
      <c r="H81" s="2638">
        <f>divs_taxfree_AHR</f>
        <v>0</v>
      </c>
      <c r="I81" s="103" t="s">
        <v>4972</v>
      </c>
      <c r="J81" s="432">
        <v>0</v>
      </c>
      <c r="K81" s="3043"/>
      <c r="L81" s="3043">
        <f>IF(divs_taxfree_AHR&gt;0,1,0)</f>
        <v>0</v>
      </c>
    </row>
    <row r="82" spans="1:14" x14ac:dyDescent="0.35">
      <c r="A82" s="112" t="s">
        <v>1470</v>
      </c>
      <c r="B82" s="434"/>
      <c r="C82" s="577"/>
      <c r="D82" s="577"/>
      <c r="E82" s="96"/>
      <c r="F82" s="96"/>
      <c r="G82" s="44" t="s">
        <v>5591</v>
      </c>
      <c r="H82" s="858">
        <f>taxable_divs_AHR</f>
        <v>0</v>
      </c>
      <c r="I82" s="44" t="str">
        <f>"x "&amp;DivAR_rate*100&amp;"% ="</f>
        <v>x 38.1% =</v>
      </c>
      <c r="J82" s="430">
        <f>tax_on_divs_AHR</f>
        <v>0</v>
      </c>
      <c r="L82" s="7">
        <f>IF(taxable_divs_AHR&gt;0,1,0)</f>
        <v>0</v>
      </c>
      <c r="N82" s="1139"/>
    </row>
    <row r="83" spans="1:14" x14ac:dyDescent="0.35">
      <c r="A83" s="112" t="s">
        <v>804</v>
      </c>
      <c r="B83" s="434"/>
      <c r="C83" s="92" t="s">
        <v>1121</v>
      </c>
      <c r="D83" s="92"/>
      <c r="E83" s="92"/>
      <c r="F83" s="96"/>
      <c r="G83" s="96"/>
      <c r="H83" s="972">
        <f>taxable_income</f>
        <v>0</v>
      </c>
      <c r="J83" s="432"/>
      <c r="L83" s="7">
        <v>1</v>
      </c>
      <c r="N83" s="1139"/>
    </row>
    <row r="84" spans="1:14" x14ac:dyDescent="0.35">
      <c r="A84" s="112" t="s">
        <v>805</v>
      </c>
      <c r="B84" s="434"/>
      <c r="J84" s="432"/>
      <c r="L84" s="7">
        <v>1</v>
      </c>
      <c r="N84" s="1139"/>
    </row>
    <row r="85" spans="1:14" x14ac:dyDescent="0.35">
      <c r="A85" s="112" t="s">
        <v>806</v>
      </c>
      <c r="B85" s="434"/>
      <c r="C85" s="1089" t="s">
        <v>2543</v>
      </c>
      <c r="D85" s="42" t="s">
        <v>1225</v>
      </c>
      <c r="F85" s="96"/>
      <c r="G85" s="96"/>
      <c r="H85" s="96"/>
      <c r="I85" s="104"/>
      <c r="J85" s="406">
        <f>tax_on_excluded_inc</f>
        <v>0</v>
      </c>
      <c r="L85" s="7">
        <f>IF(tax_on_excluded_inc&gt;0,1,0)</f>
        <v>0</v>
      </c>
    </row>
    <row r="86" spans="1:14" ht="13.15" x14ac:dyDescent="0.4">
      <c r="A86" s="862" t="s">
        <v>807</v>
      </c>
      <c r="B86" s="434"/>
      <c r="C86" s="106" t="s">
        <v>686</v>
      </c>
      <c r="D86" s="95"/>
      <c r="E86" s="435"/>
      <c r="F86" s="435"/>
      <c r="G86" s="435"/>
      <c r="H86" s="860" t="s">
        <v>4749</v>
      </c>
      <c r="I86" s="435"/>
      <c r="J86" s="436">
        <f>tax_charged</f>
        <v>0</v>
      </c>
      <c r="L86" s="3101">
        <f>IF(AND(tax_charged=Total_tax_NIC_due,tax_charged=IT_after_allces,IT_after_gift_aid&gt;IT_after_allces),1,0)</f>
        <v>0</v>
      </c>
    </row>
    <row r="87" spans="1:14" ht="13.15" x14ac:dyDescent="0.4">
      <c r="A87" s="1442" t="s">
        <v>4303</v>
      </c>
      <c r="B87" s="434"/>
      <c r="C87" s="106" t="s">
        <v>686</v>
      </c>
      <c r="D87" s="95"/>
      <c r="E87" s="435"/>
      <c r="F87" s="435"/>
      <c r="G87" s="435"/>
      <c r="H87" s="860"/>
      <c r="I87" s="435"/>
      <c r="J87" s="436">
        <f>tax_charged</f>
        <v>0</v>
      </c>
      <c r="L87" s="3101">
        <f>IF(AND(tax_charged=Total_tax_NIC_due,OR(tax_charged&lt;&gt;IT_after_allces,IT_after_gift_aid&lt;=IT_after_allces)),1,0)</f>
        <v>1</v>
      </c>
    </row>
    <row r="88" spans="1:14" ht="13.15" x14ac:dyDescent="0.4">
      <c r="A88" s="1095" t="s">
        <v>4303</v>
      </c>
      <c r="B88" s="434"/>
      <c r="C88" s="106" t="s">
        <v>1122</v>
      </c>
      <c r="D88" s="95"/>
      <c r="E88" s="435"/>
      <c r="F88" s="435"/>
      <c r="G88" s="435"/>
      <c r="H88" s="860" t="s">
        <v>4749</v>
      </c>
      <c r="I88" s="435"/>
      <c r="J88" s="436">
        <f>tax_charged</f>
        <v>0</v>
      </c>
      <c r="L88" s="3101">
        <f>IF(AND(tax_charged&lt;&gt;Total_tax_NIC_due,tax_charged=IT_after_allces,IT_after_gift_aid&gt;IT_after_allces),1,0)</f>
        <v>0</v>
      </c>
    </row>
    <row r="89" spans="1:14" ht="13.15" x14ac:dyDescent="0.4">
      <c r="A89" s="1442" t="s">
        <v>4303</v>
      </c>
      <c r="B89" s="434"/>
      <c r="C89" s="106" t="s">
        <v>1122</v>
      </c>
      <c r="D89" s="95"/>
      <c r="E89" s="435"/>
      <c r="F89" s="435"/>
      <c r="G89" s="435"/>
      <c r="H89" s="435"/>
      <c r="I89" s="435"/>
      <c r="J89" s="436">
        <f>tax_charged</f>
        <v>0</v>
      </c>
      <c r="L89" s="3101">
        <f>IF(AND(tax_charged&lt;&gt;Total_tax_NIC_due,OR(tax_charged&lt;&gt;IT_after_allces,IT_after_gift_aid&lt;=IT_after_allces)),1,0)</f>
        <v>0</v>
      </c>
    </row>
    <row r="90" spans="1:14" ht="13.15" x14ac:dyDescent="0.4">
      <c r="A90" s="3504" t="s">
        <v>4303</v>
      </c>
      <c r="B90" s="3505"/>
      <c r="C90" s="3506" t="s">
        <v>1122</v>
      </c>
      <c r="D90" s="3507"/>
      <c r="E90" s="3508"/>
      <c r="F90" s="3508"/>
      <c r="G90" s="3508"/>
      <c r="H90" s="3508"/>
      <c r="I90" s="3508"/>
      <c r="J90" s="3509">
        <f>tax_charged</f>
        <v>0</v>
      </c>
      <c r="K90" s="3510"/>
      <c r="L90" s="3510"/>
    </row>
    <row r="91" spans="1:14" x14ac:dyDescent="0.35">
      <c r="A91" s="870" t="s">
        <v>2882</v>
      </c>
      <c r="B91" s="434"/>
      <c r="J91" s="432"/>
      <c r="L91" s="7">
        <v>1</v>
      </c>
    </row>
    <row r="92" spans="1:14" x14ac:dyDescent="0.35">
      <c r="A92" s="870" t="s">
        <v>2428</v>
      </c>
      <c r="B92" s="434"/>
      <c r="C92" s="4" t="s">
        <v>1432</v>
      </c>
      <c r="D92" s="22" t="s">
        <v>969</v>
      </c>
      <c r="J92" s="432">
        <f>deficiency_relief</f>
        <v>0</v>
      </c>
      <c r="L92" s="7">
        <f>IF(deficiency_relief&gt;0,1,0)</f>
        <v>0</v>
      </c>
    </row>
    <row r="93" spans="1:14" x14ac:dyDescent="0.35">
      <c r="A93" s="112" t="s">
        <v>2883</v>
      </c>
      <c r="B93" s="434"/>
      <c r="C93" s="4" t="s">
        <v>1432</v>
      </c>
      <c r="D93" s="96" t="s">
        <v>1522</v>
      </c>
      <c r="F93" s="96"/>
      <c r="G93" s="96"/>
      <c r="H93" s="96"/>
      <c r="I93" s="96"/>
      <c r="J93" s="406">
        <f>TSR</f>
        <v>0</v>
      </c>
      <c r="L93" s="7">
        <f>IF(TSR&gt;0,1,0)</f>
        <v>0</v>
      </c>
    </row>
    <row r="94" spans="1:14" x14ac:dyDescent="0.35">
      <c r="A94" s="112" t="s">
        <v>2884</v>
      </c>
      <c r="B94" s="434"/>
      <c r="C94" s="4" t="s">
        <v>1432</v>
      </c>
      <c r="D94" s="96" t="s">
        <v>1969</v>
      </c>
      <c r="F94" s="96"/>
      <c r="G94" s="96"/>
      <c r="H94" s="92"/>
      <c r="I94" s="96"/>
      <c r="J94" s="406">
        <f>VCT</f>
        <v>0</v>
      </c>
      <c r="L94" s="7">
        <f>IF(VCT&gt;0,1,0)</f>
        <v>0</v>
      </c>
    </row>
    <row r="95" spans="1:14" x14ac:dyDescent="0.35">
      <c r="A95" s="112" t="s">
        <v>2885</v>
      </c>
      <c r="B95" s="434"/>
      <c r="C95" s="4" t="s">
        <v>1432</v>
      </c>
      <c r="D95" s="96" t="s">
        <v>1970</v>
      </c>
      <c r="F95" s="96"/>
      <c r="G95" s="96"/>
      <c r="I95" s="104"/>
      <c r="J95" s="406">
        <f>EIS</f>
        <v>0</v>
      </c>
      <c r="K95" s="102"/>
      <c r="L95" s="7">
        <f>IF(EIS&gt;0,1,0)</f>
        <v>0</v>
      </c>
    </row>
    <row r="96" spans="1:14" x14ac:dyDescent="0.35">
      <c r="A96" s="112" t="s">
        <v>3232</v>
      </c>
      <c r="B96" s="434"/>
      <c r="C96" s="4" t="s">
        <v>1432</v>
      </c>
      <c r="D96" s="96" t="s">
        <v>3185</v>
      </c>
      <c r="F96" s="96"/>
      <c r="G96" s="96"/>
      <c r="I96" s="104"/>
      <c r="J96" s="406">
        <f>SEIS_Relief</f>
        <v>0</v>
      </c>
      <c r="K96" s="102"/>
      <c r="L96" s="7">
        <f>IF(SEIS_Relief&gt;0,1,0)</f>
        <v>0</v>
      </c>
    </row>
    <row r="97" spans="1:13" x14ac:dyDescent="0.35">
      <c r="A97" s="112" t="s">
        <v>2886</v>
      </c>
      <c r="B97" s="434"/>
      <c r="C97" s="4" t="s">
        <v>1432</v>
      </c>
      <c r="D97" s="96" t="s">
        <v>3186</v>
      </c>
      <c r="F97" s="96"/>
      <c r="G97" s="96"/>
      <c r="H97" s="43"/>
      <c r="I97" s="43"/>
      <c r="J97" s="406">
        <f>CITR</f>
        <v>0</v>
      </c>
      <c r="K97" s="43"/>
      <c r="L97" s="7">
        <f>IF(CITR&gt;0,1,0)</f>
        <v>0</v>
      </c>
    </row>
    <row r="98" spans="1:13" x14ac:dyDescent="0.35">
      <c r="A98" s="112" t="s">
        <v>1563</v>
      </c>
      <c r="B98" s="434"/>
      <c r="C98" s="4" t="s">
        <v>1432</v>
      </c>
      <c r="D98" s="96" t="s">
        <v>1558</v>
      </c>
      <c r="F98" s="96"/>
      <c r="G98" s="96"/>
      <c r="H98" s="43"/>
      <c r="I98" s="43"/>
      <c r="J98" s="406">
        <f>SITR</f>
        <v>0</v>
      </c>
      <c r="K98" s="43"/>
      <c r="L98" s="7">
        <f>IF(SITR&gt;0,1,0)</f>
        <v>0</v>
      </c>
    </row>
    <row r="99" spans="1:13" x14ac:dyDescent="0.35">
      <c r="A99" s="112" t="s">
        <v>2887</v>
      </c>
      <c r="B99" s="434"/>
      <c r="C99" s="4" t="s">
        <v>1432</v>
      </c>
      <c r="D99" s="96" t="s">
        <v>3361</v>
      </c>
      <c r="F99" s="96"/>
      <c r="G99" s="96"/>
      <c r="H99" s="96"/>
      <c r="I99" s="104"/>
      <c r="J99" s="406">
        <f>Alimony</f>
        <v>0</v>
      </c>
      <c r="L99" s="7">
        <f>IF(Alimony&gt;0,1,0)</f>
        <v>0</v>
      </c>
    </row>
    <row r="100" spans="1:13" x14ac:dyDescent="0.35">
      <c r="A100" s="112" t="s">
        <v>1882</v>
      </c>
      <c r="B100" s="434"/>
      <c r="C100" s="4" t="s">
        <v>1432</v>
      </c>
      <c r="D100" s="96" t="s">
        <v>3187</v>
      </c>
      <c r="F100" s="96"/>
      <c r="H100" s="856">
        <f>MCA_amount</f>
        <v>0</v>
      </c>
      <c r="I100" s="1443" t="s">
        <v>4973</v>
      </c>
      <c r="J100" s="406">
        <f>MCA_relief</f>
        <v>0</v>
      </c>
      <c r="L100" s="7">
        <f>IF(MCA_amount&gt;0,1,0)</f>
        <v>0</v>
      </c>
    </row>
    <row r="101" spans="1:13" x14ac:dyDescent="0.35">
      <c r="A101" s="112" t="s">
        <v>1883</v>
      </c>
      <c r="B101" s="434"/>
      <c r="C101" s="4" t="s">
        <v>1432</v>
      </c>
      <c r="D101" s="96" t="s">
        <v>3188</v>
      </c>
      <c r="F101" s="96"/>
      <c r="H101" s="856">
        <f>spare_MCA_amount</f>
        <v>0</v>
      </c>
      <c r="I101" s="1443" t="s">
        <v>4973</v>
      </c>
      <c r="J101" s="406">
        <f>spare_MCA_relief</f>
        <v>0</v>
      </c>
      <c r="L101" s="7">
        <f>IF(spare_MCA_amount&gt;0,1,0)</f>
        <v>0</v>
      </c>
    </row>
    <row r="102" spans="1:13" x14ac:dyDescent="0.35">
      <c r="A102" s="112" t="s">
        <v>6650</v>
      </c>
      <c r="B102" s="434"/>
      <c r="C102" s="4" t="s">
        <v>1432</v>
      </c>
      <c r="D102" s="96" t="s">
        <v>4564</v>
      </c>
      <c r="F102" s="96"/>
      <c r="H102" s="856">
        <f>AllceIn_TPA</f>
        <v>0</v>
      </c>
      <c r="I102" s="1443" t="s">
        <v>4969</v>
      </c>
      <c r="J102" s="406">
        <f>AllceIn_TPA_relief</f>
        <v>0</v>
      </c>
      <c r="L102" s="7">
        <f>IF(AllceIn_TPA_relief&gt;0,1,0)</f>
        <v>0</v>
      </c>
    </row>
    <row r="103" spans="1:13" x14ac:dyDescent="0.35">
      <c r="A103" s="3219" t="s">
        <v>6962</v>
      </c>
      <c r="B103" s="2674"/>
      <c r="C103" s="2675" t="s">
        <v>1432</v>
      </c>
      <c r="D103" s="2682" t="s">
        <v>6937</v>
      </c>
      <c r="E103" s="1462"/>
      <c r="F103" s="2682"/>
      <c r="G103" s="1462"/>
      <c r="H103" s="2684">
        <f>Llir_amount</f>
        <v>0</v>
      </c>
      <c r="I103" s="2765" t="s">
        <v>4969</v>
      </c>
      <c r="J103" s="2678">
        <f>Llir_relief</f>
        <v>0</v>
      </c>
      <c r="K103" s="1117"/>
      <c r="L103" s="1117">
        <f>IF(AND(Llir_amount&gt;0,Llir_amount=Llir_amount_restricted),1,0)</f>
        <v>0</v>
      </c>
      <c r="M103" s="1139"/>
    </row>
    <row r="104" spans="1:13" x14ac:dyDescent="0.35">
      <c r="A104" s="3220" t="s">
        <v>4303</v>
      </c>
      <c r="B104" s="2674"/>
      <c r="C104" s="2675" t="s">
        <v>1432</v>
      </c>
      <c r="D104" s="2682" t="str">
        <f>"Relief for finance costs "&amp;DOLLAR(Llir_amount,0)&amp;" reduced to maximum allowable "</f>
        <v xml:space="preserve">Relief for finance costs £0 reduced to maximum allowable </v>
      </c>
      <c r="E104" s="1462"/>
      <c r="F104" s="2682"/>
      <c r="G104" s="1462"/>
      <c r="H104" s="2684">
        <f>Llir_amount_restricted</f>
        <v>0</v>
      </c>
      <c r="I104" s="2765" t="s">
        <v>4969</v>
      </c>
      <c r="J104" s="2678">
        <f>Llir_relief</f>
        <v>0</v>
      </c>
      <c r="K104" s="1117"/>
      <c r="L104" s="1117">
        <f>IF(AND(Llir_amount&gt;0,Llir_amount&gt;Llir_amount_restricted),1,0)</f>
        <v>0</v>
      </c>
      <c r="M104" s="1139"/>
    </row>
    <row r="105" spans="1:13" x14ac:dyDescent="0.35">
      <c r="A105" s="112" t="s">
        <v>1884</v>
      </c>
      <c r="B105" s="434"/>
      <c r="C105" s="4" t="s">
        <v>1432</v>
      </c>
      <c r="D105" s="42" t="s">
        <v>2870</v>
      </c>
      <c r="E105" s="42"/>
      <c r="F105" s="102"/>
      <c r="H105" s="96"/>
      <c r="J105" s="406">
        <f>notional_CEG</f>
        <v>0</v>
      </c>
      <c r="L105" s="7">
        <f>IF(notional_CEG&gt;0,1,0)</f>
        <v>0</v>
      </c>
      <c r="M105" s="1139"/>
    </row>
    <row r="106" spans="1:13" x14ac:dyDescent="0.35">
      <c r="A106" s="112" t="s">
        <v>1885</v>
      </c>
      <c r="B106" s="434"/>
      <c r="C106" s="4" t="s">
        <v>1432</v>
      </c>
      <c r="D106" s="96" t="s">
        <v>1950</v>
      </c>
      <c r="E106" s="110"/>
      <c r="F106" s="102"/>
      <c r="H106" s="96"/>
      <c r="J106" s="406">
        <f>notional_other</f>
        <v>0</v>
      </c>
      <c r="K106" s="1139"/>
      <c r="L106" s="1139">
        <f>IF(notional_other&gt;1,1,0)</f>
        <v>0</v>
      </c>
    </row>
    <row r="107" spans="1:13" x14ac:dyDescent="0.35">
      <c r="A107" s="112" t="s">
        <v>985</v>
      </c>
      <c r="B107" s="434"/>
      <c r="C107" s="4" t="s">
        <v>1432</v>
      </c>
      <c r="D107" s="96" t="s">
        <v>4040</v>
      </c>
      <c r="F107" s="102"/>
      <c r="G107" s="96"/>
      <c r="H107" s="96"/>
      <c r="I107" s="104"/>
      <c r="J107" s="406">
        <f>FTCR</f>
        <v>0</v>
      </c>
      <c r="L107" s="7">
        <f>IF(FTCR&gt;0,1,0)</f>
        <v>0</v>
      </c>
    </row>
    <row r="108" spans="1:13" x14ac:dyDescent="0.35">
      <c r="A108" s="2673" t="s">
        <v>986</v>
      </c>
      <c r="B108" s="2674"/>
      <c r="C108" s="2675" t="s">
        <v>1432</v>
      </c>
      <c r="D108" s="2676" t="s">
        <v>2556</v>
      </c>
      <c r="E108" s="1462"/>
      <c r="F108" s="2676"/>
      <c r="G108" s="2676"/>
      <c r="H108" s="2676"/>
      <c r="I108" s="2677"/>
      <c r="J108" s="2678">
        <f>relief_on_qual_distn</f>
        <v>0</v>
      </c>
      <c r="K108" s="1155"/>
      <c r="L108" s="1155">
        <f>IF(relief_on_qual_distn&gt;0,1,0)</f>
        <v>0</v>
      </c>
    </row>
    <row r="109" spans="1:13" ht="13.15" x14ac:dyDescent="0.4">
      <c r="A109" s="870" t="s">
        <v>861</v>
      </c>
      <c r="B109" s="434"/>
      <c r="C109" s="106" t="s">
        <v>2635</v>
      </c>
      <c r="D109" s="95"/>
      <c r="E109" s="435"/>
      <c r="F109" s="435"/>
      <c r="G109" s="1177"/>
      <c r="H109" s="1178" t="s">
        <v>4749</v>
      </c>
      <c r="I109" s="1179"/>
      <c r="J109" s="436">
        <f>IT_after_allces</f>
        <v>0</v>
      </c>
      <c r="L109" s="7">
        <f>IF(AND(tax_charged&gt;IT_after_allces,IT_after_gift_aid&gt;IT_after_allces),1,0)</f>
        <v>0</v>
      </c>
      <c r="M109" s="7" t="s">
        <v>8363</v>
      </c>
    </row>
    <row r="110" spans="1:13" ht="13.15" x14ac:dyDescent="0.4">
      <c r="A110" s="862" t="s">
        <v>4303</v>
      </c>
      <c r="B110" s="434"/>
      <c r="C110" s="106" t="s">
        <v>2635</v>
      </c>
      <c r="D110" s="95"/>
      <c r="E110" s="435"/>
      <c r="F110" s="435"/>
      <c r="G110" s="1177"/>
      <c r="H110" s="1178"/>
      <c r="I110" s="1179"/>
      <c r="J110" s="436">
        <f>IT_after_allces</f>
        <v>0</v>
      </c>
      <c r="L110" s="1117">
        <f>IF(AND(tax_charged&gt;IT_after_allces,IT_after_gift_aid&lt;=IT_after_allces),1,0)</f>
        <v>0</v>
      </c>
    </row>
    <row r="111" spans="1:13" ht="13.15" x14ac:dyDescent="0.4">
      <c r="A111" s="3764" t="s">
        <v>4303</v>
      </c>
      <c r="B111" s="2674"/>
      <c r="C111" s="3765" t="s">
        <v>2635</v>
      </c>
      <c r="D111" s="3766"/>
      <c r="E111" s="3767"/>
      <c r="F111" s="3767"/>
      <c r="G111" s="3768"/>
      <c r="H111" s="3769"/>
      <c r="I111" s="3770"/>
      <c r="J111" s="3771">
        <f>IT_after_allces</f>
        <v>0</v>
      </c>
      <c r="K111" s="1117"/>
      <c r="L111" s="1117">
        <f>IF(AND(deficiency_relief+TSR+VCT+EIS+SEIS_Relief+CITR+SITR+Alimony+MCA_relief+spare_MCA_relief+AllceIn_TPA_relief+notional_CEG+notional_other+FTCR&gt;tax_charged,IT_after_gift_aid=IT_after_allces),1,0)</f>
        <v>0</v>
      </c>
    </row>
    <row r="112" spans="1:13" ht="13.15" x14ac:dyDescent="0.4">
      <c r="A112" s="862" t="s">
        <v>862</v>
      </c>
      <c r="B112" s="434"/>
      <c r="C112" s="863"/>
      <c r="D112" s="863"/>
      <c r="E112" s="864"/>
      <c r="F112" s="864"/>
      <c r="G112" s="864"/>
      <c r="H112" s="865"/>
      <c r="I112" s="866"/>
      <c r="J112" s="867"/>
      <c r="L112" s="7">
        <f>IF(tax_charged&gt;IT_after_allces,1,0)</f>
        <v>0</v>
      </c>
    </row>
    <row r="113" spans="1:13" x14ac:dyDescent="0.35">
      <c r="A113" s="862" t="s">
        <v>863</v>
      </c>
      <c r="B113" s="434"/>
      <c r="C113" s="868" t="s">
        <v>4129</v>
      </c>
      <c r="D113" s="869"/>
      <c r="G113" s="792" t="s">
        <v>4130</v>
      </c>
      <c r="H113" s="856">
        <f>Gift_aid_amount</f>
        <v>0</v>
      </c>
      <c r="I113" s="103" t="s">
        <v>4969</v>
      </c>
      <c r="J113" s="406">
        <f>Gift_aid_tax_due</f>
        <v>0</v>
      </c>
      <c r="L113" s="1176">
        <f>IF(AND(IT_after_gift_aid&gt;IT_after_allces,(CGTax+non_dom_charge_amount+hr_tax_charge_on_CBC)=0),1,0)</f>
        <v>0</v>
      </c>
    </row>
    <row r="114" spans="1:13" x14ac:dyDescent="0.35">
      <c r="A114" s="870" t="s">
        <v>4303</v>
      </c>
      <c r="B114" s="871"/>
      <c r="C114" s="868" t="s">
        <v>4129</v>
      </c>
      <c r="D114" s="869"/>
      <c r="F114" s="872"/>
      <c r="G114" s="856">
        <f>Gift_aid_amount</f>
        <v>0</v>
      </c>
      <c r="H114" s="103" t="s">
        <v>4969</v>
      </c>
      <c r="I114" s="406">
        <f>Gift_aid_tax_due</f>
        <v>0</v>
      </c>
      <c r="J114" s="432"/>
      <c r="L114" s="1176">
        <f>IF(AND(IT_after_gift_aid&gt;IT_after_allces,(CGTax+non_dom_charge_amount+hr_tax_charge_on_CBC)&gt;0),1,0)</f>
        <v>0</v>
      </c>
    </row>
    <row r="115" spans="1:13" x14ac:dyDescent="0.35">
      <c r="A115" s="112" t="s">
        <v>864</v>
      </c>
      <c r="B115" s="434"/>
      <c r="D115" s="4" t="s">
        <v>1432</v>
      </c>
      <c r="E115" s="110" t="s">
        <v>925</v>
      </c>
      <c r="F115" s="873"/>
      <c r="G115" s="874"/>
      <c r="I115" s="430">
        <f>CGTax</f>
        <v>0</v>
      </c>
      <c r="J115" s="432"/>
      <c r="L115" s="3847">
        <f>IF(AND(IT_after_gift_aid&gt;IT_after_allces,CGTax&gt;0),1,0)</f>
        <v>0</v>
      </c>
    </row>
    <row r="116" spans="1:13" x14ac:dyDescent="0.35">
      <c r="A116" s="112" t="s">
        <v>2234</v>
      </c>
      <c r="B116" s="434"/>
      <c r="D116" s="4" t="s">
        <v>1432</v>
      </c>
      <c r="E116" s="110" t="s">
        <v>3807</v>
      </c>
      <c r="F116" s="873"/>
      <c r="G116" s="874"/>
      <c r="I116" s="430">
        <f>non_dom_charge_amount</f>
        <v>0</v>
      </c>
      <c r="J116" s="432"/>
      <c r="L116" s="1176">
        <f>IF(AND(IT_after_gift_aid&gt;IT_after_allces,non_dom_charge_amount&gt;0),1,0)</f>
        <v>0</v>
      </c>
    </row>
    <row r="117" spans="1:13" x14ac:dyDescent="0.35">
      <c r="A117" s="112" t="s">
        <v>846</v>
      </c>
      <c r="B117" s="434"/>
      <c r="D117" s="4" t="s">
        <v>1432</v>
      </c>
      <c r="E117" s="96" t="s">
        <v>3189</v>
      </c>
      <c r="F117" s="873"/>
      <c r="G117" s="874"/>
      <c r="I117" s="430">
        <f>Child_Benefit_tax_charge</f>
        <v>0</v>
      </c>
      <c r="J117" s="432"/>
      <c r="L117" s="1176">
        <f>IF(AND(IT_after_gift_aid&gt;IT_after_allces,Child_Benefit_tax_charge&gt;0),1,0)</f>
        <v>0</v>
      </c>
    </row>
    <row r="118" spans="1:13" x14ac:dyDescent="0.35">
      <c r="A118" s="112" t="s">
        <v>6574</v>
      </c>
      <c r="B118" s="434"/>
      <c r="D118" s="4" t="s">
        <v>1432</v>
      </c>
      <c r="E118" s="96" t="s">
        <v>6575</v>
      </c>
      <c r="F118" s="873"/>
      <c r="G118" s="874"/>
      <c r="I118" s="430">
        <f>pens_tax_due</f>
        <v>0</v>
      </c>
      <c r="J118" s="432"/>
      <c r="L118" s="1176">
        <f>IF(AND(IT_after_gift_aid&gt;IT_after_allces,pens_tax_due&gt;0),1,0)</f>
        <v>0</v>
      </c>
    </row>
    <row r="119" spans="1:13" x14ac:dyDescent="0.35">
      <c r="A119" s="112" t="s">
        <v>865</v>
      </c>
      <c r="B119" s="434"/>
      <c r="C119" s="869"/>
      <c r="D119" s="869"/>
      <c r="E119" s="107"/>
      <c r="F119" s="96"/>
      <c r="H119" s="796" t="s">
        <v>4130</v>
      </c>
      <c r="J119" s="430">
        <f>Gift_aid_tax_reduced</f>
        <v>0</v>
      </c>
      <c r="L119" s="1176">
        <f>IF(AND(IT_after_gift_aid&gt;IT_after_allces,(CGTax+non_dom_charge_amount+hr_tax_charge_on_CBC)&gt;0),1,0)</f>
        <v>0</v>
      </c>
    </row>
    <row r="120" spans="1:13" ht="13.15" x14ac:dyDescent="0.4">
      <c r="A120" s="112" t="s">
        <v>866</v>
      </c>
      <c r="B120" s="434"/>
      <c r="C120" s="106" t="s">
        <v>1953</v>
      </c>
      <c r="D120" s="95"/>
      <c r="E120" s="435"/>
      <c r="F120" s="1096"/>
      <c r="G120" s="435"/>
      <c r="H120" s="1097" t="s">
        <v>2704</v>
      </c>
      <c r="I120" s="1097"/>
      <c r="J120" s="436">
        <f>IT_after_gift_aid</f>
        <v>0</v>
      </c>
      <c r="L120" s="1176">
        <f>IF(IT_after_gift_aid&gt;IT_after_allces,1,0)</f>
        <v>0</v>
      </c>
    </row>
    <row r="121" spans="1:13" ht="13.15" x14ac:dyDescent="0.4">
      <c r="A121" s="112" t="s">
        <v>867</v>
      </c>
      <c r="B121" s="434"/>
      <c r="C121" s="18"/>
      <c r="D121" s="18"/>
      <c r="E121" s="96"/>
      <c r="F121" s="102"/>
      <c r="G121" s="96"/>
      <c r="H121" s="717"/>
      <c r="I121" s="104"/>
      <c r="J121" s="432"/>
      <c r="L121" s="1176">
        <f>IF(IT_after_gift_aid&gt;IT_after_allces,1,0)</f>
        <v>0</v>
      </c>
    </row>
    <row r="122" spans="1:13" x14ac:dyDescent="0.35">
      <c r="A122" s="112" t="s">
        <v>868</v>
      </c>
      <c r="B122" s="434"/>
      <c r="C122" s="1089" t="s">
        <v>2543</v>
      </c>
      <c r="D122" s="96" t="s">
        <v>2926</v>
      </c>
      <c r="H122" s="856">
        <f>annuity_amount</f>
        <v>0</v>
      </c>
      <c r="I122" s="103" t="s">
        <v>4969</v>
      </c>
      <c r="J122" s="406">
        <f>annuity_tax</f>
        <v>0</v>
      </c>
      <c r="L122" s="7">
        <f>IF(annuity_amount&gt;0,1,0)</f>
        <v>0</v>
      </c>
    </row>
    <row r="123" spans="1:13" x14ac:dyDescent="0.35">
      <c r="A123" s="1783" t="s">
        <v>869</v>
      </c>
      <c r="B123" s="434"/>
      <c r="C123" s="4" t="s">
        <v>1432</v>
      </c>
      <c r="D123" s="3055" t="s">
        <v>8286</v>
      </c>
      <c r="E123" s="3045"/>
      <c r="F123" s="3722"/>
      <c r="G123" s="3055"/>
      <c r="H123" s="3045"/>
      <c r="I123" s="104"/>
      <c r="J123" s="406">
        <f>div_tax_credits</f>
        <v>0</v>
      </c>
      <c r="L123" s="7">
        <f>IF(div_tax_credits&gt;0,1,0)</f>
        <v>0</v>
      </c>
    </row>
    <row r="124" spans="1:13" ht="13.15" x14ac:dyDescent="0.4">
      <c r="A124" s="3753" t="s">
        <v>870</v>
      </c>
      <c r="B124" s="434"/>
      <c r="C124" s="106" t="s">
        <v>686</v>
      </c>
      <c r="D124" s="95"/>
      <c r="E124" s="435"/>
      <c r="F124" s="1096"/>
      <c r="G124" s="435"/>
      <c r="H124" s="860"/>
      <c r="I124" s="860"/>
      <c r="J124" s="436">
        <f>IT_after_div_tax_credits</f>
        <v>0</v>
      </c>
      <c r="K124" s="1139"/>
      <c r="L124" s="3101">
        <f>IF(AND(annuity_amount&gt;0,div_tax_credits=0),1,0)</f>
        <v>0</v>
      </c>
      <c r="M124" s="1834"/>
    </row>
    <row r="125" spans="1:13" ht="13.15" x14ac:dyDescent="0.4">
      <c r="A125" s="3752" t="s">
        <v>4303</v>
      </c>
      <c r="B125" s="434"/>
      <c r="C125" s="106" t="s">
        <v>8276</v>
      </c>
      <c r="D125" s="95"/>
      <c r="E125" s="435"/>
      <c r="F125" s="1096"/>
      <c r="G125" s="435"/>
      <c r="H125" s="860"/>
      <c r="I125" s="860"/>
      <c r="J125" s="436">
        <f>IT_after_div_tax_credits</f>
        <v>0</v>
      </c>
      <c r="L125" s="3043">
        <f>IF(div_tax_credits&gt;0,1,0)</f>
        <v>0</v>
      </c>
    </row>
    <row r="126" spans="1:13" x14ac:dyDescent="0.35">
      <c r="A126" s="3750" t="s">
        <v>3450</v>
      </c>
      <c r="B126" s="434"/>
      <c r="C126" s="577"/>
      <c r="D126" s="577"/>
      <c r="E126" s="107"/>
      <c r="F126" s="102"/>
      <c r="G126" s="96"/>
      <c r="H126" s="96"/>
      <c r="I126" s="104"/>
      <c r="J126" s="432"/>
      <c r="L126" s="7">
        <f>IF((annuity_amount+div_tax_credits)&gt;0,1,0)</f>
        <v>0</v>
      </c>
    </row>
    <row r="127" spans="1:13" x14ac:dyDescent="0.35">
      <c r="A127" s="3750" t="s">
        <v>3451</v>
      </c>
      <c r="B127" s="434"/>
      <c r="C127" s="786" t="s">
        <v>2543</v>
      </c>
      <c r="D127" s="92" t="s">
        <v>3708</v>
      </c>
      <c r="E127" s="107"/>
      <c r="F127" s="102"/>
      <c r="H127" s="856">
        <f>NIC_amount</f>
        <v>0</v>
      </c>
      <c r="I127" s="940" t="s">
        <v>4974</v>
      </c>
      <c r="J127" s="406">
        <f>NIC_charge</f>
        <v>0</v>
      </c>
      <c r="L127" s="7">
        <f>IF(NIC_total&gt;0,IF(NIC1_amount&lt;=0,IF(AND(NIC_charge&gt;0,NIC_sup_charge=0),1,0),0),0)</f>
        <v>0</v>
      </c>
    </row>
    <row r="128" spans="1:13" x14ac:dyDescent="0.35">
      <c r="A128" s="3752" t="s">
        <v>4303</v>
      </c>
      <c r="B128" s="434"/>
      <c r="C128" s="786" t="s">
        <v>2543</v>
      </c>
      <c r="D128" s="92" t="s">
        <v>3708</v>
      </c>
      <c r="F128" s="102"/>
      <c r="G128" s="96"/>
      <c r="H128" s="96"/>
      <c r="I128" s="104"/>
      <c r="J128" s="432"/>
      <c r="L128" s="7">
        <f>IF(NIC_total&gt;0,IF(NIC1_amount&lt;=0,IF(AND(NIC_charge&gt;0,NIC_sup_charge&gt;0),1,0),0),0)</f>
        <v>0</v>
      </c>
    </row>
    <row r="129" spans="1:13" x14ac:dyDescent="0.35">
      <c r="A129" s="112" t="s">
        <v>3452</v>
      </c>
      <c r="B129" s="434"/>
      <c r="C129" s="1089"/>
      <c r="D129" s="869"/>
      <c r="F129" s="102"/>
      <c r="G129" s="856">
        <f>NIC_amount</f>
        <v>0</v>
      </c>
      <c r="H129" s="940" t="s">
        <v>4974</v>
      </c>
      <c r="I129" s="406">
        <f>NIC_charge</f>
        <v>0</v>
      </c>
      <c r="J129" s="432"/>
      <c r="L129" s="7">
        <f>IF(NIC_total&gt;0,IF(NIC1_amount&lt;=0,IF(AND(NIC_charge&gt;0,NIC_sup_charge&gt;0),1,0),0),0)</f>
        <v>0</v>
      </c>
    </row>
    <row r="130" spans="1:13" x14ac:dyDescent="0.35">
      <c r="A130" s="112" t="s">
        <v>2741</v>
      </c>
      <c r="B130" s="434"/>
      <c r="C130" s="434"/>
      <c r="D130" s="577"/>
      <c r="E130" s="96" t="s">
        <v>1987</v>
      </c>
      <c r="F130" s="102"/>
      <c r="G130" s="856">
        <f>NIC_sup_amount</f>
        <v>0</v>
      </c>
      <c r="H130" s="940" t="s">
        <v>4975</v>
      </c>
      <c r="I130" s="406">
        <f>NIC_sup_charge</f>
        <v>0</v>
      </c>
      <c r="J130" s="432"/>
      <c r="L130" s="7">
        <f>IF(NIC_total&gt;0,IF(NIC1_amount&lt;=0,IF(AND(NIC_charge&gt;0,NIC_sup_charge&gt;0),1,0),0),0)</f>
        <v>0</v>
      </c>
    </row>
    <row r="131" spans="1:13" x14ac:dyDescent="0.35">
      <c r="A131" s="112" t="s">
        <v>4634</v>
      </c>
      <c r="C131" s="786" t="s">
        <v>2543</v>
      </c>
      <c r="D131" s="92" t="s">
        <v>3708</v>
      </c>
      <c r="I131" s="406">
        <f>NIC4_amount</f>
        <v>0</v>
      </c>
      <c r="L131" s="7">
        <f>IF(NIC_total&gt;0,IF(NIC1_amount&gt;0,1,0),0)</f>
        <v>0</v>
      </c>
    </row>
    <row r="132" spans="1:13" x14ac:dyDescent="0.35">
      <c r="A132" s="112" t="s">
        <v>4732</v>
      </c>
      <c r="B132" s="1139"/>
      <c r="C132" s="4"/>
      <c r="D132" s="96" t="str">
        <f>"Your Class 4 has been adjusted for Class 2 due and "&amp;DOLLAR(NIC1_amount,2)&amp;" primary Class 1 contributions"</f>
        <v>Your Class 4 has been adjusted for Class 2 due and £0.00 primary Class 1 contributions</v>
      </c>
      <c r="E132" s="1139"/>
      <c r="F132" s="1139"/>
      <c r="G132" s="1139"/>
      <c r="I132" s="1139"/>
      <c r="J132" s="1139"/>
      <c r="K132" s="1139"/>
      <c r="L132" s="1139">
        <f>IF(NIC4_amount&gt;0,IF(NIC1_amount&gt;0,1,0),0)</f>
        <v>0</v>
      </c>
    </row>
    <row r="133" spans="1:13" x14ac:dyDescent="0.35">
      <c r="A133" s="3750" t="s">
        <v>4733</v>
      </c>
      <c r="C133" s="786" t="s">
        <v>2543</v>
      </c>
      <c r="D133" s="92" t="s">
        <v>4636</v>
      </c>
      <c r="I133" s="406">
        <f>NIC2_amount</f>
        <v>0</v>
      </c>
      <c r="L133" s="7">
        <f>IF(NIC_total&gt;0,IF(NIC2_amount&gt;0,1,0),0)</f>
        <v>0</v>
      </c>
    </row>
    <row r="134" spans="1:13" x14ac:dyDescent="0.35">
      <c r="A134" s="3201" t="s">
        <v>2742</v>
      </c>
      <c r="B134" s="434"/>
      <c r="C134" s="4"/>
      <c r="D134" s="792" t="s">
        <v>8263</v>
      </c>
      <c r="F134" s="96"/>
      <c r="H134" s="96"/>
      <c r="J134" s="406">
        <f>NIC_total</f>
        <v>0</v>
      </c>
      <c r="L134" s="3101">
        <f>IF(AND(NIC_total&gt;0,NIC2_amount=0),1,0)</f>
        <v>0</v>
      </c>
      <c r="M134" s="1834"/>
    </row>
    <row r="135" spans="1:13" x14ac:dyDescent="0.35">
      <c r="A135" s="3751" t="s">
        <v>4303</v>
      </c>
      <c r="B135" s="3234"/>
      <c r="C135" s="3242"/>
      <c r="D135" s="792" t="s">
        <v>8271</v>
      </c>
      <c r="F135" s="96"/>
      <c r="H135" s="96"/>
      <c r="J135" s="406">
        <f>NIC_total</f>
        <v>0</v>
      </c>
      <c r="K135" s="1834"/>
      <c r="L135" s="3101">
        <f>IF(AND(NIC_total&gt;0,NIC2_amount&gt;0,NIC2_amount&lt;NIC_total),1,0)</f>
        <v>0</v>
      </c>
    </row>
    <row r="136" spans="1:13" x14ac:dyDescent="0.35">
      <c r="A136" s="3752" t="s">
        <v>4303</v>
      </c>
      <c r="B136" s="3234"/>
      <c r="C136" s="3242"/>
      <c r="D136" s="792" t="s">
        <v>8337</v>
      </c>
      <c r="F136" s="96"/>
      <c r="H136" s="96"/>
      <c r="J136" s="406">
        <f>NIC_total</f>
        <v>0</v>
      </c>
      <c r="K136" s="1834"/>
      <c r="L136" s="3043">
        <f>IF(AND(NIC_total&gt;0,NIC2_amount&gt;0,NIC2_amount=NIC_total),1,0)</f>
        <v>0</v>
      </c>
    </row>
    <row r="137" spans="1:13" x14ac:dyDescent="0.35">
      <c r="A137" s="3750" t="s">
        <v>2743</v>
      </c>
      <c r="B137" s="434"/>
      <c r="C137" s="1089"/>
      <c r="D137" s="2507"/>
      <c r="E137" s="107"/>
      <c r="F137" s="96"/>
      <c r="H137" s="96"/>
      <c r="I137" s="104"/>
      <c r="J137" s="432"/>
      <c r="L137" s="7">
        <f>IF(NIC_total&gt;0,1,0)</f>
        <v>0</v>
      </c>
    </row>
    <row r="138" spans="1:13" x14ac:dyDescent="0.35">
      <c r="A138" s="3750" t="s">
        <v>38</v>
      </c>
      <c r="B138" s="434"/>
      <c r="C138" s="4" t="s">
        <v>2543</v>
      </c>
      <c r="D138" s="96" t="str">
        <f>"Underpaid tax for earlier years in your tax code for "&amp;tax_year</f>
        <v>Underpaid tax for earlier years in your tax code for 2017-18</v>
      </c>
      <c r="F138" s="96"/>
      <c r="G138" s="96"/>
      <c r="H138" s="96"/>
      <c r="I138" s="104"/>
      <c r="J138" s="406">
        <f>unpaid_tax_in_code</f>
        <v>0</v>
      </c>
      <c r="L138" s="7">
        <f>IF(unpaid_tax_in_code&gt;0,1,0)</f>
        <v>0</v>
      </c>
    </row>
    <row r="139" spans="1:13" x14ac:dyDescent="0.35">
      <c r="A139" s="3750" t="s">
        <v>39</v>
      </c>
      <c r="B139" s="434"/>
      <c r="C139" s="4" t="s">
        <v>2543</v>
      </c>
      <c r="D139" s="96" t="s">
        <v>6359</v>
      </c>
      <c r="F139" s="96"/>
      <c r="G139" s="96"/>
      <c r="H139" s="96"/>
      <c r="I139" s="104"/>
      <c r="J139" s="406">
        <f>Student_loan</f>
        <v>0</v>
      </c>
      <c r="L139" s="7">
        <f>IF(AND(Student_loan&gt;0,SL_type=1),1,0)</f>
        <v>0</v>
      </c>
    </row>
    <row r="140" spans="1:13" x14ac:dyDescent="0.35">
      <c r="A140" s="3750" t="s">
        <v>4303</v>
      </c>
      <c r="B140" s="434"/>
      <c r="C140" s="4" t="s">
        <v>2543</v>
      </c>
      <c r="D140" s="96" t="s">
        <v>6360</v>
      </c>
      <c r="F140" s="96"/>
      <c r="G140" s="96"/>
      <c r="H140" s="96"/>
      <c r="I140" s="104"/>
      <c r="J140" s="406">
        <f>Student_loan</f>
        <v>0</v>
      </c>
      <c r="L140" s="7">
        <f>IF(AND(Student_loan&gt;0,SL_type=2),1,0)</f>
        <v>0</v>
      </c>
    </row>
    <row r="141" spans="1:13" x14ac:dyDescent="0.35">
      <c r="A141" s="3750" t="s">
        <v>60</v>
      </c>
      <c r="B141" s="434"/>
      <c r="C141" s="4" t="s">
        <v>2543</v>
      </c>
      <c r="D141" s="96" t="s">
        <v>3189</v>
      </c>
      <c r="F141" s="96"/>
      <c r="G141" s="96"/>
      <c r="H141" s="96"/>
      <c r="I141" s="104"/>
      <c r="J141" s="406">
        <f>Child_Benefit_tax_charge</f>
        <v>0</v>
      </c>
      <c r="L141" s="7">
        <f>IF(Child_Benefit_tax_charge&gt;0,1,0)</f>
        <v>0</v>
      </c>
    </row>
    <row r="142" spans="1:13" x14ac:dyDescent="0.35">
      <c r="A142" s="3750" t="s">
        <v>3537</v>
      </c>
      <c r="C142" s="4" t="s">
        <v>2543</v>
      </c>
      <c r="D142" s="146" t="str">
        <f>"Total pension savings charges ("&amp;DOLLAR(Pension_charges_gross,2)&amp;" minus tax treated as paid "&amp;DOLLAR(Pension_charges_tax_paid,2)&amp;")"</f>
        <v>Total pension savings charges (£0.00 minus tax treated as paid £0.00)</v>
      </c>
      <c r="J142" s="432">
        <f>Pension_charges</f>
        <v>0</v>
      </c>
      <c r="L142" s="7">
        <f>IF(Pension_charges&gt;0,1,0)</f>
        <v>0</v>
      </c>
    </row>
    <row r="143" spans="1:13" x14ac:dyDescent="0.35">
      <c r="A143" s="3750" t="s">
        <v>576</v>
      </c>
      <c r="C143" s="4" t="s">
        <v>2543</v>
      </c>
      <c r="D143" s="146" t="s">
        <v>3190</v>
      </c>
      <c r="H143" s="429">
        <f>Pension_lump_sum_amount</f>
        <v>0</v>
      </c>
      <c r="I143" s="433" t="str">
        <f>"x "&amp;Pension_lump_sum_rate*100&amp;"% ="</f>
        <v>x 0% =</v>
      </c>
      <c r="J143" s="432">
        <f>Pension_lump_sum_tax</f>
        <v>0</v>
      </c>
      <c r="L143" s="7">
        <f>IF(Pension_lump_sum_amount&gt;0,1,0)</f>
        <v>0</v>
      </c>
    </row>
    <row r="144" spans="1:13" x14ac:dyDescent="0.35">
      <c r="A144" s="3750" t="s">
        <v>2610</v>
      </c>
      <c r="C144" s="4" t="s">
        <v>2543</v>
      </c>
      <c r="D144" s="146" t="s">
        <v>3807</v>
      </c>
      <c r="H144" s="429"/>
      <c r="I144" s="433"/>
      <c r="J144" s="432">
        <f>non_dom_charge_amount</f>
        <v>0</v>
      </c>
      <c r="L144" s="7">
        <f>IF(non_dom_charge_amount&gt;0,1,0)</f>
        <v>0</v>
      </c>
    </row>
    <row r="145" spans="1:13" x14ac:dyDescent="0.35">
      <c r="A145" s="3750" t="s">
        <v>6388</v>
      </c>
      <c r="C145" s="4" t="s">
        <v>2543</v>
      </c>
      <c r="D145" s="146" t="s">
        <v>6387</v>
      </c>
      <c r="H145" s="429"/>
      <c r="I145" s="433"/>
      <c r="J145" s="432">
        <f>pens_tax_due</f>
        <v>0</v>
      </c>
      <c r="L145" s="7">
        <f>IF(pens_tax_due&gt;0,1,0)</f>
        <v>0</v>
      </c>
    </row>
    <row r="146" spans="1:13" x14ac:dyDescent="0.35">
      <c r="A146" s="3750" t="s">
        <v>6389</v>
      </c>
      <c r="C146" s="4" t="s">
        <v>1432</v>
      </c>
      <c r="D146" s="146" t="s">
        <v>6390</v>
      </c>
      <c r="H146" s="429"/>
      <c r="I146" s="433"/>
      <c r="J146" s="432">
        <f>pens_tax_rel_due</f>
        <v>0</v>
      </c>
      <c r="L146" s="7">
        <f>IF(pens_tax_rel_due&gt;0,1,0)</f>
        <v>0</v>
      </c>
    </row>
    <row r="147" spans="1:13" ht="13.15" x14ac:dyDescent="0.4">
      <c r="A147" s="3753" t="s">
        <v>40</v>
      </c>
      <c r="B147" s="434"/>
      <c r="C147" s="106" t="s">
        <v>686</v>
      </c>
      <c r="D147" s="95"/>
      <c r="E147" s="435"/>
      <c r="F147" s="435"/>
      <c r="G147" s="435"/>
      <c r="H147" s="435"/>
      <c r="I147" s="435"/>
      <c r="J147" s="436">
        <f>IT_plus_class4</f>
        <v>0</v>
      </c>
      <c r="L147" s="3101">
        <f>IF(AND(unpaid_tax_in_code+Student_loan+hr_tax_charge_on_CBC+Pension_charges+Pension_lump_sum_amount+non_dom_charge_amount&gt;0,NIC_total=0),1,0)</f>
        <v>0</v>
      </c>
      <c r="M147" s="1834"/>
    </row>
    <row r="148" spans="1:13" ht="13.15" x14ac:dyDescent="0.4">
      <c r="A148" s="3751" t="s">
        <v>4303</v>
      </c>
      <c r="B148" s="3234"/>
      <c r="C148" s="106" t="s">
        <v>7853</v>
      </c>
      <c r="D148" s="95"/>
      <c r="E148" s="435"/>
      <c r="F148" s="435"/>
      <c r="G148" s="435"/>
      <c r="H148" s="435"/>
      <c r="I148" s="435"/>
      <c r="J148" s="436">
        <f>IT_plus_class4</f>
        <v>0</v>
      </c>
      <c r="K148" s="1834"/>
      <c r="L148" s="3101">
        <f>IF(AND(NIC_total&gt;0,NIC2_amount=0),1,0)</f>
        <v>0</v>
      </c>
    </row>
    <row r="149" spans="1:13" ht="13.15" x14ac:dyDescent="0.4">
      <c r="A149" s="3751" t="s">
        <v>4303</v>
      </c>
      <c r="B149" s="3234"/>
      <c r="C149" s="106" t="s">
        <v>7854</v>
      </c>
      <c r="D149" s="95"/>
      <c r="E149" s="435"/>
      <c r="F149" s="435"/>
      <c r="G149" s="435"/>
      <c r="H149" s="435"/>
      <c r="I149" s="435"/>
      <c r="J149" s="436">
        <f>IT_plus_class4</f>
        <v>0</v>
      </c>
      <c r="K149" s="1834"/>
      <c r="L149" s="3101">
        <f>IF(AND(NIC_total&gt;0,NIC2_amount&gt;0,NIC2_amount&lt;NIC_total),1,0)</f>
        <v>0</v>
      </c>
    </row>
    <row r="150" spans="1:13" ht="13.15" x14ac:dyDescent="0.4">
      <c r="A150" s="3752" t="s">
        <v>4303</v>
      </c>
      <c r="B150" s="3234"/>
      <c r="C150" s="106" t="s">
        <v>7852</v>
      </c>
      <c r="D150" s="95"/>
      <c r="E150" s="435"/>
      <c r="F150" s="435"/>
      <c r="G150" s="435"/>
      <c r="H150" s="435"/>
      <c r="I150" s="435"/>
      <c r="J150" s="436">
        <f>IT_plus_class4</f>
        <v>0</v>
      </c>
      <c r="K150" s="1834"/>
      <c r="L150" s="3101">
        <f>IF(AND(NIC_total&gt;0,NIC2_amount&gt;0,NIC2_amount=NIC_total),1,0)</f>
        <v>0</v>
      </c>
    </row>
    <row r="151" spans="1:13" x14ac:dyDescent="0.35">
      <c r="A151" s="3750" t="s">
        <v>834</v>
      </c>
      <c r="B151" s="434"/>
      <c r="C151" s="577"/>
      <c r="D151" s="577"/>
      <c r="E151" s="96"/>
      <c r="F151" s="96"/>
      <c r="G151" s="96"/>
      <c r="H151" s="96"/>
      <c r="I151" s="104"/>
      <c r="J151" s="432"/>
      <c r="L151" s="7">
        <f>IF(NIC_total+unpaid_tax_in_code+Student_loan+hr_tax_charge_on_CBC+Pension_charges+Pension_lump_sum_amount+non_dom_charge_amount&gt;0,1,0)</f>
        <v>0</v>
      </c>
    </row>
    <row r="152" spans="1:13" x14ac:dyDescent="0.35">
      <c r="A152" s="112" t="s">
        <v>3812</v>
      </c>
      <c r="B152" s="434"/>
      <c r="C152" s="1953" t="s">
        <v>1432</v>
      </c>
      <c r="D152" s="92" t="s">
        <v>2188</v>
      </c>
      <c r="E152" s="107"/>
      <c r="F152" s="96"/>
      <c r="G152" s="96"/>
      <c r="H152" s="96"/>
      <c r="I152" s="104"/>
      <c r="J152" s="432"/>
      <c r="L152" s="7">
        <f>IF((total_tax_paid+debt_coded)&gt;0,1,0)</f>
        <v>0</v>
      </c>
    </row>
    <row r="153" spans="1:13" x14ac:dyDescent="0.35">
      <c r="A153" s="112" t="s">
        <v>2707</v>
      </c>
      <c r="B153" s="434"/>
      <c r="C153" s="1053"/>
      <c r="D153" s="96" t="s">
        <v>1946</v>
      </c>
      <c r="E153" s="107"/>
      <c r="F153" s="96"/>
      <c r="G153" s="96"/>
      <c r="H153" s="96"/>
      <c r="I153" s="430">
        <f>tax_paid_E</f>
        <v>0</v>
      </c>
      <c r="J153" s="432"/>
      <c r="L153" s="7">
        <f>IF(AND(tax_paid_E&gt;0,debt_coded=0),1,0)</f>
        <v>0</v>
      </c>
    </row>
    <row r="154" spans="1:13" x14ac:dyDescent="0.35">
      <c r="A154" s="112" t="s">
        <v>4303</v>
      </c>
      <c r="B154" s="434"/>
      <c r="C154" s="1053"/>
      <c r="D154" s="96" t="s">
        <v>1946</v>
      </c>
      <c r="E154" s="107"/>
      <c r="F154" s="96"/>
      <c r="G154" s="96"/>
      <c r="H154" s="430">
        <f>tax_paid_E</f>
        <v>0</v>
      </c>
      <c r="I154" s="104"/>
      <c r="J154" s="432"/>
      <c r="L154" s="7">
        <f>IF(debt_coded&gt;0,1,0)</f>
        <v>0</v>
      </c>
    </row>
    <row r="155" spans="1:13" x14ac:dyDescent="0.35">
      <c r="A155" s="112" t="s">
        <v>3401</v>
      </c>
      <c r="B155" s="434"/>
      <c r="C155" s="1053"/>
      <c r="D155" s="434" t="s">
        <v>1118</v>
      </c>
      <c r="E155" s="107" t="s">
        <v>1947</v>
      </c>
      <c r="F155" s="96"/>
      <c r="G155" s="96"/>
      <c r="H155" s="430">
        <f>debt_collected</f>
        <v>0</v>
      </c>
      <c r="I155" s="104"/>
      <c r="J155" s="432"/>
      <c r="L155" s="7">
        <f>IF(debt_coded&gt;0,1,0)</f>
        <v>0</v>
      </c>
    </row>
    <row r="156" spans="1:13" x14ac:dyDescent="0.35">
      <c r="A156" s="112" t="s">
        <v>1948</v>
      </c>
      <c r="B156" s="434"/>
      <c r="C156" s="1053"/>
      <c r="D156" s="96" t="s">
        <v>1949</v>
      </c>
      <c r="E156" s="107"/>
      <c r="F156" s="96"/>
      <c r="G156" s="96"/>
      <c r="H156" s="96"/>
      <c r="I156" s="430">
        <f>SA_E_tax</f>
        <v>0</v>
      </c>
      <c r="J156" s="432"/>
      <c r="L156" s="7">
        <f>IF(debt_coded&gt;0,1,0)</f>
        <v>0</v>
      </c>
    </row>
    <row r="157" spans="1:13" x14ac:dyDescent="0.35">
      <c r="A157" s="112" t="s">
        <v>3498</v>
      </c>
      <c r="B157" s="434"/>
      <c r="D157" s="107" t="s">
        <v>5346</v>
      </c>
      <c r="F157" s="96"/>
      <c r="H157" s="96"/>
      <c r="I157" s="430">
        <f>tax_paid_D</f>
        <v>0</v>
      </c>
      <c r="J157" s="432"/>
      <c r="L157" s="7">
        <f>IF(tax_paid_D&gt;0,1,0)</f>
        <v>0</v>
      </c>
    </row>
    <row r="158" spans="1:13" x14ac:dyDescent="0.35">
      <c r="A158" s="112" t="s">
        <v>2459</v>
      </c>
      <c r="B158" s="434"/>
      <c r="D158" s="96" t="s">
        <v>4186</v>
      </c>
      <c r="F158" s="96"/>
      <c r="H158" s="96"/>
      <c r="I158" s="430">
        <f>tax_paid_D_PTR</f>
        <v>0</v>
      </c>
      <c r="J158" s="432"/>
      <c r="L158" s="7">
        <f>IF(tax_paid_D_PTR&gt;0,1,0)</f>
        <v>0</v>
      </c>
    </row>
    <row r="159" spans="1:13" x14ac:dyDescent="0.35">
      <c r="A159" s="112" t="s">
        <v>3577</v>
      </c>
      <c r="B159" s="434"/>
      <c r="D159" s="96" t="s">
        <v>2896</v>
      </c>
      <c r="F159" s="96"/>
      <c r="H159" s="96"/>
      <c r="I159" s="430">
        <f>tax_paid_IFP</f>
        <v>0</v>
      </c>
      <c r="J159" s="432"/>
      <c r="L159" s="7">
        <f>IF(tax_paid_IFP&gt;0,1,0)</f>
        <v>0</v>
      </c>
    </row>
    <row r="160" spans="1:13" x14ac:dyDescent="0.35">
      <c r="A160" s="112" t="s">
        <v>3580</v>
      </c>
      <c r="B160" s="434"/>
      <c r="D160" s="96" t="s">
        <v>1423</v>
      </c>
      <c r="F160" s="96"/>
      <c r="H160" s="96"/>
      <c r="I160" s="430">
        <f>tax_paid_Foreign</f>
        <v>0</v>
      </c>
      <c r="J160" s="432"/>
      <c r="L160" s="7">
        <f>IF(tax_paid_Foreign&gt;0,1,0)</f>
        <v>0</v>
      </c>
    </row>
    <row r="161" spans="1:13" x14ac:dyDescent="0.35">
      <c r="A161" s="112" t="s">
        <v>710</v>
      </c>
      <c r="B161" s="434"/>
      <c r="D161" s="96" t="s">
        <v>674</v>
      </c>
      <c r="F161" s="96"/>
      <c r="H161" s="96"/>
      <c r="I161" s="430">
        <f>tax_paid_Trust</f>
        <v>0</v>
      </c>
      <c r="J161" s="432"/>
      <c r="L161" s="7">
        <f>IF(tax_paid_Trust&gt;0,1,0)</f>
        <v>0</v>
      </c>
    </row>
    <row r="162" spans="1:13" x14ac:dyDescent="0.35">
      <c r="A162" s="112" t="s">
        <v>1893</v>
      </c>
      <c r="B162" s="434"/>
      <c r="D162" s="96" t="s">
        <v>2897</v>
      </c>
      <c r="F162" s="96"/>
      <c r="H162" s="96"/>
      <c r="I162" s="430">
        <f>tax_paid_Overseas</f>
        <v>0</v>
      </c>
      <c r="J162" s="432"/>
      <c r="L162" s="7">
        <f>IF(tax_paid_Overseas&gt;0,1,0)</f>
        <v>0</v>
      </c>
    </row>
    <row r="163" spans="1:13" x14ac:dyDescent="0.35">
      <c r="A163" s="112" t="s">
        <v>3025</v>
      </c>
      <c r="B163" s="434"/>
      <c r="D163" s="107" t="s">
        <v>3811</v>
      </c>
      <c r="F163" s="96"/>
      <c r="H163" s="96"/>
      <c r="I163" s="430">
        <f>tax_paid_Case3</f>
        <v>0</v>
      </c>
      <c r="J163" s="432"/>
      <c r="L163" s="7">
        <f>IF(tax_paid_Case3&gt;0,1,0)</f>
        <v>0</v>
      </c>
    </row>
    <row r="164" spans="1:13" x14ac:dyDescent="0.35">
      <c r="A164" s="112" t="s">
        <v>3028</v>
      </c>
      <c r="B164" s="434"/>
      <c r="D164" s="96" t="s">
        <v>874</v>
      </c>
      <c r="F164" s="96"/>
      <c r="H164" s="96"/>
      <c r="I164" s="430">
        <f>tax_paid_CEG</f>
        <v>0</v>
      </c>
      <c r="J164" s="432"/>
      <c r="L164" s="7">
        <f>IF(tax_paid_CEG&gt;0,1,0)</f>
        <v>0</v>
      </c>
    </row>
    <row r="165" spans="1:13" x14ac:dyDescent="0.35">
      <c r="A165" s="112" t="s">
        <v>1581</v>
      </c>
      <c r="B165" s="434"/>
      <c r="D165" s="96" t="s">
        <v>2959</v>
      </c>
      <c r="F165" s="96"/>
      <c r="H165" s="96"/>
      <c r="I165" s="430">
        <f>tax_paid_Other</f>
        <v>0</v>
      </c>
      <c r="J165" s="432"/>
      <c r="L165" s="7">
        <f>IF(tax_paid_Other&gt;0,1,0)</f>
        <v>0</v>
      </c>
    </row>
    <row r="166" spans="1:13" x14ac:dyDescent="0.35">
      <c r="A166" s="112" t="s">
        <v>1584</v>
      </c>
      <c r="B166" s="434"/>
      <c r="C166" s="859"/>
      <c r="D166" s="96" t="str">
        <f>"Underpaid tax for "&amp;tax_year&amp;" included in your tax code for "&amp;next_year</f>
        <v>Underpaid tax for 2017-18 included in your tax code for 2018-19</v>
      </c>
      <c r="F166" s="96"/>
      <c r="G166" s="96"/>
      <c r="H166" s="96"/>
      <c r="I166" s="430">
        <f>coded_in_later_year</f>
        <v>0</v>
      </c>
      <c r="L166" s="7">
        <f>IF(coded_in_later_year&gt;0,1,0)</f>
        <v>0</v>
      </c>
    </row>
    <row r="167" spans="1:13" x14ac:dyDescent="0.35">
      <c r="A167" s="112" t="s">
        <v>2636</v>
      </c>
      <c r="B167" s="434"/>
      <c r="C167" s="146"/>
      <c r="D167" s="712" t="s">
        <v>2189</v>
      </c>
      <c r="F167" s="96"/>
      <c r="G167" s="96"/>
      <c r="H167" s="96"/>
      <c r="J167" s="430">
        <f>total_tax_paid</f>
        <v>0</v>
      </c>
      <c r="K167" s="146"/>
      <c r="L167" s="1139">
        <f>IF((total_tax_paid+debt_coded)&gt;0,1,0)</f>
        <v>0</v>
      </c>
    </row>
    <row r="168" spans="1:13" x14ac:dyDescent="0.35">
      <c r="A168" s="112" t="s">
        <v>1599</v>
      </c>
      <c r="B168" s="434"/>
      <c r="C168" s="577"/>
      <c r="D168" s="577"/>
      <c r="E168" s="96"/>
      <c r="F168" s="96"/>
      <c r="G168" s="96"/>
      <c r="H168" s="96"/>
      <c r="I168" s="104"/>
      <c r="J168" s="432"/>
      <c r="L168" s="7">
        <f>IF((total_tax_paid+debt_collected)&gt;0,1,0)</f>
        <v>0</v>
      </c>
    </row>
    <row r="169" spans="1:13" ht="13.15" x14ac:dyDescent="0.4">
      <c r="A169" s="3246" t="s">
        <v>7840</v>
      </c>
      <c r="B169" s="3225"/>
      <c r="C169" s="3247" t="s">
        <v>7849</v>
      </c>
      <c r="D169" s="3248"/>
      <c r="E169" s="3249"/>
      <c r="F169" s="3249"/>
      <c r="G169" s="3249"/>
      <c r="H169" s="3250" t="s">
        <v>4749</v>
      </c>
      <c r="I169" s="3249"/>
      <c r="J169" s="3251">
        <f>total_tax_NIC_nonresS23</f>
        <v>0</v>
      </c>
      <c r="K169" s="3043"/>
      <c r="L169" s="3043">
        <f>IF(box_NRD1,1,0)</f>
        <v>0</v>
      </c>
    </row>
    <row r="170" spans="1:13" ht="13.15" x14ac:dyDescent="0.4">
      <c r="A170" s="3246" t="s">
        <v>7841</v>
      </c>
      <c r="B170" s="3222"/>
      <c r="C170" s="3247" t="s">
        <v>7850</v>
      </c>
      <c r="D170" s="3252"/>
      <c r="E170" s="3249"/>
      <c r="F170" s="3249"/>
      <c r="G170" s="3249"/>
      <c r="H170" s="3250" t="s">
        <v>4130</v>
      </c>
      <c r="I170" s="3249"/>
      <c r="J170" s="3251">
        <f>total_tax_NIC_nonresS811</f>
        <v>0</v>
      </c>
      <c r="K170" s="3043"/>
      <c r="L170" s="3043">
        <f>IF(box_NRD1,1,0)</f>
        <v>0</v>
      </c>
    </row>
    <row r="171" spans="1:13" ht="13.15" x14ac:dyDescent="0.4">
      <c r="A171" s="3246" t="s">
        <v>7842</v>
      </c>
      <c r="B171" s="3225"/>
      <c r="C171" s="3247"/>
      <c r="D171" s="3248"/>
      <c r="E171" s="3249"/>
      <c r="F171" s="3249"/>
      <c r="G171" s="3249"/>
      <c r="H171" s="3253" t="s">
        <v>7886</v>
      </c>
      <c r="I171" s="3249"/>
      <c r="J171" s="3251">
        <f>total_tax_NIC_nonres</f>
        <v>0</v>
      </c>
      <c r="K171" s="3043"/>
      <c r="L171" s="3043">
        <f>IF(box_NRD1,1,0)</f>
        <v>0</v>
      </c>
    </row>
    <row r="172" spans="1:13" ht="13.15" x14ac:dyDescent="0.4">
      <c r="A172" s="862" t="s">
        <v>3847</v>
      </c>
      <c r="B172" s="434"/>
      <c r="C172" s="106" t="s">
        <v>3210</v>
      </c>
      <c r="D172" s="1099"/>
      <c r="E172" s="1100"/>
      <c r="F172" s="1100"/>
      <c r="G172" s="1100"/>
      <c r="H172" s="1100"/>
      <c r="I172" s="435"/>
      <c r="J172" s="1098">
        <f>Total_IT_class4_due</f>
        <v>0</v>
      </c>
      <c r="L172" s="7">
        <f>IF(AND(total_tax_paid+debt_coded&gt;0,total_tax_paid&gt;IT_plus_class4),1,0)</f>
        <v>0</v>
      </c>
      <c r="M172" s="1834"/>
    </row>
    <row r="173" spans="1:13" ht="13.15" x14ac:dyDescent="0.4">
      <c r="A173" s="1442" t="s">
        <v>4303</v>
      </c>
      <c r="B173" s="434"/>
      <c r="C173" s="106" t="s">
        <v>8336</v>
      </c>
      <c r="D173" s="95"/>
      <c r="E173" s="435"/>
      <c r="F173" s="1444"/>
      <c r="G173" s="435"/>
      <c r="H173" s="861"/>
      <c r="I173" s="861"/>
      <c r="J173" s="1098">
        <f>Total_IT_class4_due</f>
        <v>0</v>
      </c>
      <c r="K173" s="1139"/>
      <c r="L173" s="3101">
        <f>IF(AND(total_tax_paid+debt_coded&gt;0,IT_plus_class4&gt;=total_tax_paid,NIC_total=0),1,0)</f>
        <v>0</v>
      </c>
      <c r="M173" s="1834"/>
    </row>
    <row r="174" spans="1:13" ht="13.15" x14ac:dyDescent="0.4">
      <c r="A174" s="1442" t="s">
        <v>4303</v>
      </c>
      <c r="B174" s="434"/>
      <c r="C174" s="3754" t="s">
        <v>7853</v>
      </c>
      <c r="D174" s="3755"/>
      <c r="E174" s="3756"/>
      <c r="F174" s="3757"/>
      <c r="G174" s="3756"/>
      <c r="H174" s="3758"/>
      <c r="I174" s="3758"/>
      <c r="J174" s="3759">
        <f>Total_IT_class4_due</f>
        <v>0</v>
      </c>
      <c r="K174" s="1139"/>
      <c r="L174" s="3101">
        <f>IF(AND(total_tax_paid+debt_coded&gt;0,IT_plus_class4&gt;=total_tax_paid,NIC_total&gt;0,NIC2_amount=0),1,0)</f>
        <v>0</v>
      </c>
      <c r="M174" s="1834"/>
    </row>
    <row r="175" spans="1:13" ht="13.15" x14ac:dyDescent="0.4">
      <c r="A175" s="1442" t="s">
        <v>4303</v>
      </c>
      <c r="B175" s="434"/>
      <c r="C175" s="3754" t="s">
        <v>7854</v>
      </c>
      <c r="D175" s="3755"/>
      <c r="E175" s="3756"/>
      <c r="F175" s="3757"/>
      <c r="G175" s="3756"/>
      <c r="H175" s="3758"/>
      <c r="I175" s="3758"/>
      <c r="J175" s="3759">
        <f>Total_IT_class4_due</f>
        <v>0</v>
      </c>
      <c r="K175" s="1139"/>
      <c r="L175" s="3101">
        <f>IF(AND(total_tax_paid+debt_coded&gt;0,IT_plus_class4&gt;=total_tax_paid,NIC_total&gt;0,NIC2_amount&gt;0,NIC2_amount&lt;NIC_total),1,0)</f>
        <v>0</v>
      </c>
      <c r="M175" s="1139"/>
    </row>
    <row r="176" spans="1:13" ht="13.15" x14ac:dyDescent="0.4">
      <c r="A176" s="3212" t="s">
        <v>4303</v>
      </c>
      <c r="B176" s="434"/>
      <c r="C176" s="3754" t="s">
        <v>7852</v>
      </c>
      <c r="D176" s="3755"/>
      <c r="E176" s="3756"/>
      <c r="F176" s="3757"/>
      <c r="G176" s="3756"/>
      <c r="H176" s="3758"/>
      <c r="I176" s="3758"/>
      <c r="J176" s="3759">
        <f>Total_IT_class4_due</f>
        <v>0</v>
      </c>
      <c r="K176" s="1139"/>
      <c r="L176" s="3101">
        <f>IF(AND(total_tax_paid+debt_coded&gt;0,IT_plus_class4&gt;=total_tax_paid,NIC_total&gt;0,NIC2_amount&gt;0,NIC2_amount=NIC_total),1,0)</f>
        <v>0</v>
      </c>
    </row>
    <row r="177" spans="1:13" x14ac:dyDescent="0.35">
      <c r="A177" s="112" t="s">
        <v>3211</v>
      </c>
      <c r="B177" s="434"/>
      <c r="J177" s="432"/>
      <c r="L177" s="7">
        <f>IF(total_CG_due&gt;0,1,0)</f>
        <v>0</v>
      </c>
    </row>
    <row r="178" spans="1:13" ht="13.15" x14ac:dyDescent="0.4">
      <c r="A178" s="112" t="s">
        <v>3212</v>
      </c>
      <c r="B178" s="434"/>
      <c r="C178" s="18" t="s">
        <v>2898</v>
      </c>
      <c r="D178" s="18" t="s">
        <v>3072</v>
      </c>
      <c r="E178" s="96"/>
      <c r="F178" s="96"/>
      <c r="G178" s="96"/>
      <c r="H178" s="96"/>
      <c r="I178" s="104"/>
      <c r="J178" s="432"/>
      <c r="L178" s="7">
        <f>IF(Taxable_CG&gt;0,1,0)</f>
        <v>0</v>
      </c>
    </row>
    <row r="179" spans="1:13" x14ac:dyDescent="0.35">
      <c r="A179" s="112" t="s">
        <v>5814</v>
      </c>
      <c r="B179" s="434"/>
      <c r="D179" s="42" t="s">
        <v>3191</v>
      </c>
      <c r="G179" s="858">
        <f>Taxable_CG</f>
        <v>0</v>
      </c>
      <c r="H179" s="103"/>
      <c r="I179" s="953"/>
      <c r="J179" s="432"/>
      <c r="L179" s="7">
        <f>IF(Taxable_CG&gt;0,1,0)</f>
        <v>0</v>
      </c>
    </row>
    <row r="180" spans="1:13" x14ac:dyDescent="0.35">
      <c r="A180" s="112" t="s">
        <v>3850</v>
      </c>
      <c r="B180" s="434"/>
      <c r="D180" s="42" t="s">
        <v>3742</v>
      </c>
      <c r="G180" s="858">
        <f>CG_at_ER_rate</f>
        <v>0</v>
      </c>
      <c r="H180" s="1443" t="str">
        <f>"x "&amp;ER_CGT_rate*100&amp;"%"</f>
        <v>x 10%</v>
      </c>
      <c r="I180" s="953">
        <f>ER_rate_CGT</f>
        <v>0</v>
      </c>
      <c r="J180" s="432"/>
      <c r="L180" s="7">
        <f>IF(CG_at_ER_rate&gt;0,1,0)</f>
        <v>0</v>
      </c>
    </row>
    <row r="181" spans="1:13" x14ac:dyDescent="0.35">
      <c r="A181" s="112" t="s">
        <v>2425</v>
      </c>
      <c r="B181" s="434"/>
      <c r="D181" s="42" t="s">
        <v>6297</v>
      </c>
      <c r="G181" s="858">
        <f>CG_at_lower_rate_RP_CI</f>
        <v>0</v>
      </c>
      <c r="H181" s="1443" t="str">
        <f>"x "&amp;lower_CGT_rate_RP_CI*100&amp;"%"</f>
        <v>x 18%</v>
      </c>
      <c r="I181" s="953">
        <f>Lower_rate_CGT_RP_CI</f>
        <v>0</v>
      </c>
      <c r="J181" s="432"/>
      <c r="L181" s="1139">
        <f>IF(CG_at_lower_rate_RP_CI&gt;0,1,0)</f>
        <v>0</v>
      </c>
    </row>
    <row r="182" spans="1:13" x14ac:dyDescent="0.35">
      <c r="A182" s="112" t="s">
        <v>5815</v>
      </c>
      <c r="D182" s="42" t="s">
        <v>6298</v>
      </c>
      <c r="G182" s="429">
        <f>CG_at_higher_rate_RP_CI</f>
        <v>0</v>
      </c>
      <c r="H182" s="1443" t="str">
        <f>"x "&amp;upper_CGT_rate_RP_CI*100&amp;"%"</f>
        <v>x 28%</v>
      </c>
      <c r="I182" s="953">
        <f>Higher_rate_CGT_RP_CI</f>
        <v>0</v>
      </c>
      <c r="L182" s="1139">
        <f>IF(CG_at_higher_rate_RP_CI&gt;0,1,0)</f>
        <v>0</v>
      </c>
    </row>
    <row r="183" spans="1:13" x14ac:dyDescent="0.35">
      <c r="A183" s="112" t="s">
        <v>2430</v>
      </c>
      <c r="B183" s="434"/>
      <c r="D183" s="42" t="s">
        <v>6299</v>
      </c>
      <c r="G183" s="858">
        <f>CG_at_lower_rate</f>
        <v>0</v>
      </c>
      <c r="H183" s="1443" t="str">
        <f>"x "&amp;Lower_CGT_rate*100&amp;"%"</f>
        <v>x 10%</v>
      </c>
      <c r="I183" s="953">
        <f>Lower_rate_CGT</f>
        <v>0</v>
      </c>
      <c r="J183" s="432"/>
      <c r="L183" s="7">
        <f>IF(CG_at_lower_rate&gt;0,1,0)</f>
        <v>0</v>
      </c>
    </row>
    <row r="184" spans="1:13" x14ac:dyDescent="0.35">
      <c r="A184" s="112" t="s">
        <v>5816</v>
      </c>
      <c r="D184" s="42" t="s">
        <v>617</v>
      </c>
      <c r="G184" s="429">
        <f>CG_at_higher_rate</f>
        <v>0</v>
      </c>
      <c r="H184" s="1443" t="str">
        <f>"x "&amp;Upper_CGT_rate*100&amp;"%"</f>
        <v>x 20%</v>
      </c>
      <c r="I184" s="953">
        <f>Higher_rate_CGT</f>
        <v>0</v>
      </c>
      <c r="L184" s="7">
        <f>IF(CG_at_higher_rate&gt;0,1,0)</f>
        <v>0</v>
      </c>
    </row>
    <row r="185" spans="1:13" x14ac:dyDescent="0.35">
      <c r="A185" s="112" t="s">
        <v>1485</v>
      </c>
      <c r="D185" s="42" t="s">
        <v>2128</v>
      </c>
      <c r="I185" s="432">
        <f>CGT_adjustment</f>
        <v>0</v>
      </c>
      <c r="L185" s="7">
        <f>IF(CGT_adjustment&lt;&gt;0,1,0)</f>
        <v>0</v>
      </c>
      <c r="M185" s="1235"/>
    </row>
    <row r="186" spans="1:13" x14ac:dyDescent="0.35">
      <c r="A186" s="112" t="s">
        <v>2783</v>
      </c>
      <c r="I186" s="954">
        <f>Total_CGT_tax</f>
        <v>0</v>
      </c>
      <c r="L186" s="7">
        <f>IF(Total_CGT_tax&gt;0,1,0)</f>
        <v>0</v>
      </c>
      <c r="M186" s="1139"/>
    </row>
    <row r="187" spans="1:13" x14ac:dyDescent="0.35">
      <c r="A187" s="870" t="s">
        <v>1722</v>
      </c>
      <c r="B187" s="434"/>
      <c r="D187" s="4" t="s">
        <v>1432</v>
      </c>
      <c r="E187" s="96" t="s">
        <v>6531</v>
      </c>
      <c r="F187" s="96"/>
      <c r="G187" s="955"/>
      <c r="H187" s="956"/>
      <c r="I187" s="430">
        <f>CG_FTCR</f>
        <v>0</v>
      </c>
      <c r="J187" s="432"/>
      <c r="L187" s="7">
        <f>IF(CG_FTCR&gt;0,IF(Total_CGT_tax+CG_trust_tax&gt;0,1,0),0)</f>
        <v>0</v>
      </c>
      <c r="M187" s="1139"/>
    </row>
    <row r="188" spans="1:13" x14ac:dyDescent="0.35">
      <c r="A188" s="112" t="s">
        <v>3595</v>
      </c>
      <c r="B188" s="434"/>
      <c r="D188" s="4" t="s">
        <v>2543</v>
      </c>
      <c r="E188" s="96" t="s">
        <v>2899</v>
      </c>
      <c r="F188" s="96"/>
      <c r="H188" s="956"/>
      <c r="I188" s="430">
        <f>CG_trust_tax</f>
        <v>0</v>
      </c>
      <c r="J188" s="432"/>
      <c r="L188" s="7">
        <f>IF(CG_trust_tax&gt;0,1,0)</f>
        <v>0</v>
      </c>
    </row>
    <row r="189" spans="1:13" x14ac:dyDescent="0.35">
      <c r="A189" s="112" t="s">
        <v>3598</v>
      </c>
      <c r="B189" s="434"/>
      <c r="D189" s="4" t="s">
        <v>1432</v>
      </c>
      <c r="E189" s="96" t="s">
        <v>5822</v>
      </c>
      <c r="F189" s="96"/>
      <c r="H189" s="956"/>
      <c r="I189" s="432">
        <f>tax_on_gains_already_charged</f>
        <v>0</v>
      </c>
      <c r="J189" s="432"/>
      <c r="L189" s="7">
        <f>IF(tax_on_gains_already_charged&gt;0,1,0)</f>
        <v>0</v>
      </c>
    </row>
    <row r="190" spans="1:13" x14ac:dyDescent="0.35">
      <c r="A190" s="112" t="s">
        <v>4805</v>
      </c>
      <c r="B190" s="434"/>
      <c r="D190" s="92" t="s">
        <v>1123</v>
      </c>
      <c r="G190" s="96"/>
      <c r="H190" s="96"/>
      <c r="I190" s="954"/>
      <c r="J190" s="430">
        <f>total_CG_due</f>
        <v>0</v>
      </c>
      <c r="L190" s="7">
        <f>IF(Taxable_CG&gt;0,1,0)</f>
        <v>0</v>
      </c>
    </row>
    <row r="191" spans="1:13" x14ac:dyDescent="0.35">
      <c r="A191" s="862" t="s">
        <v>5821</v>
      </c>
      <c r="B191" s="434"/>
      <c r="D191" s="92"/>
      <c r="G191" s="96"/>
      <c r="H191" s="96"/>
      <c r="J191" s="430"/>
      <c r="L191" s="7">
        <f>IF(total_CG_due&gt;0,1,0)</f>
        <v>0</v>
      </c>
    </row>
    <row r="192" spans="1:13" ht="13.15" x14ac:dyDescent="0.4">
      <c r="A192" s="862" t="s">
        <v>3601</v>
      </c>
      <c r="B192" s="434"/>
      <c r="C192" s="106" t="s">
        <v>8264</v>
      </c>
      <c r="D192" s="95"/>
      <c r="E192" s="435"/>
      <c r="F192" s="435"/>
      <c r="G192" s="435"/>
      <c r="H192" s="435"/>
      <c r="I192" s="435"/>
      <c r="J192" s="1098">
        <f>Total_IT_CG_class4_due</f>
        <v>0</v>
      </c>
      <c r="L192" s="3043">
        <f>IF(AND(Taxable_CG&gt;0,IT_plus_class4+total_CG_due&gt;=total_tax_paid,NIC_total=0),1,0)</f>
        <v>0</v>
      </c>
      <c r="M192" s="1834"/>
    </row>
    <row r="193" spans="1:12" ht="13.15" x14ac:dyDescent="0.4">
      <c r="A193" s="1442" t="s">
        <v>4303</v>
      </c>
      <c r="B193" s="3234"/>
      <c r="C193" s="106" t="s">
        <v>8285</v>
      </c>
      <c r="D193" s="3236"/>
      <c r="E193" s="3237"/>
      <c r="F193" s="3237"/>
      <c r="G193" s="3237"/>
      <c r="H193" s="3237"/>
      <c r="I193" s="3237"/>
      <c r="J193" s="1098">
        <f>Total_IT_CG_class4_due</f>
        <v>0</v>
      </c>
      <c r="K193" s="1139"/>
      <c r="L193" s="3101">
        <f>IF(AND(Taxable_CG&gt;0,IT_plus_class4+total_CG_due&gt;=total_tax_paid,NIC_total&gt;0,NIC2_amount=0),1,0)</f>
        <v>0</v>
      </c>
    </row>
    <row r="194" spans="1:12" ht="13.15" x14ac:dyDescent="0.4">
      <c r="A194" s="1442" t="s">
        <v>4303</v>
      </c>
      <c r="B194" s="3234"/>
      <c r="C194" s="106" t="s">
        <v>8272</v>
      </c>
      <c r="D194" s="3236"/>
      <c r="E194" s="3237"/>
      <c r="F194" s="3237"/>
      <c r="G194" s="3237"/>
      <c r="H194" s="3237"/>
      <c r="I194" s="3237"/>
      <c r="J194" s="1098">
        <f>Total_IT_CG_class4_due</f>
        <v>0</v>
      </c>
      <c r="K194" s="1139"/>
      <c r="L194" s="3101">
        <f>IF(AND(Taxable_CG&gt;0,IT_plus_class4+total_CG_due&gt;=total_tax_paid,NIC_total&gt;0,NIC2_amount&gt;0,NIC2_amount&lt;NIC_total),1,0)</f>
        <v>0</v>
      </c>
    </row>
    <row r="195" spans="1:12" ht="13.15" x14ac:dyDescent="0.4">
      <c r="A195" s="1442" t="s">
        <v>4303</v>
      </c>
      <c r="B195" s="3234"/>
      <c r="C195" s="106" t="s">
        <v>8340</v>
      </c>
      <c r="D195" s="3236"/>
      <c r="E195" s="3237"/>
      <c r="F195" s="3237"/>
      <c r="G195" s="3237"/>
      <c r="H195" s="3237"/>
      <c r="I195" s="3237"/>
      <c r="J195" s="1098">
        <f>Total_IT_CG_class4_due</f>
        <v>0</v>
      </c>
      <c r="K195" s="1139"/>
      <c r="L195" s="3101">
        <f>IF(AND(Taxable_CG&gt;0,IT_plus_class4+total_CG_due&gt;=total_tax_paid,NIC_total&gt;0,NIC2_amount&gt;0,NIC2_amount=NIC_total),1,0)</f>
        <v>0</v>
      </c>
    </row>
    <row r="196" spans="1:12" ht="13.15" x14ac:dyDescent="0.4">
      <c r="A196" s="3212" t="s">
        <v>4303</v>
      </c>
      <c r="B196" s="434"/>
      <c r="C196" s="106" t="s">
        <v>3210</v>
      </c>
      <c r="D196" s="1099"/>
      <c r="E196" s="1100"/>
      <c r="F196" s="1100"/>
      <c r="G196" s="1100"/>
      <c r="H196" s="1100"/>
      <c r="I196" s="435"/>
      <c r="J196" s="1098">
        <f>Total_IT_CG_class4_due</f>
        <v>0</v>
      </c>
      <c r="L196" s="7">
        <f>IF(Taxable_CG&gt;0,IF(total_tax_paid&gt;(IT_plus_class4+total_CG_due),1,0),0)</f>
        <v>0</v>
      </c>
    </row>
    <row r="197" spans="1:12" ht="13.15" x14ac:dyDescent="0.4">
      <c r="A197" s="112" t="s">
        <v>1479</v>
      </c>
      <c r="B197" s="434"/>
      <c r="C197" s="18"/>
      <c r="D197" s="18"/>
      <c r="E197" s="96"/>
      <c r="F197" s="96"/>
      <c r="G197" s="96"/>
      <c r="H197" s="92"/>
      <c r="I197" s="96"/>
      <c r="J197" s="953"/>
      <c r="L197" s="7">
        <f>IF(total_CG_due&gt;0,1,0)</f>
        <v>0</v>
      </c>
    </row>
    <row r="198" spans="1:12" x14ac:dyDescent="0.35">
      <c r="A198" s="112" t="s">
        <v>3604</v>
      </c>
      <c r="B198" s="434"/>
      <c r="C198" s="4" t="str">
        <f>IF(OR(L196,L172),"minus","plus")</f>
        <v>plus</v>
      </c>
      <c r="D198" s="96" t="s">
        <v>2900</v>
      </c>
      <c r="F198" s="96"/>
      <c r="G198" s="96"/>
      <c r="H198" s="96"/>
      <c r="I198" s="104"/>
      <c r="J198" s="430">
        <f>tax_already_refunded</f>
        <v>0</v>
      </c>
      <c r="L198" s="7">
        <f>IF(tax_already_refunded&gt;0,1,0)</f>
        <v>0</v>
      </c>
    </row>
    <row r="199" spans="1:12" x14ac:dyDescent="0.35">
      <c r="A199" s="862" t="s">
        <v>3092</v>
      </c>
      <c r="B199" s="434"/>
      <c r="C199" s="4" t="str">
        <f>IF(OR(L196,L172),"minus","plus")</f>
        <v>plus</v>
      </c>
      <c r="D199" s="96" t="s">
        <v>1396</v>
      </c>
      <c r="F199" s="96"/>
      <c r="G199" s="96"/>
      <c r="H199" s="96"/>
      <c r="I199" s="104"/>
      <c r="J199" s="430">
        <f>unpaid_tax_bf</f>
        <v>0</v>
      </c>
      <c r="L199" s="7">
        <f>IF(unpaid_tax_bf&gt;0,1,0)</f>
        <v>0</v>
      </c>
    </row>
    <row r="200" spans="1:12" ht="13.15" x14ac:dyDescent="0.4">
      <c r="A200" s="862" t="s">
        <v>4783</v>
      </c>
      <c r="B200" s="871"/>
      <c r="C200" s="106" t="s">
        <v>3210</v>
      </c>
      <c r="D200" s="1099"/>
      <c r="E200" s="435"/>
      <c r="F200" s="435"/>
      <c r="G200" s="435"/>
      <c r="H200" s="435"/>
      <c r="I200" s="435"/>
      <c r="J200" s="436">
        <f>Total_tax_NIC_due</f>
        <v>0</v>
      </c>
      <c r="L200" s="7">
        <f>IF(AND(OR(AllceIn_TPA&gt;0,(tax_already_refunded+unpaid_tax_bf)&gt;0),total_tax_paid&gt;(IT_plus_class4+total_CG_due+tax_already_refunded+unpaid_tax_bf)),1,0)</f>
        <v>0</v>
      </c>
    </row>
    <row r="201" spans="1:12" ht="13.15" x14ac:dyDescent="0.4">
      <c r="A201" s="1095" t="s">
        <v>4303</v>
      </c>
      <c r="B201" s="434"/>
      <c r="C201" s="106" t="s">
        <v>4748</v>
      </c>
      <c r="D201" s="95"/>
      <c r="E201" s="435"/>
      <c r="F201" s="435"/>
      <c r="G201" s="435"/>
      <c r="H201" s="435"/>
      <c r="I201" s="435"/>
      <c r="J201" s="436">
        <f>Total_tax_NIC_due</f>
        <v>0</v>
      </c>
      <c r="L201" s="7">
        <f>IF(AND(OR(AllceIn_TPA&gt;0,(tax_already_refunded+unpaid_tax_bf)&gt;0),NIC_total&gt;0,(IT_plus_class4+total_CG_due+tax_already_refunded+unpaid_tax_bf)&gt;=total_tax_paid),1,0)</f>
        <v>0</v>
      </c>
    </row>
    <row r="202" spans="1:12" ht="13.15" x14ac:dyDescent="0.4">
      <c r="A202" s="870" t="s">
        <v>4303</v>
      </c>
      <c r="B202" s="871"/>
      <c r="C202" s="106" t="s">
        <v>2507</v>
      </c>
      <c r="D202" s="1099"/>
      <c r="E202" s="435"/>
      <c r="F202" s="435"/>
      <c r="G202" s="435"/>
      <c r="H202" s="435"/>
      <c r="I202" s="435"/>
      <c r="J202" s="436">
        <f>Total_tax_NIC_due</f>
        <v>0</v>
      </c>
      <c r="L202" s="7">
        <f>IF(AND(OR(AllceIn_TPA&gt;0,(tax_already_refunded+unpaid_tax_bf)&gt;0),NIC_total=0,(IT_plus_class4+total_CG_due+tax_already_refunded+unpaid_tax_bf)&gt;=total_tax_paid),1,0)</f>
        <v>0</v>
      </c>
    </row>
    <row r="204" spans="1:12" ht="13.15" x14ac:dyDescent="0.4">
      <c r="A204" s="875" t="s">
        <v>8122</v>
      </c>
    </row>
  </sheetData>
  <phoneticPr fontId="68" type="noConversion"/>
  <pageMargins left="0.196850393700787" right="0.196850393700787" top="0.196850393700787" bottom="0.196850393700787" header="0" footer="0"/>
  <pageSetup paperSize="8" orientation="portrait" r:id="rId1"/>
  <headerFooter alignWithMargins="0"/>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rgb="FFFFFF99"/>
  </sheetPr>
  <dimension ref="A1:M199"/>
  <sheetViews>
    <sheetView showGridLines="0" topLeftCell="A94" zoomScaleNormal="100" workbookViewId="0">
      <selection activeCell="L113" sqref="L113"/>
    </sheetView>
  </sheetViews>
  <sheetFormatPr defaultColWidth="9.1328125" defaultRowHeight="12.75" x14ac:dyDescent="0.35"/>
  <cols>
    <col min="1" max="1" width="4.59765625" style="7" customWidth="1"/>
    <col min="2" max="2" width="1.1328125" style="4" customWidth="1"/>
    <col min="3" max="3" width="6.3984375" style="22" customWidth="1"/>
    <col min="4" max="4" width="5.86328125" style="22" customWidth="1"/>
    <col min="5" max="5" width="23.59765625" style="146" customWidth="1"/>
    <col min="6" max="6" width="12.1328125" style="146" customWidth="1"/>
    <col min="7" max="7" width="10.73046875" style="146" customWidth="1"/>
    <col min="8" max="8" width="13.1328125" style="146" customWidth="1"/>
    <col min="9" max="9" width="11" style="146" customWidth="1"/>
    <col min="10" max="10" width="12.86328125" style="7" customWidth="1"/>
    <col min="11" max="11" width="2" style="7" customWidth="1"/>
    <col min="12" max="12" width="12.265625" style="7" customWidth="1"/>
    <col min="13" max="13" width="13.265625" style="7" customWidth="1"/>
    <col min="14" max="14" width="11.59765625" style="7" customWidth="1"/>
    <col min="15" max="15" width="11.1328125" style="7" customWidth="1"/>
    <col min="16" max="16" width="10.3984375" style="7" customWidth="1"/>
    <col min="17" max="16384" width="9.1328125" style="7"/>
  </cols>
  <sheetData>
    <row r="1" spans="1:12" ht="33.75" customHeight="1" thickBot="1" x14ac:dyDescent="0.45">
      <c r="A1" s="1087"/>
      <c r="B1" s="1088"/>
      <c r="C1" s="1656"/>
      <c r="D1" s="1062"/>
      <c r="E1" s="1063"/>
      <c r="F1" s="1063"/>
      <c r="G1" s="1063"/>
      <c r="H1" s="1656" t="s">
        <v>5609</v>
      </c>
      <c r="I1" s="1064"/>
      <c r="J1" s="1087"/>
      <c r="K1" s="869"/>
      <c r="L1" s="7">
        <v>1</v>
      </c>
    </row>
    <row r="2" spans="1:12" ht="9.75" customHeight="1" thickTop="1" x14ac:dyDescent="0.35">
      <c r="B2" s="1089"/>
      <c r="C2" s="869"/>
      <c r="D2" s="869"/>
      <c r="E2" s="1054"/>
      <c r="F2" s="96"/>
      <c r="G2" s="96"/>
      <c r="H2" s="96"/>
      <c r="I2" s="96"/>
      <c r="J2" s="107"/>
      <c r="K2" s="869"/>
      <c r="L2" s="7">
        <v>1</v>
      </c>
    </row>
    <row r="3" spans="1:12" ht="12" customHeight="1" x14ac:dyDescent="0.35">
      <c r="B3" s="434"/>
      <c r="C3" s="869"/>
      <c r="D3" s="1055" t="str">
        <f>IF('Add pages'!C4="","",'Add pages'!C4)</f>
        <v/>
      </c>
      <c r="F3" s="96"/>
      <c r="G3" s="96"/>
      <c r="H3" s="100" t="str">
        <f>"Cyfeirnod Treth "&amp;IF(Taxpayer_Reference="","",Taxpayer_Reference)</f>
        <v xml:space="preserve">Cyfeirnod Treth </v>
      </c>
      <c r="I3" s="153"/>
      <c r="J3" s="153"/>
      <c r="K3" s="869"/>
      <c r="L3" s="7">
        <v>1</v>
      </c>
    </row>
    <row r="4" spans="1:12" ht="12" customHeight="1" x14ac:dyDescent="0.35">
      <c r="B4" s="434"/>
      <c r="C4" s="1089" t="str">
        <f>IF('Add pages'!C5="","",'Add pages'!C5)</f>
        <v/>
      </c>
      <c r="D4" s="1089"/>
      <c r="E4" s="1089"/>
      <c r="F4" s="1089"/>
      <c r="G4" s="1089"/>
      <c r="H4" s="1089"/>
      <c r="I4" s="1089"/>
      <c r="J4" s="1089"/>
      <c r="K4" s="869"/>
      <c r="L4" s="7">
        <v>1</v>
      </c>
    </row>
    <row r="5" spans="1:12" ht="12" customHeight="1" x14ac:dyDescent="0.35">
      <c r="B5" s="434"/>
      <c r="C5" s="1089" t="str">
        <f>IF('Add pages'!C6="","",'Add pages'!C6)</f>
        <v/>
      </c>
      <c r="D5" s="1089"/>
      <c r="E5" s="1089"/>
      <c r="F5" s="1089"/>
      <c r="G5" s="1089"/>
      <c r="H5" s="1089"/>
      <c r="I5" s="1089"/>
      <c r="J5" s="1089"/>
      <c r="K5" s="869"/>
      <c r="L5" s="7">
        <v>1</v>
      </c>
    </row>
    <row r="6" spans="1:12" ht="12" customHeight="1" x14ac:dyDescent="0.35">
      <c r="B6" s="434"/>
      <c r="C6" s="869"/>
      <c r="D6" s="1055" t="str">
        <f>IF('Add pages'!C7="","",'Add pages'!C7)</f>
        <v/>
      </c>
      <c r="E6" s="1056"/>
      <c r="F6" s="626"/>
      <c r="G6" s="96"/>
      <c r="H6" s="96"/>
      <c r="I6" s="96"/>
      <c r="J6" s="96"/>
      <c r="K6" s="869"/>
      <c r="L6" s="7">
        <v>1</v>
      </c>
    </row>
    <row r="7" spans="1:12" ht="12.75" customHeight="1" x14ac:dyDescent="0.35">
      <c r="B7" s="1089"/>
      <c r="C7" s="869"/>
      <c r="D7" s="869"/>
      <c r="E7" s="96"/>
      <c r="F7" s="96"/>
      <c r="G7" s="96"/>
      <c r="H7" s="100" t="s">
        <v>5610</v>
      </c>
      <c r="I7" s="1057" t="str">
        <f ca="1">date_formatted_W</f>
        <v>19 Rhagfyr 2017</v>
      </c>
      <c r="J7" s="107"/>
      <c r="K7" s="869"/>
      <c r="L7" s="7">
        <v>1</v>
      </c>
    </row>
    <row r="8" spans="1:12" ht="6" customHeight="1" x14ac:dyDescent="0.35">
      <c r="B8" s="1089"/>
      <c r="C8" s="869"/>
      <c r="D8" s="869"/>
      <c r="E8" s="1089"/>
      <c r="F8" s="1089"/>
      <c r="G8" s="1089"/>
      <c r="H8" s="1089"/>
      <c r="I8" s="1089"/>
      <c r="J8" s="1089"/>
      <c r="K8" s="1089"/>
      <c r="L8" s="7">
        <v>1</v>
      </c>
    </row>
    <row r="9" spans="1:12" ht="13.9" x14ac:dyDescent="0.4">
      <c r="B9" s="434"/>
      <c r="C9" s="108" t="str">
        <f>"Cyfrifiad Treth ar gyfer "&amp;tax_year</f>
        <v>Cyfrifiad Treth ar gyfer 2017-18</v>
      </c>
      <c r="F9" s="42" t="str">
        <f>" (y flwyddyn a ddaeth i ben 5 Ebrill "&amp;Tax_year_end&amp;")"</f>
        <v xml:space="preserve"> (y flwyddyn a ddaeth i ben 5 Ebrill 2018)</v>
      </c>
      <c r="J9" s="146"/>
      <c r="L9" s="7">
        <v>1</v>
      </c>
    </row>
    <row r="10" spans="1:12" x14ac:dyDescent="0.35">
      <c r="B10" s="434"/>
      <c r="C10" s="869"/>
      <c r="D10" s="869"/>
      <c r="E10" s="96"/>
      <c r="F10" s="96"/>
      <c r="G10" s="96"/>
      <c r="H10" s="96"/>
      <c r="I10" s="96"/>
      <c r="J10" s="96"/>
      <c r="L10" s="7">
        <v>1</v>
      </c>
    </row>
    <row r="11" spans="1:12" ht="13.15" x14ac:dyDescent="0.4">
      <c r="A11" s="112" t="s">
        <v>4131</v>
      </c>
      <c r="B11" s="434"/>
      <c r="C11" s="106" t="s">
        <v>6456</v>
      </c>
      <c r="D11" s="95"/>
      <c r="E11" s="435"/>
      <c r="F11" s="101"/>
      <c r="G11" s="96"/>
      <c r="H11" s="96"/>
      <c r="I11" s="96"/>
      <c r="J11" s="96"/>
      <c r="L11" s="7">
        <v>1</v>
      </c>
    </row>
    <row r="12" spans="1:12" ht="12" customHeight="1" x14ac:dyDescent="0.4">
      <c r="A12" s="112" t="s">
        <v>4132</v>
      </c>
      <c r="B12" s="434"/>
      <c r="C12" s="18"/>
      <c r="D12" s="18"/>
      <c r="E12" s="96"/>
      <c r="F12" s="92"/>
      <c r="G12" s="96"/>
      <c r="H12" s="96"/>
      <c r="I12" s="96"/>
      <c r="J12" s="146"/>
      <c r="L12" s="7">
        <v>1</v>
      </c>
    </row>
    <row r="13" spans="1:12" x14ac:dyDescent="0.35">
      <c r="A13" s="112" t="s">
        <v>4133</v>
      </c>
      <c r="B13" s="434"/>
      <c r="C13" s="96" t="s">
        <v>6457</v>
      </c>
      <c r="D13" s="96"/>
      <c r="F13" s="856">
        <f>Pay_Emp</f>
        <v>0</v>
      </c>
      <c r="H13" s="96"/>
      <c r="I13" s="96"/>
      <c r="J13" s="146"/>
      <c r="L13" s="7">
        <f>IF(AND(Pay_Emp&gt;0,(Benefits_Emp+Exps_Emp)&gt;0),1,0)</f>
        <v>0</v>
      </c>
    </row>
    <row r="14" spans="1:12" x14ac:dyDescent="0.35">
      <c r="A14" s="112" t="s">
        <v>629</v>
      </c>
      <c r="B14" s="434"/>
      <c r="C14" s="4" t="s">
        <v>6458</v>
      </c>
      <c r="D14" s="96" t="s">
        <v>6459</v>
      </c>
      <c r="F14" s="856">
        <f>Benefits_Emp</f>
        <v>0</v>
      </c>
      <c r="H14" s="96"/>
      <c r="I14" s="96"/>
      <c r="J14" s="146"/>
      <c r="L14" s="7">
        <f>IF(Benefits_Emp&gt;0,1,0)</f>
        <v>0</v>
      </c>
    </row>
    <row r="15" spans="1:12" x14ac:dyDescent="0.35">
      <c r="A15" s="112" t="s">
        <v>630</v>
      </c>
      <c r="B15" s="434"/>
      <c r="C15" s="4" t="s">
        <v>6440</v>
      </c>
      <c r="D15" s="96" t="s">
        <v>6460</v>
      </c>
      <c r="F15" s="858">
        <f>Exps_Emp</f>
        <v>0</v>
      </c>
      <c r="H15" s="96"/>
      <c r="I15" s="96"/>
      <c r="J15" s="146"/>
      <c r="L15" s="7">
        <f>IF(Exps_Emp&gt;0,1,0)</f>
        <v>0</v>
      </c>
    </row>
    <row r="16" spans="1:12" x14ac:dyDescent="0.35">
      <c r="A16" s="112" t="s">
        <v>631</v>
      </c>
      <c r="B16" s="434"/>
      <c r="C16" s="96" t="str">
        <f>IF(Benefits_Emp+Exps_Emp=0,"Cyfanswm ar gyfer pob cyflogaeth", "Cyflog o bob cyflogaeth")</f>
        <v>Cyfanswm ar gyfer pob cyflogaeth</v>
      </c>
      <c r="D16" s="96"/>
      <c r="F16" s="96"/>
      <c r="G16" s="858">
        <f>income_E</f>
        <v>0</v>
      </c>
      <c r="H16" s="718"/>
      <c r="I16" s="96"/>
      <c r="J16" s="146"/>
      <c r="L16" s="7">
        <f>IF(income_E&gt;0,1,0)</f>
        <v>0</v>
      </c>
    </row>
    <row r="17" spans="1:12" x14ac:dyDescent="0.35">
      <c r="A17" s="112" t="s">
        <v>632</v>
      </c>
      <c r="B17" s="434"/>
      <c r="C17" s="96" t="s">
        <v>6461</v>
      </c>
      <c r="D17" s="96"/>
      <c r="F17" s="96"/>
      <c r="G17" s="856">
        <f>income_Shares</f>
        <v>0</v>
      </c>
      <c r="H17" s="718"/>
      <c r="I17" s="96"/>
      <c r="J17" s="146"/>
      <c r="L17" s="7">
        <f>IF(income_Shares&gt;0,1,0)</f>
        <v>0</v>
      </c>
    </row>
    <row r="18" spans="1:12" x14ac:dyDescent="0.35">
      <c r="A18" s="112" t="s">
        <v>633</v>
      </c>
      <c r="B18" s="434"/>
      <c r="C18" s="96" t="s">
        <v>6462</v>
      </c>
      <c r="D18" s="96"/>
      <c r="F18" s="96"/>
      <c r="G18" s="856">
        <f>income_D</f>
        <v>0</v>
      </c>
      <c r="H18" s="718"/>
      <c r="I18" s="96"/>
      <c r="J18" s="146"/>
      <c r="L18" s="7">
        <f>IF(income_D&gt;0,1,0)</f>
        <v>0</v>
      </c>
    </row>
    <row r="19" spans="1:12" x14ac:dyDescent="0.35">
      <c r="A19" s="112" t="s">
        <v>634</v>
      </c>
      <c r="B19" s="434"/>
      <c r="C19" s="96" t="s">
        <v>6463</v>
      </c>
      <c r="D19" s="96"/>
      <c r="F19" s="96"/>
      <c r="G19" s="856">
        <f>income_D_PTR</f>
        <v>0</v>
      </c>
      <c r="H19" s="718"/>
      <c r="I19" s="96"/>
      <c r="J19" s="146"/>
      <c r="L19" s="7">
        <f>IF(income_D_PTR&gt;0,1,0)</f>
        <v>0</v>
      </c>
    </row>
    <row r="20" spans="1:12" x14ac:dyDescent="0.35">
      <c r="A20" s="112" t="s">
        <v>635</v>
      </c>
      <c r="B20" s="434"/>
      <c r="C20" s="96" t="s">
        <v>6464</v>
      </c>
      <c r="D20" s="96"/>
      <c r="F20" s="96"/>
      <c r="G20" s="856">
        <f>income_IFP</f>
        <v>0</v>
      </c>
      <c r="H20" s="718"/>
      <c r="I20" s="96"/>
      <c r="J20" s="146"/>
      <c r="L20" s="7">
        <f>IF(income_IFP&gt;0,1,0)</f>
        <v>0</v>
      </c>
    </row>
    <row r="21" spans="1:12" x14ac:dyDescent="0.35">
      <c r="A21" s="112" t="s">
        <v>636</v>
      </c>
      <c r="B21" s="434"/>
      <c r="C21" s="96" t="s">
        <v>6465</v>
      </c>
      <c r="D21" s="96"/>
      <c r="F21" s="96"/>
      <c r="G21" s="856">
        <f>income_Foreign</f>
        <v>0</v>
      </c>
      <c r="H21" s="718"/>
      <c r="I21" s="96"/>
      <c r="J21" s="146"/>
      <c r="L21" s="7">
        <f>IF(income_Foreign&gt;0,1,0)</f>
        <v>0</v>
      </c>
    </row>
    <row r="22" spans="1:12" x14ac:dyDescent="0.35">
      <c r="A22" s="112" t="s">
        <v>3199</v>
      </c>
      <c r="B22" s="434"/>
      <c r="C22" s="96" t="s">
        <v>6466</v>
      </c>
      <c r="D22" s="96"/>
      <c r="F22" s="96"/>
      <c r="G22" s="856">
        <f>foreign_dividends</f>
        <v>0</v>
      </c>
      <c r="H22" s="718"/>
      <c r="I22" s="96"/>
      <c r="J22" s="146"/>
      <c r="L22" s="7">
        <f>IF(foreign_dividends&gt;0,1,0)</f>
        <v>0</v>
      </c>
    </row>
    <row r="23" spans="1:12" x14ac:dyDescent="0.35">
      <c r="A23" s="112" t="s">
        <v>637</v>
      </c>
      <c r="B23" s="434"/>
      <c r="C23" s="96" t="s">
        <v>6467</v>
      </c>
      <c r="D23" s="96"/>
      <c r="F23" s="96"/>
      <c r="G23" s="856">
        <f>income_Trust</f>
        <v>0</v>
      </c>
      <c r="H23" s="718"/>
      <c r="I23" s="96"/>
      <c r="J23" s="146"/>
      <c r="L23" s="7">
        <f>IF(income_Trust&gt;0,1,0)</f>
        <v>0</v>
      </c>
    </row>
    <row r="24" spans="1:12" x14ac:dyDescent="0.35">
      <c r="A24" s="112" t="s">
        <v>638</v>
      </c>
      <c r="B24" s="434"/>
      <c r="C24" s="96" t="s">
        <v>6561</v>
      </c>
      <c r="D24" s="96"/>
      <c r="F24" s="96"/>
      <c r="G24" s="856">
        <f>income_Case3</f>
        <v>0</v>
      </c>
      <c r="H24" s="718"/>
      <c r="I24" s="96"/>
      <c r="J24" s="146"/>
      <c r="L24" s="7">
        <f>IF(income_Case3&gt;0,1,0)</f>
        <v>0</v>
      </c>
    </row>
    <row r="25" spans="1:12" x14ac:dyDescent="0.35">
      <c r="A25" s="112" t="s">
        <v>639</v>
      </c>
      <c r="B25" s="434"/>
      <c r="C25" s="96" t="s">
        <v>6472</v>
      </c>
      <c r="D25" s="96"/>
      <c r="F25" s="96"/>
      <c r="G25" s="856">
        <f>income_F</f>
        <v>0</v>
      </c>
      <c r="H25" s="718"/>
      <c r="I25" s="96"/>
      <c r="J25" s="146"/>
      <c r="L25" s="7">
        <f>IF(income_F&gt;0,1,0)</f>
        <v>0</v>
      </c>
    </row>
    <row r="26" spans="1:12" x14ac:dyDescent="0.35">
      <c r="A26" s="112" t="s">
        <v>917</v>
      </c>
      <c r="B26" s="434"/>
      <c r="C26" s="96" t="s">
        <v>6468</v>
      </c>
      <c r="D26" s="96"/>
      <c r="F26" s="96"/>
      <c r="G26" s="856">
        <f>income_Pensions</f>
        <v>0</v>
      </c>
      <c r="H26" s="718"/>
      <c r="I26" s="96"/>
      <c r="J26" s="146"/>
      <c r="L26" s="7">
        <f>IF(income_Pensions&gt;0,1,0)</f>
        <v>0</v>
      </c>
    </row>
    <row r="27" spans="1:12" x14ac:dyDescent="0.35">
      <c r="A27" s="112" t="s">
        <v>918</v>
      </c>
      <c r="B27" s="434"/>
      <c r="C27" s="96" t="s">
        <v>6469</v>
      </c>
      <c r="D27" s="96"/>
      <c r="F27" s="96"/>
      <c r="G27" s="856">
        <f>income_CEG</f>
        <v>0</v>
      </c>
      <c r="H27" s="718"/>
      <c r="I27" s="96"/>
      <c r="J27" s="146"/>
      <c r="L27" s="7">
        <f>IF(income_CEG&gt;0,1,0)</f>
        <v>0</v>
      </c>
    </row>
    <row r="28" spans="1:12" x14ac:dyDescent="0.35">
      <c r="A28" s="112" t="s">
        <v>919</v>
      </c>
      <c r="B28" s="434"/>
      <c r="C28" s="96" t="s">
        <v>6470</v>
      </c>
      <c r="D28" s="96"/>
      <c r="F28" s="96"/>
      <c r="G28" s="856">
        <f>income_Other</f>
        <v>0</v>
      </c>
      <c r="H28" s="718"/>
      <c r="I28" s="96"/>
      <c r="J28" s="146"/>
      <c r="L28" s="7">
        <f>IF(income_Other&gt;0,1,0)</f>
        <v>0</v>
      </c>
    </row>
    <row r="29" spans="1:12" x14ac:dyDescent="0.35">
      <c r="A29" s="112" t="s">
        <v>920</v>
      </c>
      <c r="B29" s="434"/>
      <c r="C29" s="92" t="s">
        <v>6471</v>
      </c>
      <c r="D29" s="92"/>
      <c r="F29" s="102"/>
      <c r="G29" s="429"/>
      <c r="H29" s="856">
        <f>income_Total</f>
        <v>0</v>
      </c>
      <c r="I29" s="96"/>
      <c r="J29" s="146"/>
      <c r="L29" s="7">
        <v>1</v>
      </c>
    </row>
    <row r="30" spans="1:12" ht="12" customHeight="1" x14ac:dyDescent="0.35">
      <c r="A30" s="112" t="s">
        <v>921</v>
      </c>
      <c r="B30" s="434"/>
      <c r="C30" s="869"/>
      <c r="D30" s="869"/>
      <c r="E30" s="96"/>
      <c r="F30" s="102"/>
      <c r="G30" s="102"/>
      <c r="H30" s="96"/>
      <c r="I30" s="96"/>
      <c r="J30" s="146"/>
      <c r="L30" s="7">
        <v>1</v>
      </c>
    </row>
    <row r="31" spans="1:12" ht="13.15" x14ac:dyDescent="0.4">
      <c r="A31" s="112" t="s">
        <v>922</v>
      </c>
      <c r="B31" s="434"/>
      <c r="C31" s="106" t="s">
        <v>6440</v>
      </c>
      <c r="D31" s="1090"/>
      <c r="E31" s="435"/>
      <c r="F31" s="1091"/>
      <c r="G31" s="102"/>
      <c r="H31" s="96"/>
      <c r="I31" s="96"/>
      <c r="J31" s="146"/>
      <c r="L31" s="7">
        <f>IF(Allce_PA=Allce_dedn_total,0,1)</f>
        <v>0</v>
      </c>
    </row>
    <row r="32" spans="1:12" ht="12" customHeight="1" x14ac:dyDescent="0.35">
      <c r="A32" s="112" t="s">
        <v>2691</v>
      </c>
      <c r="B32" s="434"/>
      <c r="C32" s="111"/>
      <c r="D32" s="111"/>
      <c r="E32" s="96"/>
      <c r="F32" s="102"/>
      <c r="G32" s="102"/>
      <c r="H32" s="96"/>
      <c r="I32" s="96"/>
      <c r="J32" s="146"/>
      <c r="L32" s="7">
        <f>IF(Allce_PA=Allce_dedn_total,0,1)</f>
        <v>0</v>
      </c>
    </row>
    <row r="33" spans="1:12" ht="12" customHeight="1" x14ac:dyDescent="0.35">
      <c r="A33" s="112" t="s">
        <v>2692</v>
      </c>
      <c r="B33" s="434"/>
      <c r="C33" s="96" t="s">
        <v>6473</v>
      </c>
      <c r="D33" s="96"/>
      <c r="F33" s="102"/>
      <c r="G33" s="856">
        <f>dedn_RAR</f>
        <v>0</v>
      </c>
      <c r="H33" s="718"/>
      <c r="I33" s="96"/>
      <c r="J33" s="146"/>
      <c r="L33" s="7">
        <f>IF(dedn_RAR&gt;0,1,0)</f>
        <v>0</v>
      </c>
    </row>
    <row r="34" spans="1:12" ht="12" customHeight="1" x14ac:dyDescent="0.35">
      <c r="A34" s="112" t="s">
        <v>2693</v>
      </c>
      <c r="B34" s="434"/>
      <c r="C34" s="96" t="s">
        <v>6474</v>
      </c>
      <c r="D34" s="96"/>
      <c r="F34" s="102"/>
      <c r="G34" s="856">
        <f>dedn_Trust</f>
        <v>0</v>
      </c>
      <c r="H34" s="718"/>
      <c r="I34" s="96"/>
      <c r="J34" s="146"/>
      <c r="L34" s="7">
        <f>IF(dedn_Trust&gt;0,1,0)</f>
        <v>0</v>
      </c>
    </row>
    <row r="35" spans="1:12" ht="12" customHeight="1" x14ac:dyDescent="0.35">
      <c r="A35" s="112" t="s">
        <v>2695</v>
      </c>
      <c r="B35" s="434"/>
      <c r="C35" s="96" t="s">
        <v>6475</v>
      </c>
      <c r="D35" s="96"/>
      <c r="F35" s="102"/>
      <c r="G35" s="856">
        <f>ded_Loss</f>
        <v>0</v>
      </c>
      <c r="H35" s="718"/>
      <c r="I35" s="96"/>
      <c r="J35" s="146"/>
      <c r="L35" s="7">
        <f>IF(AND(ded_Loss&gt;0,ded_Loss=ded_loss_restricted),1,0)</f>
        <v>0</v>
      </c>
    </row>
    <row r="36" spans="1:12" ht="12" customHeight="1" x14ac:dyDescent="0.35">
      <c r="A36" s="870" t="s">
        <v>4303</v>
      </c>
      <c r="B36" s="434"/>
      <c r="C36" s="96" t="str">
        <f>"Rhyddhad treth incwm "&amp;DOLLAR(ded_Loss,0)&amp;" wedi ei leihau i'r uchaf a ganiateir "</f>
        <v xml:space="preserve">Rhyddhad treth incwm £0 wedi ei leihau i'r uchaf a ganiateir </v>
      </c>
      <c r="D36" s="111"/>
      <c r="E36" s="96"/>
      <c r="F36" s="102"/>
      <c r="G36" s="718">
        <f>ded_loss_restricted</f>
        <v>0</v>
      </c>
      <c r="H36" s="96"/>
      <c r="I36" s="96"/>
      <c r="J36" s="146"/>
      <c r="L36" s="7">
        <f>IF(AND(ded_Loss&gt;0,ded_Loss&gt;ded_loss_restricted),1,0)</f>
        <v>0</v>
      </c>
    </row>
    <row r="37" spans="1:12" x14ac:dyDescent="0.35">
      <c r="A37" s="112" t="s">
        <v>2696</v>
      </c>
      <c r="B37" s="434"/>
      <c r="C37" s="146" t="s">
        <v>6476</v>
      </c>
      <c r="D37" s="146"/>
      <c r="F37" s="102"/>
      <c r="G37" s="856">
        <f>dedn_Annuity</f>
        <v>0</v>
      </c>
      <c r="H37" s="718"/>
      <c r="I37" s="96"/>
      <c r="J37" s="146"/>
      <c r="L37" s="7">
        <f>IF(dedn_Annuity&gt;0,1,0)</f>
        <v>0</v>
      </c>
    </row>
    <row r="38" spans="1:12" x14ac:dyDescent="0.35">
      <c r="A38" s="112" t="s">
        <v>1820</v>
      </c>
      <c r="B38" s="434"/>
      <c r="C38" s="146" t="s">
        <v>6477</v>
      </c>
      <c r="D38" s="146"/>
      <c r="F38" s="102"/>
      <c r="G38" s="856">
        <f>dedn_Gift</f>
        <v>0</v>
      </c>
      <c r="H38" s="718"/>
      <c r="I38" s="96"/>
      <c r="J38" s="146"/>
      <c r="L38" s="7">
        <f>IF(dedn_Gift&gt;0,1,0)</f>
        <v>0</v>
      </c>
    </row>
    <row r="39" spans="1:12" x14ac:dyDescent="0.35">
      <c r="A39" s="112" t="s">
        <v>1821</v>
      </c>
      <c r="B39" s="434"/>
      <c r="C39" s="96" t="str">
        <f>IF(Allce_PA=P_A,"Lwfans Personol","Lwfans Personol wedi ei ostwng")</f>
        <v>Lwfans Personol</v>
      </c>
      <c r="D39" s="96"/>
      <c r="F39" s="102"/>
      <c r="G39" s="856">
        <f>Allce_PA</f>
        <v>11500</v>
      </c>
      <c r="I39" s="96"/>
      <c r="J39" s="146"/>
      <c r="L39" s="7">
        <f>IF(AND(Allce_PA&lt;&gt;Allce_dedn_total,Allce_PA&gt;0),1,0)</f>
        <v>0</v>
      </c>
    </row>
    <row r="40" spans="1:12" x14ac:dyDescent="0.35">
      <c r="A40" s="870" t="s">
        <v>4303</v>
      </c>
      <c r="B40" s="434"/>
      <c r="C40" s="4" t="s">
        <v>6440</v>
      </c>
      <c r="D40" s="96" t="str">
        <f>C39</f>
        <v>Lwfans Personol</v>
      </c>
      <c r="F40" s="102"/>
      <c r="G40" s="856"/>
      <c r="H40" s="856">
        <f>Allce_PA</f>
        <v>11500</v>
      </c>
      <c r="I40" s="96"/>
      <c r="J40" s="146"/>
      <c r="L40" s="7">
        <f>IF(AND(Allce_PA=Allce_dedn_total,Allce_PA&gt;0),1,0)</f>
        <v>1</v>
      </c>
    </row>
    <row r="41" spans="1:12" x14ac:dyDescent="0.35">
      <c r="A41" s="870" t="s">
        <v>4642</v>
      </c>
      <c r="C41" s="4" t="s">
        <v>6440</v>
      </c>
      <c r="D41" s="96" t="s">
        <v>6478</v>
      </c>
      <c r="G41" s="856">
        <f>AllceOut_TPA</f>
        <v>0</v>
      </c>
      <c r="H41" s="856"/>
      <c r="L41" s="7">
        <f>IF(AllceOut_TPA&gt;0,IF(AND(Allce_PA&lt;&gt;Allce_dedn_total,Allce_PA&gt;0),1,0),0)</f>
        <v>0</v>
      </c>
    </row>
    <row r="42" spans="1:12" x14ac:dyDescent="0.35">
      <c r="A42" s="870" t="s">
        <v>4303</v>
      </c>
      <c r="C42" s="4" t="s">
        <v>6440</v>
      </c>
      <c r="D42" s="96" t="s">
        <v>6478</v>
      </c>
      <c r="H42" s="856">
        <f>AllceOut_TPA</f>
        <v>0</v>
      </c>
      <c r="L42" s="7">
        <f>IF(AllceOut_TPA&gt;0,IF(AND(Allce_PA=Allce_dedn_total,Allce_PA&gt;0),1,0),0)</f>
        <v>0</v>
      </c>
    </row>
    <row r="43" spans="1:12" x14ac:dyDescent="0.35">
      <c r="A43" s="112" t="s">
        <v>62</v>
      </c>
      <c r="B43" s="434"/>
      <c r="C43" s="96" t="s">
        <v>6479</v>
      </c>
      <c r="D43" s="96"/>
      <c r="F43" s="102"/>
      <c r="G43" s="856">
        <f>Allce_BPA</f>
        <v>0</v>
      </c>
      <c r="H43" s="718"/>
      <c r="I43" s="96"/>
      <c r="J43" s="146"/>
      <c r="L43" s="7">
        <f>IF(Allce_BPA&gt;0,1,0)</f>
        <v>0</v>
      </c>
    </row>
    <row r="44" spans="1:12" x14ac:dyDescent="0.35">
      <c r="A44" s="112" t="s">
        <v>63</v>
      </c>
      <c r="B44" s="434"/>
      <c r="C44" s="96" t="s">
        <v>6480</v>
      </c>
      <c r="D44" s="96"/>
      <c r="F44" s="102"/>
      <c r="G44" s="856">
        <f>Allce_BPA_Spare</f>
        <v>0</v>
      </c>
      <c r="H44" s="718"/>
      <c r="I44" s="96"/>
      <c r="J44" s="146"/>
      <c r="L44" s="7">
        <f>IF(Allce_BPA_Spare&gt;0,1,0)</f>
        <v>0</v>
      </c>
    </row>
    <row r="45" spans="1:12" ht="12" customHeight="1" x14ac:dyDescent="0.35">
      <c r="A45" s="112" t="s">
        <v>64</v>
      </c>
      <c r="B45" s="434"/>
      <c r="C45" s="87" t="s">
        <v>6481</v>
      </c>
      <c r="D45" s="87"/>
      <c r="F45" s="102"/>
      <c r="G45" s="856">
        <f>Income_Excluded</f>
        <v>0</v>
      </c>
      <c r="H45" s="718"/>
      <c r="I45" s="96"/>
      <c r="J45" s="146"/>
      <c r="L45" s="7">
        <f>IF(Income_Excluded&gt;0,1,0)</f>
        <v>0</v>
      </c>
    </row>
    <row r="46" spans="1:12" x14ac:dyDescent="0.35">
      <c r="A46" s="112" t="s">
        <v>65</v>
      </c>
      <c r="B46" s="434"/>
      <c r="C46" s="88" t="s">
        <v>6482</v>
      </c>
      <c r="D46" s="88"/>
      <c r="F46" s="96"/>
      <c r="G46" s="429"/>
      <c r="H46" s="856">
        <f>Allce_dedn_total</f>
        <v>11500</v>
      </c>
      <c r="I46" s="96"/>
      <c r="J46" s="146"/>
      <c r="L46" s="7">
        <f>IF(Allce_PA=Allce_dedn_total,0,1)</f>
        <v>0</v>
      </c>
    </row>
    <row r="47" spans="1:12" x14ac:dyDescent="0.35">
      <c r="A47" s="112" t="s">
        <v>66</v>
      </c>
      <c r="B47" s="434"/>
      <c r="C47" s="577"/>
      <c r="D47" s="577"/>
      <c r="E47" s="88"/>
      <c r="F47" s="96"/>
      <c r="G47" s="856"/>
      <c r="H47" s="718"/>
      <c r="I47" s="96"/>
      <c r="J47" s="146"/>
      <c r="L47" s="7">
        <v>1</v>
      </c>
    </row>
    <row r="48" spans="1:12" ht="13.15" x14ac:dyDescent="0.4">
      <c r="A48" s="112" t="s">
        <v>67</v>
      </c>
      <c r="B48" s="434"/>
      <c r="C48" s="106" t="s">
        <v>7859</v>
      </c>
      <c r="D48" s="95"/>
      <c r="E48" s="435"/>
      <c r="F48" s="435"/>
      <c r="G48" s="1093"/>
      <c r="H48" s="1094">
        <f>taxable_income</f>
        <v>0</v>
      </c>
      <c r="I48" s="96"/>
      <c r="J48" s="146"/>
      <c r="L48" s="7">
        <f>IF(taxable_income&gt;0,1,0)</f>
        <v>0</v>
      </c>
    </row>
    <row r="49" spans="1:12" ht="13.15" x14ac:dyDescent="0.4">
      <c r="A49" s="112" t="s">
        <v>4303</v>
      </c>
      <c r="B49" s="434"/>
      <c r="C49" s="106" t="s">
        <v>7858</v>
      </c>
      <c r="D49" s="95"/>
      <c r="E49" s="435"/>
      <c r="F49" s="435"/>
      <c r="G49" s="1093"/>
      <c r="H49" s="1094">
        <f>taxable_income</f>
        <v>0</v>
      </c>
      <c r="I49" s="96"/>
      <c r="J49" s="146"/>
      <c r="L49" s="7">
        <f>IF(taxable_income&lt;=0,1,0)</f>
        <v>1</v>
      </c>
    </row>
    <row r="50" spans="1:12" ht="13.15" x14ac:dyDescent="0.4">
      <c r="A50" s="112" t="s">
        <v>68</v>
      </c>
      <c r="B50" s="434"/>
      <c r="C50" s="18"/>
      <c r="D50" s="18"/>
      <c r="E50" s="96"/>
      <c r="F50" s="96"/>
      <c r="G50" s="102"/>
      <c r="H50" s="96"/>
      <c r="I50" s="96"/>
      <c r="J50" s="146"/>
      <c r="L50" s="7">
        <v>1</v>
      </c>
    </row>
    <row r="51" spans="1:12" x14ac:dyDescent="0.35">
      <c r="A51" s="862" t="s">
        <v>69</v>
      </c>
      <c r="B51" s="434"/>
      <c r="C51" s="92" t="s">
        <v>6483</v>
      </c>
      <c r="D51" s="92"/>
      <c r="E51" s="96"/>
      <c r="F51" s="96"/>
      <c r="G51" s="96"/>
      <c r="H51" s="96"/>
      <c r="I51" s="96"/>
      <c r="J51" s="146"/>
      <c r="L51" s="7">
        <v>1</v>
      </c>
    </row>
    <row r="52" spans="1:12" x14ac:dyDescent="0.35">
      <c r="A52" s="3221" t="s">
        <v>7861</v>
      </c>
      <c r="B52" s="3222"/>
      <c r="C52" s="3055" t="s">
        <v>7864</v>
      </c>
      <c r="D52" s="3055"/>
      <c r="E52" s="3045"/>
      <c r="F52" s="3055"/>
      <c r="G52" s="3055"/>
      <c r="H52" s="3223"/>
      <c r="I52" s="3055"/>
      <c r="J52" s="3045"/>
      <c r="K52" s="3043"/>
      <c r="L52" s="3043">
        <f>IF(AND(Residency_Status_in_UK=2,OR(ppr_extender&gt;0,gift_extender&gt;0)),1,0)</f>
        <v>0</v>
      </c>
    </row>
    <row r="53" spans="1:12" x14ac:dyDescent="0.35">
      <c r="A53" s="3221" t="s">
        <v>7862</v>
      </c>
      <c r="B53" s="3222"/>
      <c r="C53" s="3055" t="s">
        <v>7865</v>
      </c>
      <c r="D53" s="3055"/>
      <c r="E53" s="3045"/>
      <c r="F53" s="3055"/>
      <c r="G53" s="3055"/>
      <c r="H53" s="3223"/>
      <c r="I53" s="3055"/>
      <c r="J53" s="3045"/>
      <c r="K53" s="3043"/>
      <c r="L53" s="3043">
        <f>IF(AND(Residency_Status_in_UK=2,OR(ppr_extender&gt;0,gift_extender&gt;0)),1,0)</f>
        <v>0</v>
      </c>
    </row>
    <row r="54" spans="1:12" x14ac:dyDescent="0.35">
      <c r="A54" s="862" t="s">
        <v>70</v>
      </c>
      <c r="B54" s="434"/>
      <c r="C54" s="96" t="str">
        <f>"Mae'ch terfyn cyfradd sylfaenol wedi ei gynyddu gan "&amp;DOLLAR(ppr_extender,0)&amp;" a "&amp;DOLLAR(gift_extender,0)&amp;" i "&amp;DOLLAR(extended_BR,0)&amp;" ar gyfer taliadau"</f>
        <v>Mae'ch terfyn cyfradd sylfaenol wedi ei gynyddu gan £0 a £0 i £33,500 ar gyfer taliadau</v>
      </c>
      <c r="D54" s="96"/>
      <c r="F54" s="96"/>
      <c r="G54" s="96"/>
      <c r="H54" s="107"/>
      <c r="I54" s="96"/>
      <c r="J54" s="146"/>
      <c r="L54" s="3043">
        <f>IF(AND(Residency_Status_in_UK=1,ppr_extender&gt;0,gift_extender&gt;0),1,0)</f>
        <v>0</v>
      </c>
    </row>
    <row r="55" spans="1:12" x14ac:dyDescent="0.35">
      <c r="A55" s="1095" t="s">
        <v>4303</v>
      </c>
      <c r="B55" s="871"/>
      <c r="C55" s="96" t="str">
        <f>"Mae'ch terfyn cyfradd sylfaenol wedi ei gynyddu gan "&amp;DOLLAR(ppr_extender,0)&amp;" i "&amp;DOLLAR(extended_BR,0)&amp;" ar gyfer taliadau pensiwn ayb."</f>
        <v>Mae'ch terfyn cyfradd sylfaenol wedi ei gynyddu gan £0 i £33,500 ar gyfer taliadau pensiwn ayb.</v>
      </c>
      <c r="D55" s="864"/>
      <c r="F55" s="96"/>
      <c r="G55" s="96"/>
      <c r="H55" s="107"/>
      <c r="I55" s="96"/>
      <c r="J55" s="146"/>
      <c r="L55" s="3043">
        <f>IF(AND(Residency_Status_in_UK=1,ppr_extender&gt;0,gift_extender=0),1,0)</f>
        <v>0</v>
      </c>
    </row>
    <row r="56" spans="1:12" x14ac:dyDescent="0.35">
      <c r="A56" s="870" t="s">
        <v>4303</v>
      </c>
      <c r="B56" s="871"/>
      <c r="C56" s="96" t="str">
        <f>"Mae'ch terfyn cyfradd sylfaenol wedi ei gynyddu gan "&amp;DOLLAR(gift_extender,0)&amp;" i "&amp;DOLLAR(extended_BR,0)&amp;" ar gyfer taliadau rhodd cymorth ayb."</f>
        <v>Mae'ch terfyn cyfradd sylfaenol wedi ei gynyddu gan £0 i £33,500 ar gyfer taliadau rhodd cymorth ayb.</v>
      </c>
      <c r="D56" s="864"/>
      <c r="F56" s="96"/>
      <c r="G56" s="96"/>
      <c r="H56" s="107"/>
      <c r="I56" s="96"/>
      <c r="J56" s="429"/>
      <c r="L56" s="3043">
        <f>IF(AND(Residency_Status_in_UK=1,ppr_extender=0,gift_extender&gt;0),1,0)</f>
        <v>0</v>
      </c>
    </row>
    <row r="57" spans="1:12" x14ac:dyDescent="0.35">
      <c r="A57" s="3221" t="s">
        <v>7860</v>
      </c>
      <c r="B57" s="3222"/>
      <c r="C57" s="3055" t="str">
        <f>"Your basic rate limit has been increased by "&amp;DOLLAR(ppr_extender,0)&amp;" and "&amp;DOLLAR(gift_extender,0)&amp;" to "&amp;DOLLAR(extended_BR_STp,0)&amp;" and "&amp;DOLLAR(extended_BR,0)&amp;" for pension"</f>
        <v>Your basic rate limit has been increased by £0 and £0 to £33,500 and £33,500 for pension</v>
      </c>
      <c r="D57" s="3055"/>
      <c r="E57" s="3045"/>
      <c r="F57" s="3055"/>
      <c r="G57" s="3055"/>
      <c r="H57" s="3223"/>
      <c r="I57" s="3055"/>
      <c r="J57" s="3045"/>
      <c r="K57" s="3043"/>
      <c r="L57" s="3043">
        <f>IF(AND(Residency_Status_in_UK=2,ppr_extender&gt;0,gift_extender&gt;0),1,0)</f>
        <v>0</v>
      </c>
    </row>
    <row r="58" spans="1:12" x14ac:dyDescent="0.35">
      <c r="A58" s="3224" t="s">
        <v>4303</v>
      </c>
      <c r="B58" s="3225"/>
      <c r="C58" s="3055" t="str">
        <f>"Your basic rate limit has been increased by "&amp;DOLLAR(ppr_extender,0)&amp;" to "&amp;DOLLAR(extended_BR_STp,0)&amp;" and "&amp;DOLLAR(extended_BR,0)&amp;" for pension payments etc."</f>
        <v>Your basic rate limit has been increased by £0 to £33,500 and £33,500 for pension payments etc.</v>
      </c>
      <c r="D58" s="3226"/>
      <c r="E58" s="3045"/>
      <c r="F58" s="3055"/>
      <c r="G58" s="3055"/>
      <c r="H58" s="3223"/>
      <c r="I58" s="3055"/>
      <c r="J58" s="3045"/>
      <c r="K58" s="3043"/>
      <c r="L58" s="3043">
        <f>IF(AND(Residency_Status_in_UK=2,ppr_extender&gt;0,gift_extender=0),1,0)</f>
        <v>0</v>
      </c>
    </row>
    <row r="59" spans="1:12" x14ac:dyDescent="0.35">
      <c r="A59" s="3227" t="s">
        <v>4303</v>
      </c>
      <c r="B59" s="3225"/>
      <c r="C59" s="3055" t="str">
        <f>"Your basic rate limit has been increased by "&amp;DOLLAR(gift_extender,0)&amp;" to "&amp;DOLLAR(extended_BR_STp,0)&amp;" and "&amp;DOLLAR(extended_BR,0)&amp;" for Gift Aid payments."</f>
        <v>Your basic rate limit has been increased by £0 to £33,500 and £33,500 for Gift Aid payments.</v>
      </c>
      <c r="D59" s="3226"/>
      <c r="E59" s="3045"/>
      <c r="F59" s="3055"/>
      <c r="G59" s="3055"/>
      <c r="H59" s="3223"/>
      <c r="I59" s="3055"/>
      <c r="J59" s="3228"/>
      <c r="K59" s="3043"/>
      <c r="L59" s="3043">
        <f>IF(AND(Residency_Status_in_UK=2,ppr_extender=0,gift_extender&gt;0),1,0)</f>
        <v>0</v>
      </c>
    </row>
    <row r="60" spans="1:12" x14ac:dyDescent="0.35">
      <c r="A60" s="862" t="s">
        <v>71</v>
      </c>
      <c r="B60" s="434"/>
      <c r="C60" s="96" t="s">
        <v>6484</v>
      </c>
      <c r="D60" s="96"/>
      <c r="F60" s="96"/>
      <c r="G60" s="102"/>
      <c r="H60" s="96"/>
      <c r="I60" s="96"/>
      <c r="J60" s="146"/>
      <c r="L60" s="7">
        <f>IF(AND(ppr_extender&gt;0,gift_extender&gt;0),1,0)</f>
        <v>0</v>
      </c>
    </row>
    <row r="61" spans="1:12" x14ac:dyDescent="0.35">
      <c r="A61" s="870" t="s">
        <v>4303</v>
      </c>
      <c r="B61" s="871"/>
      <c r="C61" s="96" t="s">
        <v>6485</v>
      </c>
      <c r="D61" s="864"/>
      <c r="F61" s="96"/>
      <c r="G61" s="102"/>
      <c r="H61" s="96"/>
      <c r="I61" s="96"/>
      <c r="J61" s="146"/>
      <c r="L61" s="7">
        <f>IF(OR(AND(ppr_extender=0,gift_extender&gt;0),AND(ppr_extender&gt;0,gift_extender=0)),1,0)</f>
        <v>0</v>
      </c>
    </row>
    <row r="62" spans="1:12" x14ac:dyDescent="0.35">
      <c r="A62" s="112" t="s">
        <v>72</v>
      </c>
      <c r="B62" s="434"/>
      <c r="C62" s="577"/>
      <c r="D62" s="577"/>
      <c r="E62" s="96"/>
      <c r="F62" s="96"/>
      <c r="G62" s="102"/>
      <c r="H62" s="96"/>
      <c r="I62" s="857"/>
      <c r="J62" s="146"/>
      <c r="L62" s="7">
        <v>1</v>
      </c>
    </row>
    <row r="63" spans="1:12" x14ac:dyDescent="0.35">
      <c r="A63" s="112" t="s">
        <v>5592</v>
      </c>
      <c r="B63" s="434"/>
      <c r="C63" s="577"/>
      <c r="D63" s="577"/>
      <c r="E63" s="107"/>
      <c r="G63" s="44" t="str">
        <f>IF(non_resident,"Cyflog, pensiynau, elw etc.",IF(Residency_Status_in_UK=2,"Cyflog, pensiynau, elw etc. (cyfradd yr Alban o dreth incwm)","Cyflog, pensiynau, elw etc. (cyfradd y DU ar gyfer Cymru, Lloegr a Gogledd Iwerddon)"))</f>
        <v>Cyflog, pensiynau, elw etc. (cyfradd y DU ar gyfer Cymru, Lloegr a Gogledd Iwerddon)</v>
      </c>
      <c r="I63" s="103"/>
      <c r="J63" s="430"/>
      <c r="L63" s="7">
        <f>IF((taxable_pay_BR+taxable_pay_HR+taxable_pay_AHR)&gt;0,1,0)</f>
        <v>0</v>
      </c>
    </row>
    <row r="64" spans="1:12" x14ac:dyDescent="0.35">
      <c r="A64" s="112" t="s">
        <v>73</v>
      </c>
      <c r="B64" s="434"/>
      <c r="C64" s="577"/>
      <c r="D64" s="577"/>
      <c r="E64" s="107"/>
      <c r="G64" s="44" t="s">
        <v>6562</v>
      </c>
      <c r="H64" s="858">
        <f>taxable_pay_BR</f>
        <v>0</v>
      </c>
      <c r="I64" s="103" t="str">
        <f>IF(Residency_Status_in_UK=2,"x "&amp;SBR_rate*100&amp;"% =","x "&amp;BR_rate*100&amp;"% =")</f>
        <v>x 20% =</v>
      </c>
      <c r="J64" s="430">
        <f>tax_on_pay_BR</f>
        <v>0</v>
      </c>
      <c r="L64" s="7">
        <f>IF((taxable_pay_BR+taxable_pay_HR+taxable_pay_AHR)&gt;0,1,0)</f>
        <v>0</v>
      </c>
    </row>
    <row r="65" spans="1:13" x14ac:dyDescent="0.35">
      <c r="A65" s="112" t="s">
        <v>74</v>
      </c>
      <c r="B65" s="434"/>
      <c r="C65" s="577"/>
      <c r="D65" s="577"/>
      <c r="E65" s="107"/>
      <c r="G65" s="44" t="s">
        <v>6563</v>
      </c>
      <c r="H65" s="858">
        <f>taxable_pay_HR</f>
        <v>0</v>
      </c>
      <c r="I65" s="103" t="str">
        <f>IF(Residency_Status_in_UK=2,"x "&amp;SHR_rate*100&amp;"% =","x "&amp;HR_rate*100&amp;"% =")</f>
        <v>x 40% =</v>
      </c>
      <c r="J65" s="430">
        <f>tax_on_pay_HR</f>
        <v>0</v>
      </c>
      <c r="L65" s="7">
        <f>IF((taxable_pay_HR+taxable_pay_AHR)&gt;0,1,0)</f>
        <v>0</v>
      </c>
    </row>
    <row r="66" spans="1:13" x14ac:dyDescent="0.35">
      <c r="A66" s="112" t="s">
        <v>3964</v>
      </c>
      <c r="B66" s="434"/>
      <c r="C66" s="577"/>
      <c r="D66" s="577"/>
      <c r="E66" s="107"/>
      <c r="G66" s="44" t="s">
        <v>6564</v>
      </c>
      <c r="H66" s="858">
        <f>taxable_pay_AHR</f>
        <v>0</v>
      </c>
      <c r="I66" s="103" t="str">
        <f>IF(Residency_Status_in_UK=2,"x "&amp;SAHR_rate*100&amp;"% =","x "&amp;AHR_rate*100&amp;"% =")</f>
        <v>x 45% =</v>
      </c>
      <c r="J66" s="430">
        <f>tax_on_pay_AHR</f>
        <v>0</v>
      </c>
      <c r="L66" s="7">
        <f>IF(taxable_pay_AHR&gt;0,1,0)</f>
        <v>0</v>
      </c>
    </row>
    <row r="67" spans="1:13" x14ac:dyDescent="0.35">
      <c r="A67" s="112" t="s">
        <v>75</v>
      </c>
      <c r="B67" s="434"/>
      <c r="C67" s="577"/>
      <c r="D67" s="577"/>
      <c r="E67" s="107"/>
      <c r="G67" s="7"/>
      <c r="H67" s="429"/>
      <c r="I67" s="44"/>
      <c r="J67" s="432"/>
      <c r="L67" s="7">
        <f>IF(AND((taxable_pay_BR+taxable_pay_HR+taxable_pay_AHR)&gt;0,OR((taxable_int_SR+taxable_int_BR+taxable_int_HR+taxable_int_AHR)&gt;0,(taxable_divs_BR+taxable_divs_HR)&gt;0)),1,0)</f>
        <v>0</v>
      </c>
    </row>
    <row r="68" spans="1:13" x14ac:dyDescent="0.35">
      <c r="A68" s="112" t="s">
        <v>5587</v>
      </c>
      <c r="B68" s="434"/>
      <c r="C68" s="577"/>
      <c r="D68" s="577"/>
      <c r="F68" s="107"/>
      <c r="G68" s="44" t="str">
        <f>IF(AND(OR(income_Savings_taxfree&gt;0,taxable_int_SR+taxable_int_BR+taxable_int_HR+taxable_int_AHR&gt;0),income_CEG&gt;0),"Llog o gynilion o fanciau neu gymdeithasau adeiladu, gwarantau ac enillion ar bolisïau bywyd",IF(income_CEG&gt;0,"Enillion ar bolisïau bywyd","Llog o gynilion o fanciau neu gymdeithasau adeiladu, gwarantau etc."))</f>
        <v>Llog o gynilion o fanciau neu gymdeithasau adeiladu, gwarantau etc.</v>
      </c>
      <c r="I68" s="103"/>
      <c r="J68" s="430"/>
      <c r="L68" s="7">
        <f>IF(AND(taxable_income&gt;0,OR(income_Savings_taxfree&gt;0,taxable_int_SR+taxable_int_BR+taxable_int_HR+taxable_int_AHR&gt;0,income_CEG&gt;0)),1,0)</f>
        <v>0</v>
      </c>
    </row>
    <row r="69" spans="1:13" x14ac:dyDescent="0.35">
      <c r="A69" s="112" t="s">
        <v>5468</v>
      </c>
      <c r="B69" s="434"/>
      <c r="C69" s="577"/>
      <c r="D69" s="577"/>
      <c r="E69" s="107"/>
      <c r="G69" s="44" t="s">
        <v>6565</v>
      </c>
      <c r="H69" s="858">
        <f>taxable_int_SR</f>
        <v>0</v>
      </c>
      <c r="I69" s="103" t="s">
        <v>4972</v>
      </c>
      <c r="J69" s="430">
        <f>tax_on_int_SR</f>
        <v>0</v>
      </c>
      <c r="L69" s="7">
        <f>IF(AND(taxable_income&gt;0,taxable_int_SR+taxable_int_BR+taxable_int_HR+taxable_int_AHR&gt;0),1,0)</f>
        <v>0</v>
      </c>
    </row>
    <row r="70" spans="1:13" x14ac:dyDescent="0.35">
      <c r="A70" s="2637" t="s">
        <v>5469</v>
      </c>
      <c r="B70" s="434"/>
      <c r="C70" s="577"/>
      <c r="D70" s="577"/>
      <c r="E70" s="107"/>
      <c r="G70" s="44" t="s">
        <v>6566</v>
      </c>
      <c r="H70" s="2638">
        <f>income_Savings_taxfree</f>
        <v>0</v>
      </c>
      <c r="I70" s="103" t="s">
        <v>4972</v>
      </c>
      <c r="J70" s="432">
        <v>0</v>
      </c>
      <c r="L70" s="1117">
        <f>IF(OR(income_Savings_taxfree&gt;0,taxable_int_BR+taxable_int_HR+taxable_int_AHR&gt;0),1,0)</f>
        <v>0</v>
      </c>
    </row>
    <row r="71" spans="1:13" x14ac:dyDescent="0.35">
      <c r="A71" s="112" t="s">
        <v>800</v>
      </c>
      <c r="B71" s="434"/>
      <c r="C71" s="577"/>
      <c r="D71" s="577"/>
      <c r="E71" s="107"/>
      <c r="G71" s="44" t="s">
        <v>6562</v>
      </c>
      <c r="H71" s="858">
        <f>taxable_int_BR</f>
        <v>0</v>
      </c>
      <c r="I71" s="103" t="s">
        <v>4969</v>
      </c>
      <c r="J71" s="430">
        <f>tax_on_int_BR</f>
        <v>0</v>
      </c>
      <c r="L71" s="7">
        <f>IF((taxable_int_BR+taxable_int_HR+taxable_int_AHR)&gt;0,1,0)</f>
        <v>0</v>
      </c>
    </row>
    <row r="72" spans="1:13" x14ac:dyDescent="0.35">
      <c r="A72" s="112" t="s">
        <v>801</v>
      </c>
      <c r="B72" s="434"/>
      <c r="C72" s="577"/>
      <c r="D72" s="577"/>
      <c r="E72" s="107"/>
      <c r="G72" s="44" t="s">
        <v>6563</v>
      </c>
      <c r="H72" s="858">
        <f>taxable_int_HR</f>
        <v>0</v>
      </c>
      <c r="I72" s="103" t="s">
        <v>4970</v>
      </c>
      <c r="J72" s="430">
        <f>tax_on_int_HR</f>
        <v>0</v>
      </c>
      <c r="L72" s="7">
        <f>IF((taxable_int_HR+taxable_int_AHR)&gt;0,1,0)</f>
        <v>0</v>
      </c>
    </row>
    <row r="73" spans="1:13" x14ac:dyDescent="0.35">
      <c r="A73" s="112" t="s">
        <v>3228</v>
      </c>
      <c r="B73" s="434"/>
      <c r="C73" s="577"/>
      <c r="D73" s="577"/>
      <c r="E73" s="107"/>
      <c r="G73" s="44" t="s">
        <v>6564</v>
      </c>
      <c r="H73" s="858">
        <f>taxable_int_AHR</f>
        <v>0</v>
      </c>
      <c r="I73" s="103" t="s">
        <v>4971</v>
      </c>
      <c r="J73" s="430">
        <f>tax_on_int_AHR</f>
        <v>0</v>
      </c>
      <c r="L73" s="7">
        <f>IF(taxable_int_AHR&gt;0,1,0)</f>
        <v>0</v>
      </c>
    </row>
    <row r="74" spans="1:13" x14ac:dyDescent="0.35">
      <c r="A74" s="112" t="s">
        <v>802</v>
      </c>
      <c r="B74" s="434"/>
      <c r="C74" s="577"/>
      <c r="D74" s="577"/>
      <c r="E74" s="107"/>
      <c r="G74" s="44"/>
      <c r="H74" s="429"/>
      <c r="I74" s="44"/>
      <c r="J74" s="432"/>
      <c r="L74" s="7">
        <f>IF(AND(income_Savings_taxfree+taxable_int_SR+taxable_int_BR+taxable_int_HR+taxable_int_AHR&gt;0,divs_taxfree_BR+taxable_divs_BR+taxable_divs_HR+taxable_divs_AHR&gt;0),1,0)</f>
        <v>0</v>
      </c>
    </row>
    <row r="75" spans="1:13" x14ac:dyDescent="0.35">
      <c r="A75" s="2639" t="s">
        <v>5593</v>
      </c>
      <c r="B75" s="434"/>
      <c r="C75" s="577"/>
      <c r="D75" s="577"/>
      <c r="E75" s="107"/>
      <c r="G75" s="44" t="s">
        <v>6486</v>
      </c>
      <c r="I75" s="103"/>
      <c r="J75" s="432"/>
      <c r="L75" s="7">
        <f>IF(OR(taxable_divs_BR+taxable_divs_HR+taxable_divs_AHR&gt;0,divs_taxfree_BR&gt;0),1,0)</f>
        <v>0</v>
      </c>
    </row>
    <row r="76" spans="1:13" x14ac:dyDescent="0.35">
      <c r="A76" s="2639" t="s">
        <v>5493</v>
      </c>
      <c r="B76" s="434"/>
      <c r="C76" s="577"/>
      <c r="D76" s="577"/>
      <c r="E76" s="107"/>
      <c r="F76" s="3045"/>
      <c r="G76" s="3155" t="s">
        <v>8038</v>
      </c>
      <c r="H76" s="3477">
        <f>divs_taxfree_BR</f>
        <v>0</v>
      </c>
      <c r="I76" s="103" t="s">
        <v>4972</v>
      </c>
      <c r="J76" s="432">
        <v>0</v>
      </c>
      <c r="L76" s="3043">
        <f>IF(divs_taxfree_BR&gt;0,1,0)</f>
        <v>0</v>
      </c>
      <c r="M76" s="1139"/>
    </row>
    <row r="77" spans="1:13" x14ac:dyDescent="0.35">
      <c r="A77" s="112" t="s">
        <v>5494</v>
      </c>
      <c r="B77" s="434"/>
      <c r="C77" s="577"/>
      <c r="D77" s="577"/>
      <c r="E77" s="107"/>
      <c r="F77" s="1141"/>
      <c r="G77" s="44" t="s">
        <v>6562</v>
      </c>
      <c r="H77" s="858">
        <f>taxable_divs_BR</f>
        <v>0</v>
      </c>
      <c r="I77" s="44" t="str">
        <f>"x "&amp;DivBR_rate*100&amp;"% ="</f>
        <v>x 7.5% =</v>
      </c>
      <c r="J77" s="430">
        <f>tax_on_divs_BR</f>
        <v>0</v>
      </c>
      <c r="L77" s="7">
        <f>IF((taxable_divs_BR+taxable_divs_HR+taxable_divs_AHR)&gt;0,1,0)</f>
        <v>0</v>
      </c>
      <c r="M77" s="1139"/>
    </row>
    <row r="78" spans="1:13" x14ac:dyDescent="0.35">
      <c r="A78" s="3478" t="s">
        <v>8036</v>
      </c>
      <c r="B78" s="3222"/>
      <c r="C78" s="3479"/>
      <c r="D78" s="3479"/>
      <c r="E78" s="3223"/>
      <c r="F78" s="3045"/>
      <c r="G78" s="3155" t="s">
        <v>8039</v>
      </c>
      <c r="H78" s="3477">
        <f>divs_taxfree_HR</f>
        <v>0</v>
      </c>
      <c r="I78" s="3480" t="s">
        <v>4972</v>
      </c>
      <c r="J78" s="3481">
        <v>0</v>
      </c>
      <c r="K78" s="3043"/>
      <c r="L78" s="3043">
        <f>IF(divs_taxfree_HR&gt;0,1,0)</f>
        <v>0</v>
      </c>
      <c r="M78" s="1139"/>
    </row>
    <row r="79" spans="1:13" x14ac:dyDescent="0.35">
      <c r="A79" s="112" t="s">
        <v>803</v>
      </c>
      <c r="B79" s="434"/>
      <c r="C79" s="577"/>
      <c r="D79" s="577"/>
      <c r="E79" s="96"/>
      <c r="F79" s="96"/>
      <c r="G79" s="44" t="s">
        <v>6563</v>
      </c>
      <c r="H79" s="858">
        <f>taxable_divs_HR</f>
        <v>0</v>
      </c>
      <c r="I79" s="44" t="str">
        <f>"x "&amp;DivHR_rate*100&amp;"% ="</f>
        <v>x 32.5% =</v>
      </c>
      <c r="J79" s="430">
        <f>tax_on_divs_HR</f>
        <v>0</v>
      </c>
      <c r="L79" s="7">
        <f>IF((taxable_divs_HR+taxable_divs_AHR)&gt;0,1,0)</f>
        <v>0</v>
      </c>
      <c r="M79" s="1139"/>
    </row>
    <row r="80" spans="1:13" x14ac:dyDescent="0.35">
      <c r="A80" s="3478" t="s">
        <v>8037</v>
      </c>
      <c r="B80" s="3222"/>
      <c r="C80" s="3479"/>
      <c r="D80" s="3479"/>
      <c r="E80" s="3223"/>
      <c r="F80" s="3045"/>
      <c r="G80" s="3155" t="s">
        <v>8040</v>
      </c>
      <c r="H80" s="3477">
        <f>divs_taxfree_AHR</f>
        <v>0</v>
      </c>
      <c r="I80" s="3480" t="s">
        <v>4972</v>
      </c>
      <c r="J80" s="3481">
        <v>0</v>
      </c>
      <c r="K80" s="3043"/>
      <c r="L80" s="3043">
        <f>IF(divs_taxfree_AHR&gt;0,1,0)</f>
        <v>0</v>
      </c>
      <c r="M80" s="1139"/>
    </row>
    <row r="81" spans="1:13" x14ac:dyDescent="0.35">
      <c r="A81" s="112" t="s">
        <v>1470</v>
      </c>
      <c r="B81" s="434"/>
      <c r="C81" s="577"/>
      <c r="D81" s="577"/>
      <c r="E81" s="96"/>
      <c r="F81" s="96"/>
      <c r="G81" s="44" t="s">
        <v>6564</v>
      </c>
      <c r="H81" s="858">
        <f>taxable_divs_AHR</f>
        <v>0</v>
      </c>
      <c r="I81" s="44" t="str">
        <f>"x "&amp;DivAR_rate*100&amp;"% ="</f>
        <v>x 38.1% =</v>
      </c>
      <c r="J81" s="430">
        <f>tax_on_divs_AHR</f>
        <v>0</v>
      </c>
      <c r="L81" s="7">
        <f>IF(taxable_divs_AHR&gt;0,1,0)</f>
        <v>0</v>
      </c>
      <c r="M81" s="1139"/>
    </row>
    <row r="82" spans="1:13" x14ac:dyDescent="0.35">
      <c r="A82" s="112" t="s">
        <v>804</v>
      </c>
      <c r="B82" s="434"/>
      <c r="C82" s="92" t="s">
        <v>6487</v>
      </c>
      <c r="D82" s="92"/>
      <c r="E82" s="92"/>
      <c r="F82" s="96"/>
      <c r="G82" s="96"/>
      <c r="H82" s="972">
        <f>taxable_income</f>
        <v>0</v>
      </c>
      <c r="J82" s="432"/>
      <c r="L82" s="7">
        <v>1</v>
      </c>
    </row>
    <row r="83" spans="1:13" x14ac:dyDescent="0.35">
      <c r="A83" s="112" t="s">
        <v>805</v>
      </c>
      <c r="B83" s="434"/>
      <c r="J83" s="432"/>
      <c r="L83" s="7">
        <v>1</v>
      </c>
    </row>
    <row r="84" spans="1:13" x14ac:dyDescent="0.35">
      <c r="A84" s="112" t="s">
        <v>806</v>
      </c>
      <c r="B84" s="434"/>
      <c r="C84" s="1089" t="s">
        <v>6458</v>
      </c>
      <c r="D84" s="42" t="s">
        <v>6488</v>
      </c>
      <c r="F84" s="96"/>
      <c r="G84" s="96"/>
      <c r="H84" s="96"/>
      <c r="I84" s="104"/>
      <c r="J84" s="406">
        <f>tax_on_excluded_inc</f>
        <v>0</v>
      </c>
      <c r="L84" s="7">
        <f>IF(tax_on_excluded_inc&gt;0,1,0)</f>
        <v>0</v>
      </c>
    </row>
    <row r="85" spans="1:13" ht="13.15" x14ac:dyDescent="0.4">
      <c r="A85" s="862" t="s">
        <v>807</v>
      </c>
      <c r="B85" s="434"/>
      <c r="C85" s="106" t="s">
        <v>6489</v>
      </c>
      <c r="D85" s="95"/>
      <c r="E85" s="435"/>
      <c r="F85" s="435"/>
      <c r="G85" s="435"/>
      <c r="H85" s="860" t="s">
        <v>4749</v>
      </c>
      <c r="I85" s="435"/>
      <c r="J85" s="436">
        <f>tax_charged</f>
        <v>0</v>
      </c>
      <c r="L85" s="3043">
        <f>IF(AND(tax_charged=Total_tax_NIC_due,tax_charged=IT_after_allces,IT_after_gift_aid&gt;IT_after_allces),1,0)</f>
        <v>0</v>
      </c>
    </row>
    <row r="86" spans="1:13" ht="13.15" x14ac:dyDescent="0.4">
      <c r="A86" s="1442" t="s">
        <v>4303</v>
      </c>
      <c r="B86" s="434"/>
      <c r="C86" s="106" t="s">
        <v>6489</v>
      </c>
      <c r="D86" s="95"/>
      <c r="E86" s="435"/>
      <c r="F86" s="435"/>
      <c r="G86" s="435"/>
      <c r="H86" s="860"/>
      <c r="I86" s="435"/>
      <c r="J86" s="436">
        <f>tax_charged</f>
        <v>0</v>
      </c>
      <c r="L86" s="3043">
        <f>IF(AND(tax_charged=Total_tax_NIC_due,OR(tax_charged&lt;&gt;IT_after_allces,IT_after_gift_aid&lt;=IT_after_allces)),1,0)</f>
        <v>1</v>
      </c>
    </row>
    <row r="87" spans="1:13" ht="13.15" x14ac:dyDescent="0.4">
      <c r="A87" s="1095" t="s">
        <v>4303</v>
      </c>
      <c r="B87" s="434"/>
      <c r="C87" s="106" t="s">
        <v>6490</v>
      </c>
      <c r="D87" s="95"/>
      <c r="E87" s="435"/>
      <c r="F87" s="435"/>
      <c r="G87" s="435"/>
      <c r="H87" s="860" t="s">
        <v>4749</v>
      </c>
      <c r="I87" s="435"/>
      <c r="J87" s="436">
        <f>tax_charged</f>
        <v>0</v>
      </c>
      <c r="L87" s="3043">
        <f>IF(AND(tax_charged&lt;&gt;Total_tax_NIC_due,tax_charged=IT_after_allces,IT_after_gift_aid&gt;IT_after_allces),1,0)</f>
        <v>0</v>
      </c>
    </row>
    <row r="88" spans="1:13" ht="13.15" x14ac:dyDescent="0.4">
      <c r="A88" s="1442" t="s">
        <v>4303</v>
      </c>
      <c r="B88" s="434"/>
      <c r="C88" s="106" t="s">
        <v>6490</v>
      </c>
      <c r="D88" s="95"/>
      <c r="E88" s="435"/>
      <c r="F88" s="435"/>
      <c r="G88" s="435"/>
      <c r="H88" s="435"/>
      <c r="I88" s="435"/>
      <c r="J88" s="436">
        <f>tax_charged</f>
        <v>0</v>
      </c>
      <c r="L88" s="3043">
        <f>IF(AND(tax_charged&lt;&gt;Total_tax_NIC_due,OR(tax_charged&lt;&gt;IT_after_allces,IT_after_gift_aid&lt;=IT_after_allces)),1,0)</f>
        <v>0</v>
      </c>
    </row>
    <row r="89" spans="1:13" ht="13.15" x14ac:dyDescent="0.4">
      <c r="A89" s="3504" t="s">
        <v>4303</v>
      </c>
      <c r="B89" s="3505"/>
      <c r="C89" s="3506" t="s">
        <v>6490</v>
      </c>
      <c r="D89" s="3507"/>
      <c r="E89" s="3508"/>
      <c r="F89" s="3508"/>
      <c r="G89" s="3508"/>
      <c r="H89" s="3508"/>
      <c r="I89" s="3508"/>
      <c r="J89" s="3509">
        <f>tax_charged</f>
        <v>0</v>
      </c>
      <c r="K89" s="3510"/>
      <c r="L89" s="3510"/>
    </row>
    <row r="90" spans="1:13" x14ac:dyDescent="0.35">
      <c r="A90" s="870" t="s">
        <v>2882</v>
      </c>
      <c r="B90" s="434"/>
      <c r="J90" s="432"/>
      <c r="L90" s="7">
        <v>1</v>
      </c>
    </row>
    <row r="91" spans="1:13" x14ac:dyDescent="0.35">
      <c r="A91" s="870" t="s">
        <v>2428</v>
      </c>
      <c r="B91" s="434"/>
      <c r="C91" s="4" t="s">
        <v>6440</v>
      </c>
      <c r="D91" s="22" t="s">
        <v>6441</v>
      </c>
      <c r="J91" s="432">
        <f>deficiency_relief</f>
        <v>0</v>
      </c>
      <c r="L91" s="7">
        <f>IF(deficiency_relief&gt;0,1,0)</f>
        <v>0</v>
      </c>
    </row>
    <row r="92" spans="1:13" x14ac:dyDescent="0.35">
      <c r="A92" s="112" t="s">
        <v>2883</v>
      </c>
      <c r="B92" s="434"/>
      <c r="C92" s="4" t="s">
        <v>6440</v>
      </c>
      <c r="D92" s="96" t="s">
        <v>6442</v>
      </c>
      <c r="F92" s="96"/>
      <c r="G92" s="96"/>
      <c r="H92" s="96"/>
      <c r="I92" s="96"/>
      <c r="J92" s="406">
        <f>TSR</f>
        <v>0</v>
      </c>
      <c r="L92" s="7">
        <f>IF(TSR&gt;0,1,0)</f>
        <v>0</v>
      </c>
    </row>
    <row r="93" spans="1:13" x14ac:dyDescent="0.35">
      <c r="A93" s="112" t="s">
        <v>2884</v>
      </c>
      <c r="B93" s="434"/>
      <c r="C93" s="4" t="s">
        <v>6440</v>
      </c>
      <c r="D93" s="96" t="s">
        <v>6443</v>
      </c>
      <c r="F93" s="96"/>
      <c r="G93" s="96"/>
      <c r="H93" s="92"/>
      <c r="I93" s="96"/>
      <c r="J93" s="406">
        <f>VCT</f>
        <v>0</v>
      </c>
      <c r="L93" s="7">
        <f>IF(VCT&gt;0,1,0)</f>
        <v>0</v>
      </c>
    </row>
    <row r="94" spans="1:13" x14ac:dyDescent="0.35">
      <c r="A94" s="112" t="s">
        <v>2885</v>
      </c>
      <c r="B94" s="434"/>
      <c r="C94" s="4" t="s">
        <v>6440</v>
      </c>
      <c r="D94" s="96" t="s">
        <v>6444</v>
      </c>
      <c r="F94" s="96"/>
      <c r="G94" s="96"/>
      <c r="I94" s="104"/>
      <c r="J94" s="406">
        <f>EIS</f>
        <v>0</v>
      </c>
      <c r="K94" s="102"/>
      <c r="L94" s="7">
        <f>IF(EIS&gt;0,1,0)</f>
        <v>0</v>
      </c>
    </row>
    <row r="95" spans="1:13" x14ac:dyDescent="0.35">
      <c r="A95" s="112" t="s">
        <v>3232</v>
      </c>
      <c r="B95" s="434"/>
      <c r="C95" s="4" t="s">
        <v>6440</v>
      </c>
      <c r="D95" s="96" t="s">
        <v>6445</v>
      </c>
      <c r="F95" s="96"/>
      <c r="G95" s="96"/>
      <c r="I95" s="104"/>
      <c r="J95" s="406">
        <f>SEIS_Relief</f>
        <v>0</v>
      </c>
      <c r="K95" s="102"/>
      <c r="L95" s="7">
        <f>IF(SEIS_Relief&gt;0,1,0)</f>
        <v>0</v>
      </c>
    </row>
    <row r="96" spans="1:13" x14ac:dyDescent="0.35">
      <c r="A96" s="112" t="s">
        <v>2886</v>
      </c>
      <c r="B96" s="434"/>
      <c r="C96" s="4" t="s">
        <v>6440</v>
      </c>
      <c r="D96" s="96" t="s">
        <v>6446</v>
      </c>
      <c r="F96" s="96"/>
      <c r="G96" s="96"/>
      <c r="H96" s="43"/>
      <c r="I96" s="43"/>
      <c r="J96" s="406">
        <f>CITR</f>
        <v>0</v>
      </c>
      <c r="K96" s="43"/>
      <c r="L96" s="7">
        <f>IF(CITR&gt;0,1,0)</f>
        <v>0</v>
      </c>
    </row>
    <row r="97" spans="1:12" x14ac:dyDescent="0.35">
      <c r="A97" s="112" t="s">
        <v>1563</v>
      </c>
      <c r="B97" s="434"/>
      <c r="C97" s="4" t="s">
        <v>6440</v>
      </c>
      <c r="D97" s="96" t="s">
        <v>6447</v>
      </c>
      <c r="F97" s="96"/>
      <c r="G97" s="96"/>
      <c r="H97" s="43"/>
      <c r="I97" s="43"/>
      <c r="J97" s="406">
        <f>SITR</f>
        <v>0</v>
      </c>
      <c r="K97" s="43"/>
      <c r="L97" s="7">
        <f>IF(SITR&gt;0,1,0)</f>
        <v>0</v>
      </c>
    </row>
    <row r="98" spans="1:12" x14ac:dyDescent="0.35">
      <c r="A98" s="112" t="s">
        <v>2887</v>
      </c>
      <c r="B98" s="434"/>
      <c r="C98" s="4" t="s">
        <v>6440</v>
      </c>
      <c r="D98" s="96" t="s">
        <v>6448</v>
      </c>
      <c r="F98" s="96"/>
      <c r="G98" s="96"/>
      <c r="H98" s="96"/>
      <c r="I98" s="104"/>
      <c r="J98" s="406">
        <f>Alimony</f>
        <v>0</v>
      </c>
      <c r="L98" s="7">
        <f>IF(Alimony&gt;0,1,0)</f>
        <v>0</v>
      </c>
    </row>
    <row r="99" spans="1:12" x14ac:dyDescent="0.35">
      <c r="A99" s="112" t="s">
        <v>1882</v>
      </c>
      <c r="B99" s="434"/>
      <c r="C99" s="4" t="s">
        <v>6440</v>
      </c>
      <c r="D99" s="96" t="s">
        <v>6449</v>
      </c>
      <c r="F99" s="96"/>
      <c r="H99" s="856">
        <f>MCA_amount</f>
        <v>0</v>
      </c>
      <c r="I99" s="1443" t="s">
        <v>4973</v>
      </c>
      <c r="J99" s="406">
        <f>MCA_relief</f>
        <v>0</v>
      </c>
      <c r="L99" s="7">
        <f>IF(MCA_amount&gt;0,1,0)</f>
        <v>0</v>
      </c>
    </row>
    <row r="100" spans="1:12" x14ac:dyDescent="0.35">
      <c r="A100" s="112" t="s">
        <v>1883</v>
      </c>
      <c r="B100" s="434"/>
      <c r="C100" s="4" t="s">
        <v>6440</v>
      </c>
      <c r="D100" s="96" t="s">
        <v>6450</v>
      </c>
      <c r="F100" s="96"/>
      <c r="H100" s="856">
        <f>spare_MCA_amount</f>
        <v>0</v>
      </c>
      <c r="I100" s="1443" t="s">
        <v>4973</v>
      </c>
      <c r="J100" s="406">
        <f>spare_MCA_relief</f>
        <v>0</v>
      </c>
      <c r="L100" s="7">
        <f>IF(spare_MCA_amount&gt;0,1,0)</f>
        <v>0</v>
      </c>
    </row>
    <row r="101" spans="1:12" x14ac:dyDescent="0.35">
      <c r="A101" s="112" t="s">
        <v>6650</v>
      </c>
      <c r="B101" s="434"/>
      <c r="C101" s="4" t="s">
        <v>6440</v>
      </c>
      <c r="D101" s="146" t="s">
        <v>6528</v>
      </c>
      <c r="G101" s="43"/>
      <c r="H101" s="2640">
        <f>AllceIn_TPA</f>
        <v>0</v>
      </c>
      <c r="I101" s="1443" t="s">
        <v>4969</v>
      </c>
      <c r="J101" s="430">
        <f>AllceIn_TPA_relief</f>
        <v>0</v>
      </c>
      <c r="L101" s="7">
        <f>IF(AllceIn_TPA_relief&gt;0,1,0)</f>
        <v>0</v>
      </c>
    </row>
    <row r="102" spans="1:12" x14ac:dyDescent="0.35">
      <c r="A102" s="3219" t="s">
        <v>6962</v>
      </c>
      <c r="B102" s="2674"/>
      <c r="C102" s="2675" t="s">
        <v>1432</v>
      </c>
      <c r="D102" s="2682" t="s">
        <v>6937</v>
      </c>
      <c r="E102" s="1462"/>
      <c r="F102" s="2682"/>
      <c r="G102" s="1462"/>
      <c r="H102" s="2684">
        <f>Llir_amount</f>
        <v>0</v>
      </c>
      <c r="I102" s="2765" t="s">
        <v>4969</v>
      </c>
      <c r="J102" s="2678">
        <f>Llir_relief</f>
        <v>0</v>
      </c>
      <c r="K102" s="1117"/>
      <c r="L102" s="1117">
        <f>IF(AND(Llir_amount&gt;0,Llir_amount=Llir_amount_restricted),1,0)</f>
        <v>0</v>
      </c>
    </row>
    <row r="103" spans="1:12" x14ac:dyDescent="0.35">
      <c r="A103" s="3220" t="s">
        <v>4303</v>
      </c>
      <c r="B103" s="2674"/>
      <c r="C103" s="2675" t="s">
        <v>1432</v>
      </c>
      <c r="D103" s="2682" t="str">
        <f>"Relief for finance costs "&amp;DOLLAR(Llir_amount,0)&amp;" reduced to maximum allowable "</f>
        <v xml:space="preserve">Relief for finance costs £0 reduced to maximum allowable </v>
      </c>
      <c r="E103" s="1462"/>
      <c r="F103" s="2682"/>
      <c r="G103" s="1462"/>
      <c r="H103" s="2684">
        <f>Llir_amount_restricted</f>
        <v>0</v>
      </c>
      <c r="I103" s="2765" t="s">
        <v>4969</v>
      </c>
      <c r="J103" s="2678">
        <f>Llir_relief</f>
        <v>0</v>
      </c>
      <c r="K103" s="1117"/>
      <c r="L103" s="1117">
        <f>IF(AND(Llir_amount&gt;0,Llir_amount&gt;Llir_amount_restricted),1,0)</f>
        <v>0</v>
      </c>
    </row>
    <row r="104" spans="1:12" x14ac:dyDescent="0.35">
      <c r="A104" s="112" t="s">
        <v>1884</v>
      </c>
      <c r="B104" s="434"/>
      <c r="C104" s="4" t="s">
        <v>6440</v>
      </c>
      <c r="D104" s="42" t="s">
        <v>6451</v>
      </c>
      <c r="E104" s="42"/>
      <c r="F104" s="102"/>
      <c r="H104" s="96"/>
      <c r="J104" s="406">
        <f>notional_CEG</f>
        <v>0</v>
      </c>
      <c r="L104" s="7">
        <f>IF(notional_CEG&gt;0,1,0)</f>
        <v>0</v>
      </c>
    </row>
    <row r="105" spans="1:12" x14ac:dyDescent="0.35">
      <c r="A105" s="112" t="s">
        <v>1885</v>
      </c>
      <c r="B105" s="434"/>
      <c r="C105" s="4" t="s">
        <v>6440</v>
      </c>
      <c r="D105" s="96" t="s">
        <v>6452</v>
      </c>
      <c r="E105" s="110"/>
      <c r="F105" s="102"/>
      <c r="H105" s="96"/>
      <c r="J105" s="406">
        <f>notional_other</f>
        <v>0</v>
      </c>
      <c r="K105" s="1139"/>
      <c r="L105" s="1139">
        <f>IF(notional_other&gt;1,1,0)</f>
        <v>0</v>
      </c>
    </row>
    <row r="106" spans="1:12" x14ac:dyDescent="0.35">
      <c r="A106" s="112" t="s">
        <v>985</v>
      </c>
      <c r="B106" s="434"/>
      <c r="C106" s="4" t="s">
        <v>6440</v>
      </c>
      <c r="D106" s="96" t="s">
        <v>6453</v>
      </c>
      <c r="F106" s="102"/>
      <c r="G106" s="96"/>
      <c r="H106" s="96"/>
      <c r="I106" s="104"/>
      <c r="J106" s="406">
        <f>FTCR</f>
        <v>0</v>
      </c>
      <c r="L106" s="7">
        <f>IF(FTCR&gt;0,1,0)</f>
        <v>0</v>
      </c>
    </row>
    <row r="107" spans="1:12" x14ac:dyDescent="0.35">
      <c r="A107" s="2673" t="s">
        <v>986</v>
      </c>
      <c r="B107" s="2674"/>
      <c r="C107" s="2675" t="s">
        <v>6440</v>
      </c>
      <c r="D107" s="2676" t="s">
        <v>6454</v>
      </c>
      <c r="E107" s="1462"/>
      <c r="F107" s="2676"/>
      <c r="G107" s="2676"/>
      <c r="H107" s="2676"/>
      <c r="I107" s="2677"/>
      <c r="J107" s="2678">
        <f>relief_on_qual_distn</f>
        <v>0</v>
      </c>
      <c r="K107" s="1155"/>
      <c r="L107" s="1155">
        <f>IF(relief_on_qual_distn&gt;0,1,0)</f>
        <v>0</v>
      </c>
    </row>
    <row r="108" spans="1:12" ht="13.15" x14ac:dyDescent="0.4">
      <c r="A108" s="870" t="s">
        <v>861</v>
      </c>
      <c r="B108" s="434"/>
      <c r="C108" s="106" t="s">
        <v>6455</v>
      </c>
      <c r="D108" s="95"/>
      <c r="E108" s="435"/>
      <c r="F108" s="435"/>
      <c r="G108" s="1177"/>
      <c r="H108" s="1178" t="s">
        <v>4749</v>
      </c>
      <c r="I108" s="1179"/>
      <c r="J108" s="436">
        <f>IT_after_allces</f>
        <v>0</v>
      </c>
      <c r="L108" s="7">
        <f>IF(AND(tax_charged&gt;IT_after_allces,IT_after_gift_aid&gt;IT_after_allces),1,0)</f>
        <v>0</v>
      </c>
    </row>
    <row r="109" spans="1:12" ht="13.15" x14ac:dyDescent="0.4">
      <c r="A109" s="862" t="s">
        <v>4303</v>
      </c>
      <c r="B109" s="434"/>
      <c r="C109" s="106" t="s">
        <v>6455</v>
      </c>
      <c r="D109" s="95"/>
      <c r="E109" s="435"/>
      <c r="F109" s="435"/>
      <c r="G109" s="1177"/>
      <c r="H109" s="1178"/>
      <c r="I109" s="1179"/>
      <c r="J109" s="436">
        <f>IT_after_allces</f>
        <v>0</v>
      </c>
      <c r="L109" s="1117">
        <f>IF(OR(deficiency_relief+TSR+VCT+EIS+SEIS_Relief+CITR+SITR+Alimony+MCA_relief+spare_MCA_relief+AllceIn_TPA_relief+notional_CEG+notional_other+FTCR&gt;tax_charged,AND(tax_charged&gt;IT_after_allces,IT_after_gift_aid&lt;=IT_after_allces)),1,0)</f>
        <v>0</v>
      </c>
    </row>
    <row r="110" spans="1:12" ht="13.15" x14ac:dyDescent="0.4">
      <c r="A110" s="862" t="s">
        <v>862</v>
      </c>
      <c r="B110" s="434"/>
      <c r="C110" s="863"/>
      <c r="D110" s="863"/>
      <c r="E110" s="864"/>
      <c r="F110" s="864"/>
      <c r="G110" s="864"/>
      <c r="H110" s="865"/>
      <c r="I110" s="866"/>
      <c r="J110" s="867"/>
      <c r="L110" s="7">
        <f>IF(tax_charged&gt;IT_after_allces,1,0)</f>
        <v>0</v>
      </c>
    </row>
    <row r="111" spans="1:12" x14ac:dyDescent="0.35">
      <c r="A111" s="862" t="s">
        <v>863</v>
      </c>
      <c r="B111" s="434"/>
      <c r="C111" s="868" t="s">
        <v>6491</v>
      </c>
      <c r="D111" s="869"/>
      <c r="G111" s="792" t="s">
        <v>4130</v>
      </c>
      <c r="H111" s="856">
        <f>Gift_aid_amount</f>
        <v>0</v>
      </c>
      <c r="I111" s="103" t="s">
        <v>4969</v>
      </c>
      <c r="J111" s="406">
        <f>Gift_aid_tax_due</f>
        <v>0</v>
      </c>
      <c r="L111" s="1176">
        <f>IF(AND(IT_after_gift_aid&gt;IT_after_allces,(CGTax+non_dom_charge_amount+hr_tax_charge_on_CBC)=0),1,0)</f>
        <v>0</v>
      </c>
    </row>
    <row r="112" spans="1:12" x14ac:dyDescent="0.35">
      <c r="A112" s="870" t="s">
        <v>4303</v>
      </c>
      <c r="B112" s="871"/>
      <c r="C112" s="868" t="s">
        <v>6491</v>
      </c>
      <c r="D112" s="869"/>
      <c r="F112" s="872"/>
      <c r="G112" s="856">
        <f>Gift_aid_amount</f>
        <v>0</v>
      </c>
      <c r="H112" s="103" t="s">
        <v>4969</v>
      </c>
      <c r="I112" s="406">
        <f>Gift_aid_tax_due</f>
        <v>0</v>
      </c>
      <c r="J112" s="432"/>
      <c r="L112" s="1176">
        <f>IF(AND(IT_after_gift_aid&gt;IT_after_allces,(CGTax+non_dom_charge_amount+hr_tax_charge_on_CBC)&gt;0),1,0)</f>
        <v>0</v>
      </c>
    </row>
    <row r="113" spans="1:13" x14ac:dyDescent="0.35">
      <c r="A113" s="112" t="s">
        <v>864</v>
      </c>
      <c r="B113" s="434"/>
      <c r="D113" s="4" t="s">
        <v>6440</v>
      </c>
      <c r="E113" s="110" t="s">
        <v>6492</v>
      </c>
      <c r="F113" s="873"/>
      <c r="G113" s="874"/>
      <c r="I113" s="430">
        <f>CGTax</f>
        <v>0</v>
      </c>
      <c r="J113" s="432"/>
      <c r="L113" s="1176">
        <f>IF(AND(IT_after_gift_aid&gt;IT_after_allces,CGTax&gt;0),1,0)</f>
        <v>0</v>
      </c>
    </row>
    <row r="114" spans="1:13" x14ac:dyDescent="0.35">
      <c r="A114" s="112" t="s">
        <v>2234</v>
      </c>
      <c r="B114" s="434"/>
      <c r="D114" s="4" t="s">
        <v>6440</v>
      </c>
      <c r="E114" s="110" t="s">
        <v>6493</v>
      </c>
      <c r="F114" s="873"/>
      <c r="G114" s="874"/>
      <c r="I114" s="430">
        <f>non_dom_charge_amount</f>
        <v>0</v>
      </c>
      <c r="J114" s="432"/>
      <c r="L114" s="1176">
        <f>IF(AND(IT_after_gift_aid&gt;IT_after_allces,non_dom_charge_amount&gt;0),1,0)</f>
        <v>0</v>
      </c>
    </row>
    <row r="115" spans="1:13" s="1139" customFormat="1" x14ac:dyDescent="0.35">
      <c r="A115" s="112" t="s">
        <v>846</v>
      </c>
      <c r="B115" s="434"/>
      <c r="C115" s="22"/>
      <c r="D115" s="4" t="s">
        <v>6440</v>
      </c>
      <c r="E115" s="96" t="s">
        <v>6494</v>
      </c>
      <c r="F115" s="873"/>
      <c r="G115" s="874"/>
      <c r="H115" s="146"/>
      <c r="I115" s="430">
        <f>Child_Benefit_tax_charge</f>
        <v>0</v>
      </c>
      <c r="J115" s="432"/>
      <c r="K115" s="7"/>
      <c r="L115" s="1176">
        <f>IF(AND(IT_after_gift_aid&gt;IT_after_allces,Child_Benefit_tax_charge&gt;0),1,0)</f>
        <v>0</v>
      </c>
    </row>
    <row r="116" spans="1:13" x14ac:dyDescent="0.35">
      <c r="A116" s="112" t="s">
        <v>6574</v>
      </c>
      <c r="B116" s="434"/>
      <c r="D116" s="4" t="s">
        <v>6440</v>
      </c>
      <c r="E116" s="96" t="s">
        <v>6568</v>
      </c>
      <c r="F116" s="873"/>
      <c r="G116" s="874"/>
      <c r="I116" s="430">
        <f>pens_tax_due</f>
        <v>0</v>
      </c>
      <c r="J116" s="432"/>
      <c r="L116" s="1176">
        <f>IF(AND(IT_after_gift_aid&gt;IT_after_allces,pens_tax_due&gt;0),1,0)</f>
        <v>0</v>
      </c>
    </row>
    <row r="117" spans="1:13" x14ac:dyDescent="0.35">
      <c r="A117" s="112" t="s">
        <v>865</v>
      </c>
      <c r="B117" s="434"/>
      <c r="C117" s="869"/>
      <c r="D117" s="869"/>
      <c r="E117" s="107"/>
      <c r="F117" s="96"/>
      <c r="H117" s="796" t="s">
        <v>4130</v>
      </c>
      <c r="J117" s="430">
        <f>Gift_aid_tax_reduced</f>
        <v>0</v>
      </c>
      <c r="L117" s="1176">
        <f>IF(AND(IT_after_gift_aid&gt;IT_after_allces,(CGTax+non_dom_charge_amount+hr_tax_charge_on_CBC)&gt;0),1,0)</f>
        <v>0</v>
      </c>
    </row>
    <row r="118" spans="1:13" ht="13.15" x14ac:dyDescent="0.4">
      <c r="A118" s="112" t="s">
        <v>866</v>
      </c>
      <c r="B118" s="434"/>
      <c r="C118" s="106" t="s">
        <v>6495</v>
      </c>
      <c r="D118" s="95"/>
      <c r="E118" s="435"/>
      <c r="F118" s="1096"/>
      <c r="G118" s="435"/>
      <c r="H118" s="1097" t="s">
        <v>2704</v>
      </c>
      <c r="I118" s="1097"/>
      <c r="J118" s="436">
        <f>IT_after_gift_aid</f>
        <v>0</v>
      </c>
      <c r="L118" s="1176">
        <f>IF(IT_after_gift_aid&gt;IT_after_allces,1,0)</f>
        <v>0</v>
      </c>
    </row>
    <row r="119" spans="1:13" ht="13.15" x14ac:dyDescent="0.4">
      <c r="A119" s="112" t="s">
        <v>867</v>
      </c>
      <c r="B119" s="434"/>
      <c r="C119" s="18"/>
      <c r="D119" s="18"/>
      <c r="E119" s="96"/>
      <c r="F119" s="102"/>
      <c r="G119" s="96"/>
      <c r="H119" s="717"/>
      <c r="I119" s="104"/>
      <c r="J119" s="432"/>
      <c r="L119" s="1176">
        <f>IF(IT_after_gift_aid&gt;IT_after_allces,1,0)</f>
        <v>0</v>
      </c>
    </row>
    <row r="120" spans="1:13" x14ac:dyDescent="0.35">
      <c r="A120" s="112" t="s">
        <v>868</v>
      </c>
      <c r="B120" s="434"/>
      <c r="C120" s="1089" t="s">
        <v>6458</v>
      </c>
      <c r="D120" s="96" t="s">
        <v>6496</v>
      </c>
      <c r="H120" s="856">
        <f>annuity_amount</f>
        <v>0</v>
      </c>
      <c r="I120" s="103" t="s">
        <v>4969</v>
      </c>
      <c r="J120" s="406">
        <f>annuity_tax</f>
        <v>0</v>
      </c>
      <c r="L120" s="7">
        <f>IF(annuity_amount&gt;0,1,0)</f>
        <v>0</v>
      </c>
    </row>
    <row r="121" spans="1:13" x14ac:dyDescent="0.35">
      <c r="A121" s="1783" t="s">
        <v>869</v>
      </c>
      <c r="B121" s="434"/>
      <c r="C121" s="4" t="s">
        <v>6440</v>
      </c>
      <c r="D121" s="3055" t="s">
        <v>8286</v>
      </c>
      <c r="E121" s="3045"/>
      <c r="F121" s="3722"/>
      <c r="G121" s="3055"/>
      <c r="H121" s="3045"/>
      <c r="I121" s="104"/>
      <c r="J121" s="406">
        <f>div_tax_credits</f>
        <v>0</v>
      </c>
      <c r="L121" s="7">
        <v>0</v>
      </c>
    </row>
    <row r="122" spans="1:13" ht="13.15" x14ac:dyDescent="0.4">
      <c r="A122" s="3201" t="s">
        <v>870</v>
      </c>
      <c r="B122" s="434"/>
      <c r="C122" s="106" t="str">
        <f>IF(div_tax_credits&gt;0,"Treth Incwm sy'n Ddyledus ar ôl difidendau credydau treth","Treth Incwm sy'n Ddyledus")</f>
        <v>Treth Incwm sy'n Ddyledus</v>
      </c>
      <c r="D122" s="95"/>
      <c r="E122" s="435"/>
      <c r="F122" s="1096"/>
      <c r="G122" s="435"/>
      <c r="H122" s="860"/>
      <c r="I122" s="860"/>
      <c r="J122" s="436">
        <f>IT_after_div_tax_credits</f>
        <v>0</v>
      </c>
      <c r="L122" s="7">
        <f>IF(annuity_amount&gt;0,1,0)</f>
        <v>0</v>
      </c>
      <c r="M122" s="1834" t="s">
        <v>7867</v>
      </c>
    </row>
    <row r="123" spans="1:13" ht="13.15" x14ac:dyDescent="0.4">
      <c r="A123" s="3241" t="s">
        <v>4303</v>
      </c>
      <c r="B123" s="3234"/>
      <c r="C123" s="3235" t="str">
        <f>IF(div_tax_credits&gt;0,"Treth Incwm sy'n Ddyledus ar ôl difidendau credydau treth","Treth Incwm sy'n Ddyledus")</f>
        <v>Treth Incwm sy'n Ddyledus</v>
      </c>
      <c r="D123" s="3236"/>
      <c r="E123" s="3237"/>
      <c r="F123" s="3238"/>
      <c r="G123" s="3237"/>
      <c r="H123" s="3239"/>
      <c r="I123" s="3239"/>
      <c r="J123" s="3240">
        <f>IT_after_div_tax_credits</f>
        <v>0</v>
      </c>
      <c r="K123" s="1834"/>
      <c r="L123" s="1834"/>
    </row>
    <row r="124" spans="1:13" x14ac:dyDescent="0.35">
      <c r="A124" s="112" t="s">
        <v>3450</v>
      </c>
      <c r="B124" s="434"/>
      <c r="C124" s="577"/>
      <c r="D124" s="577"/>
      <c r="E124" s="107"/>
      <c r="F124" s="102"/>
      <c r="G124" s="96"/>
      <c r="H124" s="96"/>
      <c r="I124" s="104"/>
      <c r="J124" s="432"/>
      <c r="L124" s="7">
        <f>IF((annuity_amount+div_tax_credits)&gt;0,1,0)</f>
        <v>0</v>
      </c>
    </row>
    <row r="125" spans="1:13" x14ac:dyDescent="0.35">
      <c r="A125" s="112" t="s">
        <v>3451</v>
      </c>
      <c r="B125" s="434"/>
      <c r="C125" s="786" t="s">
        <v>6458</v>
      </c>
      <c r="D125" s="92" t="s">
        <v>6497</v>
      </c>
      <c r="E125" s="107"/>
      <c r="F125" s="102"/>
      <c r="G125" s="146">
        <f>NIC_amount</f>
        <v>0</v>
      </c>
      <c r="H125" s="856" t="s">
        <v>4974</v>
      </c>
      <c r="I125" s="940">
        <f>NIC_charge</f>
        <v>0</v>
      </c>
      <c r="J125" s="406"/>
      <c r="L125" s="7">
        <f>IF(NIC_total&gt;0,IF(NIC1_amount&lt;=0,IF(AND(NIC_charge&gt;0,NIC_sup_charge=0),1,0),0),0)</f>
        <v>0</v>
      </c>
    </row>
    <row r="126" spans="1:13" x14ac:dyDescent="0.35">
      <c r="A126" s="1092" t="s">
        <v>4303</v>
      </c>
      <c r="B126" s="434"/>
      <c r="C126" s="786" t="s">
        <v>6458</v>
      </c>
      <c r="D126" s="92" t="s">
        <v>6497</v>
      </c>
      <c r="F126" s="102"/>
      <c r="G126" s="96"/>
      <c r="H126" s="96"/>
      <c r="I126" s="104"/>
      <c r="J126" s="432"/>
      <c r="L126" s="7">
        <f>IF(NIC_total&gt;0,IF(NIC1_amount&lt;=0,IF(AND(NIC_charge&gt;0,NIC_sup_charge&gt;0),1,0),0),0)</f>
        <v>0</v>
      </c>
    </row>
    <row r="127" spans="1:13" x14ac:dyDescent="0.35">
      <c r="A127" s="112" t="s">
        <v>3452</v>
      </c>
      <c r="B127" s="434"/>
      <c r="C127" s="1089"/>
      <c r="D127" s="869"/>
      <c r="F127" s="102"/>
      <c r="G127" s="856">
        <f>NIC_amount</f>
        <v>0</v>
      </c>
      <c r="H127" s="940" t="s">
        <v>4974</v>
      </c>
      <c r="I127" s="406">
        <f>NIC_charge</f>
        <v>0</v>
      </c>
      <c r="J127" s="432"/>
      <c r="L127" s="7">
        <f>IF(NIC_total&gt;0,IF(NIC1_amount&lt;=0,IF(AND(NIC_charge&gt;0,NIC_sup_charge&gt;0),1,0),0),0)</f>
        <v>0</v>
      </c>
    </row>
    <row r="128" spans="1:13" x14ac:dyDescent="0.35">
      <c r="A128" s="112" t="s">
        <v>2741</v>
      </c>
      <c r="B128" s="434"/>
      <c r="C128" s="434"/>
      <c r="D128" s="577"/>
      <c r="E128" s="96" t="s">
        <v>1987</v>
      </c>
      <c r="F128" s="102"/>
      <c r="G128" s="856">
        <f>NIC_sup_amount</f>
        <v>0</v>
      </c>
      <c r="H128" s="940" t="s">
        <v>4975</v>
      </c>
      <c r="I128" s="406">
        <f>NIC_sup_charge</f>
        <v>0</v>
      </c>
      <c r="J128" s="432"/>
      <c r="L128" s="7">
        <f>IF(NIC_total&gt;0,IF(NIC1_amount&lt;=0,IF(AND(NIC_charge&gt;0,NIC_sup_charge&gt;0),1,0),0),0)</f>
        <v>0</v>
      </c>
    </row>
    <row r="129" spans="1:13" x14ac:dyDescent="0.35">
      <c r="A129" s="112" t="s">
        <v>4634</v>
      </c>
      <c r="C129" s="786" t="s">
        <v>6458</v>
      </c>
      <c r="D129" s="92" t="s">
        <v>6498</v>
      </c>
      <c r="I129" s="406">
        <f>NIC4_amount</f>
        <v>0</v>
      </c>
      <c r="L129" s="7">
        <f>IF(NIC_total&gt;0,IF(NIC1_amount&gt;0,1,0),0)</f>
        <v>0</v>
      </c>
    </row>
    <row r="130" spans="1:13" x14ac:dyDescent="0.35">
      <c r="A130" s="112" t="s">
        <v>4732</v>
      </c>
      <c r="B130" s="1139"/>
      <c r="C130" s="4"/>
      <c r="D130" s="96" t="str">
        <f>"Addaswyd eich Dosbarth 4 ar gyfer Dosbarth 2 sy'n ddyledus a phrif gyfraniadau Dosbarth 1 " &amp;DOLLAR(NIC1_amount,2)</f>
        <v>Addaswyd eich Dosbarth 4 ar gyfer Dosbarth 2 sy'n ddyledus a phrif gyfraniadau Dosbarth 1 £0.00</v>
      </c>
      <c r="E130" s="1139"/>
      <c r="F130" s="1139"/>
      <c r="G130" s="1139"/>
      <c r="I130" s="1139"/>
      <c r="J130" s="1139"/>
      <c r="K130" s="1139"/>
      <c r="L130" s="1139">
        <f>IF(NIC4_amount&gt;0,IF(NIC1_amount&gt;0,1,0),0)</f>
        <v>0</v>
      </c>
    </row>
    <row r="131" spans="1:13" x14ac:dyDescent="0.35">
      <c r="A131" s="112" t="s">
        <v>4733</v>
      </c>
      <c r="C131" s="786" t="s">
        <v>6499</v>
      </c>
      <c r="D131" s="92" t="s">
        <v>6500</v>
      </c>
      <c r="I131" s="406">
        <f>NIC2_amount</f>
        <v>0</v>
      </c>
      <c r="L131" s="7">
        <f>IF(NIC_total&gt;0,IF(NIC2_amount&gt;0,1,0),0)</f>
        <v>0</v>
      </c>
    </row>
    <row r="132" spans="1:13" x14ac:dyDescent="0.35">
      <c r="A132" s="112" t="s">
        <v>2742</v>
      </c>
      <c r="B132" s="434"/>
      <c r="C132" s="4"/>
      <c r="D132" s="792" t="str">
        <f>IF(AND(NIC2_amount&gt;0,NIC2_amount=NIC_total),"Cyfanswm y Cyfraniadau Yswiriant Gwladol Dosbarth 2 sy'n ddyledus",IF(NIC2_amount&gt;0,"Cyfanswm y Cyfraniadau Yswiriant Gwladol Dosbarth 2 a Dosbarth 4 sy'n ddyledus","Cyfanswm y Cyfraniadau Yswiriant Gwladol Dosbarth 4 sy'n ddyledus"))</f>
        <v>Cyfanswm y Cyfraniadau Yswiriant Gwladol Dosbarth 4 sy'n ddyledus</v>
      </c>
      <c r="F132" s="96"/>
      <c r="H132" s="96"/>
      <c r="J132" s="406">
        <f>NIC_total</f>
        <v>0</v>
      </c>
      <c r="L132" s="7">
        <f>IF(NIC_total&gt;0,1,0)</f>
        <v>0</v>
      </c>
      <c r="M132" s="1834" t="s">
        <v>7868</v>
      </c>
    </row>
    <row r="133" spans="1:13" x14ac:dyDescent="0.35">
      <c r="A133" s="3233" t="s">
        <v>2742</v>
      </c>
      <c r="B133" s="3234"/>
      <c r="C133" s="3242"/>
      <c r="D133" s="1132" t="str">
        <f>IF(AND(NIC2_amount&gt;0,NIC2_amount=NIC_total),"Cyfanswm y Cyfraniadau Yswiriant Gwladol Dosbarth 2 sy'n ddyledus",IF(NIC2_amount&gt;0,"Cyfanswm y Cyfraniadau Yswiriant Gwladol Dosbarth 2 a Dosbarth 4 sy'n ddyledus","Cyfanswm y Cyfraniadau Yswiriant Gwladol Dosbarth 4 sy'n ddyledus"))</f>
        <v>Cyfanswm y Cyfraniadau Yswiriant Gwladol Dosbarth 4 sy'n ddyledus</v>
      </c>
      <c r="E133" s="1243"/>
      <c r="F133" s="3243"/>
      <c r="G133" s="1243"/>
      <c r="H133" s="3243"/>
      <c r="I133" s="1243"/>
      <c r="J133" s="3244">
        <f>NIC_total</f>
        <v>0</v>
      </c>
      <c r="K133" s="1834"/>
      <c r="L133" s="1834"/>
      <c r="M133" s="1834"/>
    </row>
    <row r="134" spans="1:13" x14ac:dyDescent="0.35">
      <c r="A134" s="3233" t="s">
        <v>2742</v>
      </c>
      <c r="B134" s="3234"/>
      <c r="C134" s="3242"/>
      <c r="D134" s="1132" t="str">
        <f>IF(AND(NIC2_amount&gt;0,NIC2_amount=NIC_total),"Cyfanswm y Cyfraniadau Yswiriant Gwladol Dosbarth 2 sy'n ddyledus",IF(NIC2_amount&gt;0,"Cyfanswm y Cyfraniadau Yswiriant Gwladol Dosbarth 2 a Dosbarth 4 sy'n ddyledus","Cyfanswm y Cyfraniadau Yswiriant Gwladol Dosbarth 4 sy'n ddyledus"))</f>
        <v>Cyfanswm y Cyfraniadau Yswiriant Gwladol Dosbarth 4 sy'n ddyledus</v>
      </c>
      <c r="E134" s="1243"/>
      <c r="F134" s="3243"/>
      <c r="G134" s="1243"/>
      <c r="H134" s="3243"/>
      <c r="I134" s="1243"/>
      <c r="J134" s="3244">
        <f>NIC_total</f>
        <v>0</v>
      </c>
      <c r="K134" s="1834"/>
      <c r="L134" s="1834"/>
      <c r="M134" s="1834"/>
    </row>
    <row r="135" spans="1:13" x14ac:dyDescent="0.35">
      <c r="A135" s="112" t="s">
        <v>2743</v>
      </c>
      <c r="B135" s="434"/>
      <c r="C135" s="1089"/>
      <c r="D135" s="869"/>
      <c r="E135" s="107"/>
      <c r="F135" s="96"/>
      <c r="H135" s="96"/>
      <c r="I135" s="104"/>
      <c r="J135" s="432"/>
      <c r="L135" s="7">
        <f>IF(NIC_total&gt;0,1,0)</f>
        <v>0</v>
      </c>
    </row>
    <row r="136" spans="1:13" x14ac:dyDescent="0.35">
      <c r="A136" s="112" t="s">
        <v>38</v>
      </c>
      <c r="B136" s="434"/>
      <c r="C136" s="4" t="s">
        <v>6458</v>
      </c>
      <c r="D136" s="96" t="str">
        <f>"Treth heb ei thalu am flynyddoedd cynharach yn eich cod ar gyfer "&amp;tax_year</f>
        <v>Treth heb ei thalu am flynyddoedd cynharach yn eich cod ar gyfer 2017-18</v>
      </c>
      <c r="F136" s="96"/>
      <c r="G136" s="96"/>
      <c r="H136" s="96"/>
      <c r="I136" s="104"/>
      <c r="J136" s="406">
        <f>unpaid_tax_in_code</f>
        <v>0</v>
      </c>
      <c r="L136" s="7">
        <f>IF(unpaid_tax_in_code&gt;0,1,0)</f>
        <v>0</v>
      </c>
    </row>
    <row r="137" spans="1:13" x14ac:dyDescent="0.35">
      <c r="A137" s="112" t="s">
        <v>39</v>
      </c>
      <c r="B137" s="434"/>
      <c r="C137" s="4" t="s">
        <v>6458</v>
      </c>
      <c r="D137" s="96" t="s">
        <v>6567</v>
      </c>
      <c r="F137" s="96"/>
      <c r="G137" s="96"/>
      <c r="H137" s="96"/>
      <c r="I137" s="104"/>
      <c r="J137" s="406">
        <f>Student_loan</f>
        <v>0</v>
      </c>
      <c r="L137" s="7">
        <f>IF(AND(Student_loan&gt;0,SL_type=1),1,0)</f>
        <v>0</v>
      </c>
    </row>
    <row r="138" spans="1:13" x14ac:dyDescent="0.35">
      <c r="A138" s="112" t="s">
        <v>4303</v>
      </c>
      <c r="B138" s="434"/>
      <c r="C138" s="4" t="s">
        <v>6458</v>
      </c>
      <c r="D138" s="96" t="s">
        <v>6573</v>
      </c>
      <c r="F138" s="96"/>
      <c r="G138" s="96"/>
      <c r="H138" s="96"/>
      <c r="I138" s="104"/>
      <c r="J138" s="406">
        <f>Student_loan</f>
        <v>0</v>
      </c>
      <c r="L138" s="7">
        <f>IF(AND(Student_loan&gt;0,SL_type=2),1,0)</f>
        <v>0</v>
      </c>
    </row>
    <row r="139" spans="1:13" x14ac:dyDescent="0.35">
      <c r="A139" s="112" t="s">
        <v>60</v>
      </c>
      <c r="B139" s="434"/>
      <c r="C139" s="4" t="s">
        <v>6458</v>
      </c>
      <c r="D139" s="96" t="s">
        <v>6501</v>
      </c>
      <c r="F139" s="96"/>
      <c r="G139" s="96"/>
      <c r="H139" s="96"/>
      <c r="I139" s="104"/>
      <c r="J139" s="406">
        <f>Child_Benefit_tax_charge</f>
        <v>0</v>
      </c>
      <c r="L139" s="7">
        <f>IF(Child_Benefit_tax_charge&gt;0,1,0)</f>
        <v>0</v>
      </c>
    </row>
    <row r="140" spans="1:13" x14ac:dyDescent="0.35">
      <c r="A140" s="112" t="s">
        <v>3537</v>
      </c>
      <c r="C140" s="4" t="s">
        <v>6458</v>
      </c>
      <c r="D140" s="146"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J140" s="432">
        <f>Pension_charges</f>
        <v>0</v>
      </c>
      <c r="L140" s="7">
        <f>IF(Pension_charges&gt;0,1,0)</f>
        <v>0</v>
      </c>
    </row>
    <row r="141" spans="1:13" x14ac:dyDescent="0.35">
      <c r="A141" s="112" t="s">
        <v>576</v>
      </c>
      <c r="C141" s="4" t="s">
        <v>6458</v>
      </c>
      <c r="D141" s="146" t="s">
        <v>6502</v>
      </c>
      <c r="H141" s="429">
        <f>Pension_lump_sum_amount</f>
        <v>0</v>
      </c>
      <c r="I141" s="433" t="str">
        <f>"x "&amp;Pension_lump_sum_rate*100&amp;"% ="</f>
        <v>x 0% =</v>
      </c>
      <c r="J141" s="432">
        <f>Pension_lump_sum_tax</f>
        <v>0</v>
      </c>
      <c r="L141" s="7">
        <f>IF(Pension_lump_sum_amount&gt;0,1,0)</f>
        <v>0</v>
      </c>
    </row>
    <row r="142" spans="1:13" x14ac:dyDescent="0.35">
      <c r="A142" s="112" t="s">
        <v>2610</v>
      </c>
      <c r="C142" s="4" t="s">
        <v>6458</v>
      </c>
      <c r="D142" s="146" t="s">
        <v>6493</v>
      </c>
      <c r="H142" s="429"/>
      <c r="I142" s="433"/>
      <c r="J142" s="432">
        <f>non_dom_charge_amount</f>
        <v>0</v>
      </c>
      <c r="L142" s="7">
        <f>IF(non_dom_charge_amount&gt;0,1,0)</f>
        <v>0</v>
      </c>
    </row>
    <row r="143" spans="1:13" x14ac:dyDescent="0.35">
      <c r="A143" s="112" t="s">
        <v>6388</v>
      </c>
      <c r="C143" s="4" t="s">
        <v>6458</v>
      </c>
      <c r="D143" s="146" t="s">
        <v>6568</v>
      </c>
      <c r="H143" s="429"/>
      <c r="I143" s="433"/>
      <c r="J143" s="432">
        <f>pens_tax_due</f>
        <v>0</v>
      </c>
      <c r="L143" s="7">
        <f>IF(pens_tax_due&gt;0,1,0)</f>
        <v>0</v>
      </c>
    </row>
    <row r="144" spans="1:13" x14ac:dyDescent="0.35">
      <c r="A144" s="112" t="s">
        <v>6389</v>
      </c>
      <c r="C144" s="4" t="s">
        <v>6440</v>
      </c>
      <c r="D144" s="146" t="s">
        <v>6569</v>
      </c>
      <c r="H144" s="429"/>
      <c r="I144" s="433"/>
      <c r="J144" s="432">
        <f>pens_tax_rel_due</f>
        <v>0</v>
      </c>
      <c r="L144" s="7">
        <f>IF(pens_tax_rel_due&gt;0,1,0)</f>
        <v>0</v>
      </c>
    </row>
    <row r="145" spans="1:13" ht="13.15" x14ac:dyDescent="0.4">
      <c r="A145" s="112" t="s">
        <v>40</v>
      </c>
      <c r="B145" s="434"/>
      <c r="C145" s="106" t="str">
        <f>IF(NIC_total&gt;0,"Treth Incwm a Chyfraniadau Yswiriant Gwladol Dosbarth 4","Treth Incwm sy'n ddyledus")</f>
        <v>Treth Incwm sy'n ddyledus</v>
      </c>
      <c r="D145" s="95"/>
      <c r="E145" s="435"/>
      <c r="F145" s="435"/>
      <c r="G145" s="435"/>
      <c r="H145" s="435"/>
      <c r="I145" s="435"/>
      <c r="J145" s="436">
        <f>IT_plus_class4</f>
        <v>0</v>
      </c>
      <c r="L145" s="7">
        <f>IF(NIC_total+unpaid_tax_in_code+Student_loan+hr_tax_charge_on_CBC+Pension_charges+Pension_lump_sum_amount+non_dom_charge_amount&gt;0,1,0)</f>
        <v>0</v>
      </c>
      <c r="M145" s="1834" t="s">
        <v>7869</v>
      </c>
    </row>
    <row r="146" spans="1:13" ht="13.15" x14ac:dyDescent="0.4">
      <c r="A146" s="3245" t="s">
        <v>4303</v>
      </c>
      <c r="B146" s="3234"/>
      <c r="C146" s="3235" t="str">
        <f>IF(NIC_total&gt;0,"Treth Incwm a Chyfraniadau Yswiriant Gwladol Dosbarth 4","Treth Incwm sy'n ddyledus")</f>
        <v>Treth Incwm sy'n ddyledus</v>
      </c>
      <c r="D146" s="3236"/>
      <c r="E146" s="3237"/>
      <c r="F146" s="3237"/>
      <c r="G146" s="3237"/>
      <c r="H146" s="3237"/>
      <c r="I146" s="3237"/>
      <c r="J146" s="3240">
        <f>IT_plus_class4</f>
        <v>0</v>
      </c>
      <c r="K146" s="1834"/>
      <c r="L146" s="1834">
        <f>IF(NIC_total+unpaid_tax_in_code+Student_loan+hr_tax_charge_on_CBC+Pension_charges+Pension_lump_sum_amount+non_dom_charge_amount&gt;0,1,0)</f>
        <v>0</v>
      </c>
    </row>
    <row r="147" spans="1:13" ht="13.15" x14ac:dyDescent="0.4">
      <c r="A147" s="3245" t="s">
        <v>4303</v>
      </c>
      <c r="B147" s="3234"/>
      <c r="C147" s="3235" t="str">
        <f>IF(NIC_total&gt;0,"Treth Incwm a Chyfraniadau Yswiriant Gwladol Dosbarth 4","Treth Incwm sy'n ddyledus")</f>
        <v>Treth Incwm sy'n ddyledus</v>
      </c>
      <c r="D147" s="3236"/>
      <c r="E147" s="3237"/>
      <c r="F147" s="3237"/>
      <c r="G147" s="3237"/>
      <c r="H147" s="3237"/>
      <c r="I147" s="3237"/>
      <c r="J147" s="3240">
        <f>IT_plus_class4</f>
        <v>0</v>
      </c>
      <c r="K147" s="1834"/>
      <c r="L147" s="1834">
        <f>IF(NIC_total+unpaid_tax_in_code+Student_loan+hr_tax_charge_on_CBC+Pension_charges+Pension_lump_sum_amount+non_dom_charge_amount&gt;0,1,0)</f>
        <v>0</v>
      </c>
    </row>
    <row r="148" spans="1:13" ht="13.15" x14ac:dyDescent="0.4">
      <c r="A148" s="3241" t="s">
        <v>4303</v>
      </c>
      <c r="B148" s="3234"/>
      <c r="C148" s="3235" t="str">
        <f>IF(NIC_total&gt;0,"Treth Incwm a Chyfraniadau Yswiriant Gwladol Dosbarth 4","Treth Incwm sy'n ddyledus")</f>
        <v>Treth Incwm sy'n ddyledus</v>
      </c>
      <c r="D148" s="3236"/>
      <c r="E148" s="3237"/>
      <c r="F148" s="3237"/>
      <c r="G148" s="3237"/>
      <c r="H148" s="3237"/>
      <c r="I148" s="3237"/>
      <c r="J148" s="3240">
        <f>IT_plus_class4</f>
        <v>0</v>
      </c>
      <c r="K148" s="1834"/>
      <c r="L148" s="1834">
        <f>IF(NIC_total+unpaid_tax_in_code+Student_loan+hr_tax_charge_on_CBC+Pension_charges+Pension_lump_sum_amount+non_dom_charge_amount&gt;0,1,0)</f>
        <v>0</v>
      </c>
    </row>
    <row r="149" spans="1:13" x14ac:dyDescent="0.35">
      <c r="A149" s="112" t="s">
        <v>834</v>
      </c>
      <c r="B149" s="434"/>
      <c r="C149" s="577"/>
      <c r="D149" s="577"/>
      <c r="E149" s="96"/>
      <c r="F149" s="96"/>
      <c r="G149" s="96"/>
      <c r="H149" s="96"/>
      <c r="I149" s="104"/>
      <c r="J149" s="432"/>
      <c r="L149" s="7">
        <f>IF(NIC_total+unpaid_tax_in_code+Student_loan+hr_tax_charge_on_CBC+Pension_charges+Pension_lump_sum_amount+non_dom_charge_amount&gt;0,1,0)</f>
        <v>0</v>
      </c>
    </row>
    <row r="150" spans="1:13" x14ac:dyDescent="0.35">
      <c r="A150" s="112" t="s">
        <v>3812</v>
      </c>
      <c r="B150" s="434"/>
      <c r="C150" s="1953" t="s">
        <v>6440</v>
      </c>
      <c r="D150" s="92" t="s">
        <v>6503</v>
      </c>
      <c r="E150" s="107"/>
      <c r="F150" s="96"/>
      <c r="G150" s="96"/>
      <c r="H150" s="96"/>
      <c r="I150" s="104"/>
      <c r="J150" s="432"/>
      <c r="L150" s="7">
        <f>IF((total_tax_paid+debt_coded)&gt;0,1,0)</f>
        <v>0</v>
      </c>
    </row>
    <row r="151" spans="1:13" x14ac:dyDescent="0.35">
      <c r="A151" s="112" t="s">
        <v>2707</v>
      </c>
      <c r="B151" s="434"/>
      <c r="C151" s="1053"/>
      <c r="D151" s="96" t="s">
        <v>6504</v>
      </c>
      <c r="E151" s="107"/>
      <c r="F151" s="96"/>
      <c r="G151" s="96"/>
      <c r="H151" s="96"/>
      <c r="I151" s="430">
        <f>tax_paid_E</f>
        <v>0</v>
      </c>
      <c r="J151" s="432"/>
      <c r="L151" s="7">
        <f>IF(AND(tax_paid_E&gt;0,debt_coded=0),1,0)</f>
        <v>0</v>
      </c>
    </row>
    <row r="152" spans="1:13" x14ac:dyDescent="0.35">
      <c r="A152" s="112" t="s">
        <v>4303</v>
      </c>
      <c r="B152" s="434"/>
      <c r="C152" s="1053"/>
      <c r="D152" s="96" t="s">
        <v>6505</v>
      </c>
      <c r="E152" s="107"/>
      <c r="F152" s="96"/>
      <c r="G152" s="96"/>
      <c r="H152" s="430">
        <f>tax_paid_E</f>
        <v>0</v>
      </c>
      <c r="I152" s="104"/>
      <c r="J152" s="432"/>
      <c r="L152" s="7">
        <f>IF(debt_coded&gt;0,1,0)</f>
        <v>0</v>
      </c>
    </row>
    <row r="153" spans="1:13" x14ac:dyDescent="0.35">
      <c r="A153" s="112" t="s">
        <v>3401</v>
      </c>
      <c r="B153" s="434"/>
      <c r="C153" s="1053"/>
      <c r="D153" s="434" t="s">
        <v>6440</v>
      </c>
      <c r="E153" s="107" t="s">
        <v>6506</v>
      </c>
      <c r="F153" s="96"/>
      <c r="G153" s="96"/>
      <c r="H153" s="430">
        <f>debt_collected</f>
        <v>0</v>
      </c>
      <c r="I153" s="104"/>
      <c r="J153" s="432"/>
      <c r="L153" s="7">
        <f>IF(debt_coded&gt;0,1,0)</f>
        <v>0</v>
      </c>
    </row>
    <row r="154" spans="1:13" x14ac:dyDescent="0.35">
      <c r="A154" s="112" t="s">
        <v>1948</v>
      </c>
      <c r="B154" s="434"/>
      <c r="C154" s="1053"/>
      <c r="D154" s="96" t="s">
        <v>6507</v>
      </c>
      <c r="E154" s="107"/>
      <c r="F154" s="96"/>
      <c r="G154" s="96"/>
      <c r="H154" s="96"/>
      <c r="I154" s="430">
        <f>SA_E_tax</f>
        <v>0</v>
      </c>
      <c r="J154" s="432"/>
      <c r="L154" s="7">
        <f>IF(debt_coded&gt;0,1,0)</f>
        <v>0</v>
      </c>
    </row>
    <row r="155" spans="1:13" x14ac:dyDescent="0.35">
      <c r="A155" s="112" t="s">
        <v>3498</v>
      </c>
      <c r="B155" s="434"/>
      <c r="D155" s="107" t="s">
        <v>6508</v>
      </c>
      <c r="F155" s="96"/>
      <c r="H155" s="96"/>
      <c r="I155" s="430">
        <f>tax_paid_D</f>
        <v>0</v>
      </c>
      <c r="J155" s="432"/>
      <c r="L155" s="7">
        <f>IF(tax_paid_D&gt;0,1,0)</f>
        <v>0</v>
      </c>
    </row>
    <row r="156" spans="1:13" x14ac:dyDescent="0.35">
      <c r="A156" s="112" t="s">
        <v>2459</v>
      </c>
      <c r="B156" s="434"/>
      <c r="D156" s="96" t="s">
        <v>6509</v>
      </c>
      <c r="F156" s="96"/>
      <c r="H156" s="96"/>
      <c r="I156" s="430">
        <f>tax_paid_D_PTR</f>
        <v>0</v>
      </c>
      <c r="J156" s="432"/>
      <c r="L156" s="7">
        <f>IF(tax_paid_D_PTR&gt;0,1,0)</f>
        <v>0</v>
      </c>
    </row>
    <row r="157" spans="1:13" x14ac:dyDescent="0.35">
      <c r="A157" s="112" t="s">
        <v>3577</v>
      </c>
      <c r="B157" s="434"/>
      <c r="D157" s="96" t="s">
        <v>6510</v>
      </c>
      <c r="F157" s="96"/>
      <c r="H157" s="96"/>
      <c r="I157" s="430">
        <f>tax_paid_IFP</f>
        <v>0</v>
      </c>
      <c r="J157" s="432"/>
      <c r="L157" s="7">
        <f>IF(tax_paid_IFP&gt;0,1,0)</f>
        <v>0</v>
      </c>
    </row>
    <row r="158" spans="1:13" x14ac:dyDescent="0.35">
      <c r="A158" s="112" t="s">
        <v>3580</v>
      </c>
      <c r="B158" s="434"/>
      <c r="D158" s="96" t="s">
        <v>6511</v>
      </c>
      <c r="F158" s="96"/>
      <c r="H158" s="96"/>
      <c r="I158" s="430">
        <f>tax_paid_Foreign</f>
        <v>0</v>
      </c>
      <c r="J158" s="432"/>
      <c r="L158" s="7">
        <f>IF(tax_paid_Foreign&gt;0,1,0)</f>
        <v>0</v>
      </c>
    </row>
    <row r="159" spans="1:13" x14ac:dyDescent="0.35">
      <c r="A159" s="112" t="s">
        <v>710</v>
      </c>
      <c r="B159" s="434"/>
      <c r="D159" s="96" t="s">
        <v>6512</v>
      </c>
      <c r="F159" s="96"/>
      <c r="H159" s="96"/>
      <c r="I159" s="430">
        <f>tax_paid_Trust</f>
        <v>0</v>
      </c>
      <c r="J159" s="432"/>
      <c r="L159" s="7">
        <f>IF(tax_paid_Trust&gt;0,1,0)</f>
        <v>0</v>
      </c>
    </row>
    <row r="160" spans="1:13" x14ac:dyDescent="0.35">
      <c r="A160" s="112" t="s">
        <v>1893</v>
      </c>
      <c r="B160" s="434"/>
      <c r="D160" s="96" t="s">
        <v>6513</v>
      </c>
      <c r="F160" s="96"/>
      <c r="H160" s="96"/>
      <c r="I160" s="430">
        <f>tax_paid_Overseas</f>
        <v>0</v>
      </c>
      <c r="J160" s="432"/>
      <c r="L160" s="7">
        <f>IF(tax_paid_Overseas&gt;0,1,0)</f>
        <v>0</v>
      </c>
    </row>
    <row r="161" spans="1:12" x14ac:dyDescent="0.35">
      <c r="A161" s="112" t="s">
        <v>3025</v>
      </c>
      <c r="B161" s="434"/>
      <c r="D161" s="107" t="s">
        <v>6514</v>
      </c>
      <c r="F161" s="96"/>
      <c r="H161" s="96"/>
      <c r="I161" s="430">
        <f>tax_paid_Case3</f>
        <v>0</v>
      </c>
      <c r="J161" s="432"/>
      <c r="L161" s="7">
        <f>IF(tax_paid_Case3&gt;0,1,0)</f>
        <v>0</v>
      </c>
    </row>
    <row r="162" spans="1:12" x14ac:dyDescent="0.35">
      <c r="A162" s="112" t="s">
        <v>3028</v>
      </c>
      <c r="B162" s="434"/>
      <c r="D162" s="96" t="s">
        <v>6515</v>
      </c>
      <c r="F162" s="96"/>
      <c r="H162" s="96"/>
      <c r="I162" s="430">
        <f>tax_paid_CEG</f>
        <v>0</v>
      </c>
      <c r="J162" s="432"/>
      <c r="L162" s="7">
        <f>IF(tax_paid_CEG&gt;0,1,0)</f>
        <v>0</v>
      </c>
    </row>
    <row r="163" spans="1:12" x14ac:dyDescent="0.35">
      <c r="A163" s="112" t="s">
        <v>1581</v>
      </c>
      <c r="B163" s="434"/>
      <c r="D163" s="96" t="s">
        <v>6516</v>
      </c>
      <c r="F163" s="96"/>
      <c r="H163" s="96"/>
      <c r="I163" s="430">
        <f>tax_paid_Other</f>
        <v>0</v>
      </c>
      <c r="J163" s="432"/>
      <c r="L163" s="7">
        <f>IF(tax_paid_Other&gt;0,1,0)</f>
        <v>0</v>
      </c>
    </row>
    <row r="164" spans="1:12" x14ac:dyDescent="0.35">
      <c r="A164" s="112" t="s">
        <v>1584</v>
      </c>
      <c r="B164" s="434"/>
      <c r="C164" s="859"/>
      <c r="D164" s="96" t="str">
        <f>"Treth a dandalwyd ar gyfer "&amp;tax_year&amp;" y ya gynhwyswyd yn eich cod am "&amp;next_year</f>
        <v>Treth a dandalwyd ar gyfer 2017-18 y ya gynhwyswyd yn eich cod am 2018-19</v>
      </c>
      <c r="F164" s="96"/>
      <c r="G164" s="96"/>
      <c r="H164" s="96"/>
      <c r="I164" s="430">
        <f>coded_in_later_year</f>
        <v>0</v>
      </c>
      <c r="L164" s="7">
        <f>IF(coded_in_later_year&gt;0,1,0)</f>
        <v>0</v>
      </c>
    </row>
    <row r="165" spans="1:12" x14ac:dyDescent="0.35">
      <c r="A165" s="112" t="s">
        <v>2636</v>
      </c>
      <c r="B165" s="434"/>
      <c r="C165" s="146"/>
      <c r="D165" s="712" t="s">
        <v>6517</v>
      </c>
      <c r="F165" s="96"/>
      <c r="G165" s="96"/>
      <c r="H165" s="96"/>
      <c r="J165" s="430">
        <f>total_tax_paid</f>
        <v>0</v>
      </c>
      <c r="K165" s="146"/>
      <c r="L165" s="1139">
        <f>IF((total_tax_paid+debt_collected)&gt;0,1,0)</f>
        <v>0</v>
      </c>
    </row>
    <row r="166" spans="1:12" x14ac:dyDescent="0.35">
      <c r="A166" s="112" t="s">
        <v>1599</v>
      </c>
      <c r="B166" s="434"/>
      <c r="C166" s="577"/>
      <c r="D166" s="577"/>
      <c r="E166" s="96"/>
      <c r="F166" s="96"/>
      <c r="G166" s="96"/>
      <c r="H166" s="96"/>
      <c r="I166" s="104"/>
      <c r="J166" s="432"/>
      <c r="L166" s="7">
        <f>IF((total_tax_paid+debt_collected)&gt;0,1,0)</f>
        <v>0</v>
      </c>
    </row>
    <row r="167" spans="1:12" ht="13.15" x14ac:dyDescent="0.4">
      <c r="A167" s="3202" t="s">
        <v>7840</v>
      </c>
      <c r="B167" s="3203"/>
      <c r="C167" s="3204" t="s">
        <v>7849</v>
      </c>
      <c r="D167" s="3205"/>
      <c r="E167" s="3206"/>
      <c r="F167" s="3206"/>
      <c r="G167" s="3206"/>
      <c r="H167" s="3207" t="s">
        <v>4749</v>
      </c>
      <c r="I167" s="3206"/>
      <c r="J167" s="3251">
        <f>total_tax_NIC_nonresS23</f>
        <v>0</v>
      </c>
      <c r="K167" s="3208"/>
      <c r="L167" s="3208">
        <f>IF(box_NRD1,1,0)</f>
        <v>0</v>
      </c>
    </row>
    <row r="168" spans="1:12" ht="13.15" x14ac:dyDescent="0.4">
      <c r="A168" s="3218" t="s">
        <v>4303</v>
      </c>
      <c r="B168" s="3209"/>
      <c r="C168" s="3204" t="s">
        <v>7850</v>
      </c>
      <c r="D168" s="3210"/>
      <c r="E168" s="3206"/>
      <c r="F168" s="3206"/>
      <c r="G168" s="3206"/>
      <c r="H168" s="3207" t="s">
        <v>4130</v>
      </c>
      <c r="I168" s="3206"/>
      <c r="J168" s="3251">
        <f>total_tax_NIC_nonresS811</f>
        <v>0</v>
      </c>
      <c r="K168" s="3208"/>
      <c r="L168" s="3208">
        <f>IF(box_NRD1,1,0)</f>
        <v>0</v>
      </c>
    </row>
    <row r="169" spans="1:12" ht="13.15" x14ac:dyDescent="0.4">
      <c r="A169" s="3213" t="s">
        <v>4303</v>
      </c>
      <c r="B169" s="3203"/>
      <c r="C169" s="3204"/>
      <c r="D169" s="3205"/>
      <c r="E169" s="3206"/>
      <c r="F169" s="3206"/>
      <c r="G169" s="3206"/>
      <c r="H169" s="3211" t="s">
        <v>7851</v>
      </c>
      <c r="I169" s="3206"/>
      <c r="J169" s="3251">
        <f>total_tax_NIC_nonres</f>
        <v>0</v>
      </c>
      <c r="K169" s="3208"/>
      <c r="L169" s="3208">
        <f>IF(box_NRD1,1,0)</f>
        <v>0</v>
      </c>
    </row>
    <row r="170" spans="1:12" ht="13.15" x14ac:dyDescent="0.4">
      <c r="A170" s="862" t="s">
        <v>3847</v>
      </c>
      <c r="B170" s="434"/>
      <c r="C170" s="106" t="s">
        <v>6518</v>
      </c>
      <c r="D170" s="1099"/>
      <c r="E170" s="1100"/>
      <c r="F170" s="1100"/>
      <c r="G170" s="1100"/>
      <c r="H170" s="1100"/>
      <c r="I170" s="435"/>
      <c r="J170" s="1098">
        <f>Total_IT_class4_due</f>
        <v>0</v>
      </c>
      <c r="L170" s="7">
        <f>IF((total_tax_paid+debt_coded)&gt;0,IF((total_tax_paid)&gt;IT_plus_class4,1,0),0)</f>
        <v>0</v>
      </c>
    </row>
    <row r="171" spans="1:12" ht="13.15" x14ac:dyDescent="0.4">
      <c r="A171" s="1442" t="s">
        <v>4303</v>
      </c>
      <c r="B171" s="434"/>
      <c r="C171" s="106" t="str">
        <f>IF(NIC_total&gt;0,"Treth Incwm a Chyfraniadau Yswiriant Gwladol Dosbarth 4 sy'n Ddyledus","Cyfanswm Treth Incwm sy'n ddyledus")</f>
        <v>Cyfanswm Treth Incwm sy'n ddyledus</v>
      </c>
      <c r="D171" s="95"/>
      <c r="E171" s="435"/>
      <c r="F171" s="1444"/>
      <c r="G171" s="435"/>
      <c r="H171" s="861"/>
      <c r="I171" s="861"/>
      <c r="J171" s="1098">
        <f>Total_IT_class4_due</f>
        <v>0</v>
      </c>
      <c r="L171" s="7">
        <f>IF((total_tax_paid+debt_coded)&gt;0,IF(IT_plus_class4&gt;=total_tax_paid,1,0),0)</f>
        <v>0</v>
      </c>
    </row>
    <row r="172" spans="1:12" ht="13.15" x14ac:dyDescent="0.4">
      <c r="A172" s="3218" t="s">
        <v>4303</v>
      </c>
      <c r="B172" s="3209"/>
      <c r="C172" s="3216" t="s">
        <v>7856</v>
      </c>
      <c r="D172" s="3210"/>
      <c r="E172" s="3206"/>
      <c r="F172" s="3214"/>
      <c r="G172" s="3206"/>
      <c r="H172" s="3215"/>
      <c r="I172" s="3215"/>
      <c r="J172" s="3217">
        <f>Total_IT_class4_due</f>
        <v>0</v>
      </c>
      <c r="K172" s="3208"/>
      <c r="L172" s="3208"/>
    </row>
    <row r="173" spans="1:12" ht="13.15" x14ac:dyDescent="0.4">
      <c r="A173" s="3218" t="s">
        <v>4303</v>
      </c>
      <c r="B173" s="3209"/>
      <c r="C173" s="3216" t="s">
        <v>7855</v>
      </c>
      <c r="D173" s="3210"/>
      <c r="E173" s="3206"/>
      <c r="F173" s="3214"/>
      <c r="G173" s="3206"/>
      <c r="H173" s="3215"/>
      <c r="I173" s="3215"/>
      <c r="J173" s="3217">
        <f>Total_IT_class4_due</f>
        <v>0</v>
      </c>
      <c r="K173" s="3208"/>
      <c r="L173" s="3208"/>
    </row>
    <row r="174" spans="1:12" ht="13.15" x14ac:dyDescent="0.4">
      <c r="A174" s="3213" t="s">
        <v>4303</v>
      </c>
      <c r="B174" s="3209"/>
      <c r="C174" s="3216" t="s">
        <v>7854</v>
      </c>
      <c r="D174" s="3210"/>
      <c r="E174" s="3206"/>
      <c r="F174" s="3214"/>
      <c r="G174" s="3206"/>
      <c r="H174" s="3215"/>
      <c r="I174" s="3215"/>
      <c r="J174" s="3217">
        <f>Total_IT_class4_due</f>
        <v>0</v>
      </c>
      <c r="K174" s="3208"/>
      <c r="L174" s="3208"/>
    </row>
    <row r="175" spans="1:12" x14ac:dyDescent="0.35">
      <c r="A175" s="112" t="s">
        <v>3211</v>
      </c>
      <c r="B175" s="434"/>
      <c r="J175" s="432"/>
      <c r="L175" s="7">
        <f>IF(total_CG_due&gt;0,1,0)</f>
        <v>0</v>
      </c>
    </row>
    <row r="176" spans="1:12" ht="13.15" x14ac:dyDescent="0.4">
      <c r="A176" s="112" t="s">
        <v>3212</v>
      </c>
      <c r="B176" s="434"/>
      <c r="C176" s="18" t="s">
        <v>6458</v>
      </c>
      <c r="D176" s="18" t="s">
        <v>6519</v>
      </c>
      <c r="E176" s="96"/>
      <c r="F176" s="96"/>
      <c r="G176" s="96"/>
      <c r="H176" s="96"/>
      <c r="I176" s="104"/>
      <c r="J176" s="432"/>
      <c r="L176" s="7">
        <f>IF(Taxable_CG&gt;0,1,0)</f>
        <v>0</v>
      </c>
    </row>
    <row r="177" spans="1:13" x14ac:dyDescent="0.35">
      <c r="A177" s="112" t="s">
        <v>5814</v>
      </c>
      <c r="B177" s="434"/>
      <c r="D177" s="42" t="s">
        <v>6520</v>
      </c>
      <c r="G177" s="858">
        <f>Taxable_CG</f>
        <v>0</v>
      </c>
      <c r="H177" s="103"/>
      <c r="I177" s="953"/>
      <c r="J177" s="432"/>
      <c r="L177" s="7">
        <f>IF(Taxable_CG&gt;0,1,0)</f>
        <v>0</v>
      </c>
    </row>
    <row r="178" spans="1:13" x14ac:dyDescent="0.35">
      <c r="A178" s="112" t="s">
        <v>3850</v>
      </c>
      <c r="B178" s="434"/>
      <c r="D178" s="42" t="s">
        <v>6521</v>
      </c>
      <c r="G178" s="858">
        <f>CG_at_ER_rate</f>
        <v>0</v>
      </c>
      <c r="H178" s="1443" t="str">
        <f>"x "&amp;ER_CGT_rate*100&amp;"%"</f>
        <v>x 10%</v>
      </c>
      <c r="I178" s="953">
        <f>ER_rate_CGT</f>
        <v>0</v>
      </c>
      <c r="J178" s="432"/>
      <c r="L178" s="7">
        <f>IF(CG_at_ER_rate&gt;0,1,0)</f>
        <v>0</v>
      </c>
    </row>
    <row r="179" spans="1:13" x14ac:dyDescent="0.35">
      <c r="A179" s="112" t="s">
        <v>2425</v>
      </c>
      <c r="B179" s="434"/>
      <c r="D179" s="42" t="s">
        <v>6572</v>
      </c>
      <c r="G179" s="858">
        <f>CG_at_lower_rate_RP_CI</f>
        <v>0</v>
      </c>
      <c r="H179" s="1443" t="str">
        <f>"x "&amp;lower_CGT_rate_RP_CI*100&amp;"%"</f>
        <v>x 18%</v>
      </c>
      <c r="I179" s="953">
        <f>Lower_rate_CGT_RP_CI</f>
        <v>0</v>
      </c>
      <c r="J179" s="432"/>
      <c r="L179" s="1139">
        <f>IF(CG_at_lower_rate_RP_CI&gt;0,1,0)</f>
        <v>0</v>
      </c>
    </row>
    <row r="180" spans="1:13" x14ac:dyDescent="0.35">
      <c r="A180" s="112" t="s">
        <v>5815</v>
      </c>
      <c r="D180" s="42" t="s">
        <v>6571</v>
      </c>
      <c r="G180" s="429">
        <f>CG_at_higher_rate_RP_CI</f>
        <v>0</v>
      </c>
      <c r="H180" s="1443" t="str">
        <f>"x "&amp;upper_CGT_rate_RP_CI*100&amp;"%"</f>
        <v>x 28%</v>
      </c>
      <c r="I180" s="953">
        <f>Higher_rate_CGT_RP_CI</f>
        <v>0</v>
      </c>
      <c r="L180" s="1139">
        <f>IF(CG_at_higher_rate_RP_CI&gt;0,1,0)</f>
        <v>0</v>
      </c>
    </row>
    <row r="181" spans="1:13" x14ac:dyDescent="0.35">
      <c r="A181" s="112" t="s">
        <v>2430</v>
      </c>
      <c r="B181" s="434"/>
      <c r="D181" s="42" t="s">
        <v>6299</v>
      </c>
      <c r="G181" s="858">
        <f>CG_at_lower_rate</f>
        <v>0</v>
      </c>
      <c r="H181" s="1443" t="str">
        <f>"x "&amp;Lower_CGT_rate*100&amp;"%"</f>
        <v>x 10%</v>
      </c>
      <c r="I181" s="953">
        <f>Lower_rate_CGT</f>
        <v>0</v>
      </c>
      <c r="J181" s="432"/>
      <c r="L181" s="7">
        <f>IF(CG_at_lower_rate&gt;0,1,0)</f>
        <v>0</v>
      </c>
      <c r="M181" s="1235"/>
    </row>
    <row r="182" spans="1:13" x14ac:dyDescent="0.35">
      <c r="A182" s="112" t="s">
        <v>5816</v>
      </c>
      <c r="D182" s="42" t="s">
        <v>617</v>
      </c>
      <c r="G182" s="429">
        <f>CG_at_higher_rate</f>
        <v>0</v>
      </c>
      <c r="H182" s="1443" t="str">
        <f>"x "&amp;Upper_CGT_rate*100&amp;"%"</f>
        <v>x 20%</v>
      </c>
      <c r="I182" s="953">
        <f>Higher_rate_CGT</f>
        <v>0</v>
      </c>
      <c r="L182" s="7">
        <f>IF(CG_at_higher_rate&gt;0,1,0)</f>
        <v>0</v>
      </c>
      <c r="M182" s="1139"/>
    </row>
    <row r="183" spans="1:13" x14ac:dyDescent="0.35">
      <c r="A183" s="112" t="s">
        <v>1485</v>
      </c>
      <c r="D183" s="42" t="s">
        <v>6522</v>
      </c>
      <c r="I183" s="432">
        <f>CGT_adjustment</f>
        <v>0</v>
      </c>
      <c r="L183" s="7">
        <f>IF(CGT_adjustment&lt;&gt;0,1,0)</f>
        <v>0</v>
      </c>
      <c r="M183" s="1139"/>
    </row>
    <row r="184" spans="1:13" x14ac:dyDescent="0.35">
      <c r="A184" s="112" t="s">
        <v>2783</v>
      </c>
      <c r="I184" s="954">
        <f>Total_CGT_tax</f>
        <v>0</v>
      </c>
      <c r="L184" s="7">
        <f>IF(Total_CGT_tax&gt;0,1,0)</f>
        <v>0</v>
      </c>
    </row>
    <row r="185" spans="1:13" x14ac:dyDescent="0.35">
      <c r="A185" s="870" t="s">
        <v>1722</v>
      </c>
      <c r="B185" s="434"/>
      <c r="D185" s="4" t="s">
        <v>6440</v>
      </c>
      <c r="E185" s="96" t="s">
        <v>6524</v>
      </c>
      <c r="F185" s="96"/>
      <c r="G185" s="955"/>
      <c r="H185" s="956"/>
      <c r="I185" s="430">
        <f>CG_FTCR</f>
        <v>0</v>
      </c>
      <c r="J185" s="432"/>
      <c r="L185" s="7">
        <f>IF(CG_FTCR&gt;0,IF(Total_CGT_tax+CG_trust_tax&gt;0,1,0),0)</f>
        <v>0</v>
      </c>
    </row>
    <row r="186" spans="1:13" x14ac:dyDescent="0.35">
      <c r="A186" s="112" t="s">
        <v>3595</v>
      </c>
      <c r="B186" s="434"/>
      <c r="D186" s="4" t="s">
        <v>6458</v>
      </c>
      <c r="E186" s="96" t="s">
        <v>6525</v>
      </c>
      <c r="F186" s="96"/>
      <c r="H186" s="956"/>
      <c r="I186" s="430">
        <f>CG_trust_tax</f>
        <v>0</v>
      </c>
      <c r="J186" s="432"/>
      <c r="L186" s="7">
        <f>IF(CG_trust_tax&gt;0,1,0)</f>
        <v>0</v>
      </c>
    </row>
    <row r="187" spans="1:13" x14ac:dyDescent="0.35">
      <c r="A187" s="112" t="s">
        <v>3598</v>
      </c>
      <c r="B187" s="434"/>
      <c r="D187" s="4" t="s">
        <v>6440</v>
      </c>
      <c r="E187" s="96" t="s">
        <v>6570</v>
      </c>
      <c r="F187" s="96"/>
      <c r="H187" s="956"/>
      <c r="I187" s="432">
        <f>tax_on_gains_already_charged</f>
        <v>0</v>
      </c>
      <c r="J187" s="432"/>
      <c r="L187" s="7">
        <f>IF(tax_on_gains_already_charged&gt;0,1,0)</f>
        <v>0</v>
      </c>
    </row>
    <row r="188" spans="1:13" x14ac:dyDescent="0.35">
      <c r="A188" s="112" t="s">
        <v>4805</v>
      </c>
      <c r="B188" s="434"/>
      <c r="D188" s="92" t="s">
        <v>6523</v>
      </c>
      <c r="G188" s="96"/>
      <c r="H188" s="96"/>
      <c r="I188" s="954"/>
      <c r="J188" s="430">
        <f>total_CG_due</f>
        <v>0</v>
      </c>
      <c r="L188" s="7">
        <f>IF(Taxable_CG&gt;0,1,0)</f>
        <v>0</v>
      </c>
    </row>
    <row r="189" spans="1:13" x14ac:dyDescent="0.35">
      <c r="A189" s="862" t="s">
        <v>5821</v>
      </c>
      <c r="B189" s="434"/>
      <c r="D189" s="92"/>
      <c r="G189" s="96"/>
      <c r="H189" s="96"/>
      <c r="J189" s="430"/>
      <c r="L189" s="7">
        <f>IF(total_CG_due&gt;0,1,0)</f>
        <v>0</v>
      </c>
    </row>
    <row r="190" spans="1:13" ht="13.15" x14ac:dyDescent="0.4">
      <c r="A190" s="862" t="s">
        <v>3601</v>
      </c>
      <c r="B190" s="434"/>
      <c r="C190" s="106" t="str">
        <f>IF(NIC_total&gt;0,"Treth Incwm, Treth Enillion Cyfalaf a Chyfraniadau Yswiriant Gwladol Dosbarth","Treth Incwm a Threth Enillion Cyfalaf sy'n ddyledus")</f>
        <v>Treth Incwm a Threth Enillion Cyfalaf sy'n ddyledus</v>
      </c>
      <c r="D190" s="95"/>
      <c r="E190" s="435"/>
      <c r="F190" s="435"/>
      <c r="G190" s="435"/>
      <c r="H190" s="435"/>
      <c r="I190" s="435"/>
      <c r="J190" s="1098">
        <f>Total_IT_CG_class4_due</f>
        <v>0</v>
      </c>
      <c r="L190" s="7">
        <f>IF(Taxable_CG&gt;0,IF((IT_plus_class4+total_CG_due)&gt;=total_tax_paid,1,0),0)</f>
        <v>0</v>
      </c>
    </row>
    <row r="191" spans="1:13" ht="13.15" x14ac:dyDescent="0.4">
      <c r="A191" s="870" t="s">
        <v>4303</v>
      </c>
      <c r="B191" s="434"/>
      <c r="C191" s="106" t="s">
        <v>6518</v>
      </c>
      <c r="D191" s="1099"/>
      <c r="E191" s="1100"/>
      <c r="F191" s="1100"/>
      <c r="G191" s="1100"/>
      <c r="H191" s="1100"/>
      <c r="I191" s="435"/>
      <c r="J191" s="1098">
        <f>Total_IT_CG_class4_due</f>
        <v>0</v>
      </c>
      <c r="L191" s="7">
        <f>IF(Taxable_CG&gt;0,IF(total_tax_paid&gt;(IT_plus_class4+total_CG_due),1,0),0)</f>
        <v>0</v>
      </c>
    </row>
    <row r="192" spans="1:13" ht="13.15" x14ac:dyDescent="0.4">
      <c r="A192" s="112" t="s">
        <v>1479</v>
      </c>
      <c r="B192" s="434"/>
      <c r="C192" s="18"/>
      <c r="D192" s="18"/>
      <c r="E192" s="96"/>
      <c r="F192" s="96"/>
      <c r="G192" s="96"/>
      <c r="H192" s="92"/>
      <c r="I192" s="96"/>
      <c r="J192" s="953"/>
      <c r="L192" s="7">
        <f>IF(total_CG_due&gt;0,1,0)</f>
        <v>0</v>
      </c>
    </row>
    <row r="193" spans="1:12" x14ac:dyDescent="0.35">
      <c r="A193" s="112" t="s">
        <v>3604</v>
      </c>
      <c r="B193" s="434"/>
      <c r="C193" s="4" t="str">
        <f>IF(OR(L191,L176),"llai","plws")</f>
        <v>plws</v>
      </c>
      <c r="D193" s="96" t="s">
        <v>6526</v>
      </c>
      <c r="F193" s="96"/>
      <c r="G193" s="96"/>
      <c r="H193" s="96"/>
      <c r="I193" s="104"/>
      <c r="J193" s="430">
        <f>tax_already_refunded</f>
        <v>0</v>
      </c>
      <c r="L193" s="7">
        <f>IF(tax_already_refunded&gt;0,1,0)</f>
        <v>0</v>
      </c>
    </row>
    <row r="194" spans="1:12" x14ac:dyDescent="0.35">
      <c r="A194" s="862" t="s">
        <v>3092</v>
      </c>
      <c r="B194" s="434"/>
      <c r="C194" s="4" t="str">
        <f>IF(OR(L191,L176),"llai","plws")</f>
        <v>plws</v>
      </c>
      <c r="D194" s="96" t="s">
        <v>6527</v>
      </c>
      <c r="F194" s="96"/>
      <c r="G194" s="96"/>
      <c r="H194" s="96"/>
      <c r="I194" s="104"/>
      <c r="J194" s="430">
        <f>unpaid_tax_bf</f>
        <v>0</v>
      </c>
      <c r="L194" s="7">
        <f>IF(unpaid_tax_bf&gt;0,1,0)</f>
        <v>0</v>
      </c>
    </row>
    <row r="195" spans="1:12" ht="13.15" x14ac:dyDescent="0.4">
      <c r="A195" s="862" t="s">
        <v>4783</v>
      </c>
      <c r="B195" s="871"/>
      <c r="C195" s="106" t="s">
        <v>6518</v>
      </c>
      <c r="D195" s="1099"/>
      <c r="E195" s="435"/>
      <c r="F195" s="435"/>
      <c r="G195" s="435"/>
      <c r="H195" s="435"/>
      <c r="I195" s="435"/>
      <c r="J195" s="436">
        <f>Total_tax_NIC_due</f>
        <v>0</v>
      </c>
      <c r="L195" s="7">
        <f>IF(AND(OR(AllceIn_TPA&gt;0,(tax_already_refunded+unpaid_tax_bf)&gt;0),total_tax_paid&gt;(IT_plus_class4+total_CG_due+tax_already_refunded+unpaid_tax_bf)),1,0)</f>
        <v>0</v>
      </c>
    </row>
    <row r="196" spans="1:12" ht="13.15" x14ac:dyDescent="0.4">
      <c r="A196" s="1095" t="s">
        <v>4303</v>
      </c>
      <c r="B196" s="434"/>
      <c r="C196" s="106" t="s">
        <v>6529</v>
      </c>
      <c r="D196" s="95"/>
      <c r="E196" s="435"/>
      <c r="F196" s="435"/>
      <c r="G196" s="435"/>
      <c r="H196" s="435"/>
      <c r="I196" s="435"/>
      <c r="J196" s="436">
        <f>Total_tax_NIC_due</f>
        <v>0</v>
      </c>
      <c r="L196" s="7">
        <f>IF(AND(OR(AllceIn_TPA&gt;0,(tax_already_refunded+unpaid_tax_bf)&gt;0),NIC_total&gt;0,(IT_plus_class4+total_CG_due+tax_already_refunded+unpaid_tax_bf)&gt;=total_tax_paid),1,0)</f>
        <v>0</v>
      </c>
    </row>
    <row r="197" spans="1:12" ht="13.15" x14ac:dyDescent="0.4">
      <c r="A197" s="870" t="s">
        <v>4303</v>
      </c>
      <c r="B197" s="871"/>
      <c r="C197" s="106" t="s">
        <v>6530</v>
      </c>
      <c r="D197" s="1099"/>
      <c r="E197" s="435"/>
      <c r="F197" s="435"/>
      <c r="G197" s="435"/>
      <c r="H197" s="435"/>
      <c r="I197" s="435"/>
      <c r="J197" s="436">
        <f>Total_tax_NIC_due</f>
        <v>0</v>
      </c>
      <c r="L197" s="7">
        <f>IF(AND(OR(AllceIn_TPA&gt;0,(tax_already_refunded+unpaid_tax_bf)&gt;0),NIC_total=0,(IT_plus_class4+total_CG_due+tax_already_refunded+unpaid_tax_bf)&gt;=total_tax_paid),1,0)</f>
        <v>0</v>
      </c>
    </row>
    <row r="199" spans="1:12" ht="13.15" x14ac:dyDescent="0.4">
      <c r="A199" s="875" t="s">
        <v>7857</v>
      </c>
    </row>
  </sheetData>
  <pageMargins left="0.196850393700787" right="0.196850393700787" top="0.196850393700787" bottom="0.196850393700787" header="0" footer="0"/>
  <pageSetup paperSize="8" orientation="portrait" r:id="rId1"/>
  <headerFooter alignWithMargins="0"/>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rgb="FFFFFF99"/>
  </sheetPr>
  <dimension ref="A1:I127"/>
  <sheetViews>
    <sheetView showGridLines="0" topLeftCell="A4" workbookViewId="0">
      <selection activeCell="I7" sqref="I7"/>
    </sheetView>
  </sheetViews>
  <sheetFormatPr defaultColWidth="9.1328125" defaultRowHeight="11.65" x14ac:dyDescent="0.35"/>
  <cols>
    <col min="1" max="1" width="4.59765625" style="4" customWidth="1"/>
    <col min="2" max="2" width="21.3984375" style="4" customWidth="1"/>
    <col min="3" max="3" width="20.1328125" style="4" customWidth="1"/>
    <col min="4" max="4" width="9.3984375" style="4" customWidth="1"/>
    <col min="5" max="5" width="1" style="146" customWidth="1"/>
    <col min="6" max="6" width="5.1328125" style="4" customWidth="1"/>
    <col min="7" max="7" width="21.3984375" style="4" bestFit="1" customWidth="1"/>
    <col min="8" max="8" width="20.1328125" style="4" customWidth="1"/>
    <col min="9" max="9" width="10.73046875" style="4" customWidth="1"/>
    <col min="10" max="10" width="2.73046875" style="146" customWidth="1"/>
    <col min="11" max="16384" width="9.1328125" style="146"/>
  </cols>
  <sheetData>
    <row r="1" spans="1:9" ht="12" customHeight="1" x14ac:dyDescent="0.35">
      <c r="A1" s="933" t="s">
        <v>2955</v>
      </c>
      <c r="B1" s="933" t="s">
        <v>2956</v>
      </c>
      <c r="C1" s="97" t="s">
        <v>853</v>
      </c>
      <c r="D1" s="97" t="s">
        <v>838</v>
      </c>
      <c r="F1" s="933" t="s">
        <v>2955</v>
      </c>
      <c r="G1" s="933" t="s">
        <v>2956</v>
      </c>
      <c r="H1" s="97" t="s">
        <v>853</v>
      </c>
      <c r="I1" s="97" t="s">
        <v>838</v>
      </c>
    </row>
    <row r="2" spans="1:9" x14ac:dyDescent="0.35">
      <c r="A2" s="934" t="s">
        <v>4133</v>
      </c>
      <c r="B2" s="935" t="s">
        <v>2957</v>
      </c>
      <c r="C2" s="98" t="str">
        <f>'NS income (c1)'!I11&amp;" + "&amp;'NS income (c1)'!I135</f>
        <v>c1.4 + c1.58</v>
      </c>
      <c r="D2" s="99">
        <f>'NS income (c1)'!J11+'NS income (c1)'!J135</f>
        <v>0</v>
      </c>
      <c r="F2" s="437" t="s">
        <v>985</v>
      </c>
      <c r="G2" s="438" t="s">
        <v>3593</v>
      </c>
      <c r="H2" s="2762" t="str">
        <f>'Tax adj (c9)'!L101</f>
        <v>c9.31</v>
      </c>
      <c r="I2" s="66">
        <f>'Tax adj (c9)'!M101</f>
        <v>0</v>
      </c>
    </row>
    <row r="3" spans="1:9" x14ac:dyDescent="0.35">
      <c r="A3" s="934" t="s">
        <v>629</v>
      </c>
      <c r="B3" s="935" t="s">
        <v>3591</v>
      </c>
      <c r="C3" s="99" t="str">
        <f>'NS income (c1)'!I14</f>
        <v>c1.5</v>
      </c>
      <c r="D3" s="99">
        <f>'NS income (c1)'!J14</f>
        <v>0</v>
      </c>
      <c r="F3" s="3291" t="s">
        <v>986</v>
      </c>
      <c r="G3" s="3292" t="s">
        <v>1349</v>
      </c>
      <c r="H3" s="2766" t="str">
        <f>'Tax adj (c9)'!L95</f>
        <v>c9.29</v>
      </c>
      <c r="I3" s="2762">
        <f>'Tax adj (c9)'!M95</f>
        <v>0</v>
      </c>
    </row>
    <row r="4" spans="1:9" x14ac:dyDescent="0.35">
      <c r="A4" s="934" t="s">
        <v>630</v>
      </c>
      <c r="B4" s="935" t="s">
        <v>3592</v>
      </c>
      <c r="C4" s="99" t="str">
        <f>'NS income (c1)'!I21</f>
        <v>c1.8</v>
      </c>
      <c r="D4" s="99">
        <f>'NS income (c1)'!J21</f>
        <v>0</v>
      </c>
      <c r="F4" s="934" t="s">
        <v>861</v>
      </c>
      <c r="G4" s="438" t="s">
        <v>1087</v>
      </c>
      <c r="H4" s="3293" t="str">
        <f>'Tax adj (c9)'!L104</f>
        <v>c9.32</v>
      </c>
      <c r="I4" s="66">
        <f>'Tax adj (c9)'!M104</f>
        <v>0</v>
      </c>
    </row>
    <row r="5" spans="1:9" x14ac:dyDescent="0.35">
      <c r="A5" s="934" t="s">
        <v>631</v>
      </c>
      <c r="B5" s="935" t="s">
        <v>3594</v>
      </c>
      <c r="C5" s="99" t="str">
        <f>'NS income (c1)'!I24&amp;" + "&amp;'NS income (c1)'!I135</f>
        <v>c1.9 + c1.58</v>
      </c>
      <c r="D5" s="99">
        <f>'NS income (c1)'!J24+'NS income (c1)'!J135</f>
        <v>0</v>
      </c>
      <c r="F5" s="934" t="s">
        <v>863</v>
      </c>
      <c r="G5" s="438" t="s">
        <v>4104</v>
      </c>
      <c r="H5" s="3293" t="str">
        <f>'Tax adj (c9)'!C112</f>
        <v>c9.33</v>
      </c>
      <c r="I5" s="99">
        <f>'Tax adj (c9)'!D112</f>
        <v>0</v>
      </c>
    </row>
    <row r="6" spans="1:9" x14ac:dyDescent="0.35">
      <c r="A6" s="934" t="s">
        <v>632</v>
      </c>
      <c r="B6" s="935" t="s">
        <v>2878</v>
      </c>
      <c r="C6" s="99" t="str">
        <f>'NS income (c1)'!I28</f>
        <v>c1.10</v>
      </c>
      <c r="D6" s="99">
        <f>'NS income (c1)'!J28</f>
        <v>0</v>
      </c>
      <c r="F6" s="65" t="s">
        <v>863</v>
      </c>
      <c r="G6" s="438" t="s">
        <v>2949</v>
      </c>
      <c r="H6" s="3293" t="str">
        <f>'Tax adj (c9)'!F112</f>
        <v>c9.34</v>
      </c>
      <c r="I6" s="66">
        <f>'Tax adj (c9)'!G112</f>
        <v>0</v>
      </c>
    </row>
    <row r="7" spans="1:9" x14ac:dyDescent="0.35">
      <c r="A7" s="934" t="s">
        <v>633</v>
      </c>
      <c r="B7" s="935" t="s">
        <v>1085</v>
      </c>
      <c r="C7" s="99" t="str">
        <f>'NS income (c1)'!I44&amp;" + "&amp;'NS income (c1)'!I51</f>
        <v>c1.17 + c1.20</v>
      </c>
      <c r="D7" s="99">
        <f>'NS income (c1)'!J44+'NS income (c1)'!J51</f>
        <v>0</v>
      </c>
      <c r="F7" s="934" t="s">
        <v>864</v>
      </c>
      <c r="G7" s="3232" t="s">
        <v>8364</v>
      </c>
      <c r="H7" s="3230" t="s">
        <v>3576</v>
      </c>
      <c r="I7" s="3721">
        <f>'Tax adj (c9)'!G115</f>
        <v>0</v>
      </c>
    </row>
    <row r="8" spans="1:9" x14ac:dyDescent="0.35">
      <c r="A8" s="934" t="s">
        <v>634</v>
      </c>
      <c r="B8" s="935" t="s">
        <v>1086</v>
      </c>
      <c r="C8" s="99" t="str">
        <f>'NS income (c1)'!I67&amp;" + "&amp;'Savings (c2)'!H11&amp;" + "&amp;'Divs (c3)'!G4</f>
        <v>c1.27 + c2.3 + c3.1</v>
      </c>
      <c r="D8" s="99">
        <f>'NS income (c1)'!J67 + 'Savings (c2)'!I11 + 'Divs (c3)'!H4</f>
        <v>0</v>
      </c>
      <c r="F8" s="3772" t="s">
        <v>864</v>
      </c>
      <c r="G8" s="3775" t="str">
        <f>G74</f>
        <v>total-CG-due</v>
      </c>
      <c r="H8" s="3773" t="str">
        <f>'Tax adj (c9)'!F115</f>
        <v>c9.35</v>
      </c>
      <c r="I8" s="3774">
        <v>0</v>
      </c>
    </row>
    <row r="9" spans="1:9" ht="12" customHeight="1" x14ac:dyDescent="0.35">
      <c r="A9" s="934" t="s">
        <v>635</v>
      </c>
      <c r="B9" s="935" t="s">
        <v>2528</v>
      </c>
      <c r="C9" s="99" t="str">
        <f>'NS income (c1)'!I84</f>
        <v>c1.34</v>
      </c>
      <c r="D9" s="99">
        <f>'NS income (c1)'!J84</f>
        <v>0</v>
      </c>
      <c r="F9" s="934" t="s">
        <v>2234</v>
      </c>
      <c r="G9" s="935" t="str">
        <f>G35</f>
        <v>non-dom-charge-amount</v>
      </c>
      <c r="H9" s="65" t="str">
        <f>H35</f>
        <v>c19.1</v>
      </c>
      <c r="I9" s="98">
        <f>I35</f>
        <v>0</v>
      </c>
    </row>
    <row r="10" spans="1:9" ht="23.25" customHeight="1" x14ac:dyDescent="0.35">
      <c r="A10" s="934" t="s">
        <v>636</v>
      </c>
      <c r="B10" s="935" t="s">
        <v>4105</v>
      </c>
      <c r="C10" s="2669" t="str">
        <f>'NS income (c1)'!I88&amp;" + "&amp;'NS income (c1)'!I103&amp;" + "&amp;'NS income (c1)'!I109&amp;" + "&amp;'Savings (c2)'!H40&amp;" + "&amp;'Divs (c3)'!G51</f>
        <v>c1.35 + c1.40 + c1.44 + c2.9 + c3.16</v>
      </c>
      <c r="D10" s="99">
        <f>'NS income (c1)'!J88+'NS income (c1)'!J103+'NS income (c1)'!J109+'Savings (c2)'!I40+'Divs (c3)'!H51</f>
        <v>0</v>
      </c>
      <c r="F10" s="934" t="s">
        <v>846</v>
      </c>
      <c r="G10" s="935" t="str">
        <f>G28</f>
        <v>Child-Benefit-tax-charge</v>
      </c>
      <c r="H10" s="65" t="str">
        <f>H28</f>
        <v>c12.8</v>
      </c>
      <c r="I10" s="65">
        <f>I28</f>
        <v>0</v>
      </c>
    </row>
    <row r="11" spans="1:9" ht="12" customHeight="1" x14ac:dyDescent="0.35">
      <c r="A11" s="934" t="s">
        <v>3199</v>
      </c>
      <c r="B11" s="935" t="s">
        <v>3200</v>
      </c>
      <c r="C11" s="2669" t="str">
        <f>'Divs (c3)'!G16</f>
        <v>c3.5</v>
      </c>
      <c r="D11" s="99">
        <f>'Divs (c3)'!H16</f>
        <v>0</v>
      </c>
      <c r="F11" s="934" t="s">
        <v>6574</v>
      </c>
      <c r="G11" s="935" t="s">
        <v>6391</v>
      </c>
      <c r="H11" s="99" t="str">
        <f>'Pensions (c25c26)'!J170</f>
        <v>c25.56</v>
      </c>
      <c r="I11" s="98">
        <f>'Pensions (c25c26)'!K170</f>
        <v>0</v>
      </c>
    </row>
    <row r="12" spans="1:9" ht="20.65" x14ac:dyDescent="0.35">
      <c r="A12" s="934" t="s">
        <v>637</v>
      </c>
      <c r="B12" s="935" t="s">
        <v>2950</v>
      </c>
      <c r="C12" s="2669" t="str">
        <f>'NS income (c1)'!I119&amp;" + "&amp;'Savings (c2)'!H53&amp;" + "&amp;'Divs (c3)'!G32&amp;" + "&amp;'Divs (c3)'!G62&amp;" + "&amp;'Divs (c3)'!G65</f>
        <v>c1.51 + c2.13 + c3.9 + c3.19 + c3.20</v>
      </c>
      <c r="D12" s="99">
        <f>'NS income (c1)'!J119+'Savings (c2)'!I53+'Divs (c3)'!H32+'Divs (c3)'!H62+'Divs (c3)'!H65</f>
        <v>0</v>
      </c>
      <c r="F12" s="934" t="s">
        <v>865</v>
      </c>
      <c r="G12" s="438" t="s">
        <v>1438</v>
      </c>
      <c r="H12" s="2762" t="str">
        <f>'Tax adj (c9)'!F127</f>
        <v>c9.39</v>
      </c>
      <c r="I12" s="66">
        <f>'Tax adj (c9)'!G127</f>
        <v>0</v>
      </c>
    </row>
    <row r="13" spans="1:9" x14ac:dyDescent="0.35">
      <c r="A13" s="934" t="s">
        <v>638</v>
      </c>
      <c r="B13" s="935" t="s">
        <v>1461</v>
      </c>
      <c r="C13" s="99" t="str">
        <f>'Savings (c2)'!H64</f>
        <v>c2.17</v>
      </c>
      <c r="D13" s="99">
        <f>'Savings (c2)'!I64</f>
        <v>0</v>
      </c>
      <c r="F13" s="437" t="s">
        <v>866</v>
      </c>
      <c r="G13" s="438" t="s">
        <v>1440</v>
      </c>
      <c r="H13" s="2763" t="str">
        <f>'Tax adj (c9)'!L127</f>
        <v>c9.40</v>
      </c>
      <c r="I13" s="66">
        <f>'Tax adj (c9)'!M127</f>
        <v>0</v>
      </c>
    </row>
    <row r="14" spans="1:9" x14ac:dyDescent="0.35">
      <c r="A14" s="934" t="s">
        <v>639</v>
      </c>
      <c r="B14" s="935" t="s">
        <v>1439</v>
      </c>
      <c r="C14" s="98" t="str">
        <f>'Divs (c3)'!G42</f>
        <v>c3.14</v>
      </c>
      <c r="D14" s="99">
        <f>'Divs (c3)'!H42</f>
        <v>0</v>
      </c>
      <c r="F14" s="934" t="s">
        <v>868</v>
      </c>
      <c r="G14" s="438" t="s">
        <v>1442</v>
      </c>
      <c r="H14" s="2762" t="str">
        <f>'Tax adj (c9)'!F131</f>
        <v>c9.41</v>
      </c>
      <c r="I14" s="99">
        <f>'Tax adj (c9)'!G131</f>
        <v>0</v>
      </c>
    </row>
    <row r="15" spans="1:9" x14ac:dyDescent="0.35">
      <c r="A15" s="934" t="s">
        <v>917</v>
      </c>
      <c r="B15" s="935" t="s">
        <v>1441</v>
      </c>
      <c r="C15" s="99" t="str">
        <f>'NS income (c1)'!I122</f>
        <v>c1.52</v>
      </c>
      <c r="D15" s="99">
        <f>'NS income (c1)'!J122</f>
        <v>0</v>
      </c>
      <c r="F15" s="65" t="s">
        <v>868</v>
      </c>
      <c r="G15" s="438" t="s">
        <v>1444</v>
      </c>
      <c r="H15" s="2762" t="str">
        <f>'Tax adj (c9)'!L131</f>
        <v>c9.42</v>
      </c>
      <c r="I15" s="66">
        <f>'Tax adj (c9)'!M131</f>
        <v>0</v>
      </c>
    </row>
    <row r="16" spans="1:9" x14ac:dyDescent="0.35">
      <c r="A16" s="934" t="s">
        <v>918</v>
      </c>
      <c r="B16" s="935" t="s">
        <v>1443</v>
      </c>
      <c r="C16" s="99" t="str">
        <f>'Savings (c2)'!H71&amp;" + "&amp;'Divs (c3)'!G54</f>
        <v>c2.18 + c3.17</v>
      </c>
      <c r="D16" s="99">
        <f>'Savings (c2)'!I71+'Divs (c3)'!H54</f>
        <v>0</v>
      </c>
      <c r="F16" s="1781" t="s">
        <v>869</v>
      </c>
      <c r="G16" s="1782" t="s">
        <v>1141</v>
      </c>
      <c r="H16" s="3194" t="str">
        <f>'Div Cr (c10)'!I12&amp;" + "&amp;'Div Cr (c10)'!I18</f>
        <v>c10.4 + c10.5</v>
      </c>
      <c r="I16" s="3194">
        <f>'Div Cr (c10)'!J12+'Div Cr (c10)'!J18</f>
        <v>0</v>
      </c>
    </row>
    <row r="17" spans="1:9" x14ac:dyDescent="0.35">
      <c r="A17" s="934" t="s">
        <v>919</v>
      </c>
      <c r="B17" s="935" t="s">
        <v>1445</v>
      </c>
      <c r="C17" s="99" t="str">
        <f>'NS income (c1)'!I127</f>
        <v>c1.56</v>
      </c>
      <c r="D17" s="99">
        <f>'NS income (c1)'!J127</f>
        <v>0</v>
      </c>
      <c r="F17" s="65" t="s">
        <v>870</v>
      </c>
      <c r="G17" s="935" t="s">
        <v>1812</v>
      </c>
      <c r="H17" s="66" t="str">
        <f>'Tax due (c12)'!I5</f>
        <v>c12.1</v>
      </c>
      <c r="I17" s="66">
        <f>'Tax due (c12)'!J5</f>
        <v>0</v>
      </c>
    </row>
    <row r="18" spans="1:9" x14ac:dyDescent="0.35">
      <c r="A18" s="934" t="s">
        <v>920</v>
      </c>
      <c r="B18" s="935" t="s">
        <v>1142</v>
      </c>
      <c r="C18" s="98" t="str">
        <f>'Divs (c3)'!G69</f>
        <v>c3.21</v>
      </c>
      <c r="D18" s="99">
        <f>'Divs (c3)'!H69</f>
        <v>0</v>
      </c>
      <c r="F18" s="934" t="s">
        <v>3452</v>
      </c>
      <c r="G18" s="935" t="s">
        <v>1814</v>
      </c>
      <c r="H18" s="98" t="str">
        <f>'Class 4 NIC (c16)'!G81</f>
        <v>c16.15</v>
      </c>
      <c r="I18" s="98">
        <f>'Class 4 NIC (c16)'!H81</f>
        <v>0</v>
      </c>
    </row>
    <row r="19" spans="1:9" x14ac:dyDescent="0.35">
      <c r="A19" s="934" t="s">
        <v>2692</v>
      </c>
      <c r="B19" s="935" t="s">
        <v>1817</v>
      </c>
      <c r="C19" s="99" t="str">
        <f>'Deductions (c4)'!H134</f>
        <v>c4.48</v>
      </c>
      <c r="D19" s="99">
        <f>'Deductions (c4)'!I134</f>
        <v>0</v>
      </c>
      <c r="F19" s="934" t="s">
        <v>3452</v>
      </c>
      <c r="G19" s="935" t="s">
        <v>1816</v>
      </c>
      <c r="H19" s="66" t="str">
        <f>'Class 4 NIC (c16)'!J81</f>
        <v>c16.16</v>
      </c>
      <c r="I19" s="66">
        <f>'Class 4 NIC (c16)'!K81</f>
        <v>0</v>
      </c>
    </row>
    <row r="20" spans="1:9" x14ac:dyDescent="0.35">
      <c r="A20" s="934" t="s">
        <v>2693</v>
      </c>
      <c r="B20" s="935" t="s">
        <v>1815</v>
      </c>
      <c r="C20" s="65" t="str">
        <f>'Deductions (c4)'!H146</f>
        <v>c4.54</v>
      </c>
      <c r="D20" s="99">
        <f>'Deductions (c4)'!I146</f>
        <v>0</v>
      </c>
      <c r="F20" s="437" t="s">
        <v>2741</v>
      </c>
      <c r="G20" s="935" t="s">
        <v>1818</v>
      </c>
      <c r="H20" s="98" t="str">
        <f>'Class 4 NIC (c16)'!G84</f>
        <v>c16.17</v>
      </c>
      <c r="I20" s="98">
        <f>'Class 4 NIC (c16)'!H84</f>
        <v>0</v>
      </c>
    </row>
    <row r="21" spans="1:9" x14ac:dyDescent="0.35">
      <c r="A21" s="934" t="s">
        <v>2695</v>
      </c>
      <c r="B21" s="935" t="s">
        <v>1813</v>
      </c>
      <c r="C21" s="65" t="str">
        <f>'Deductions (c4)'!D113</f>
        <v>c4.39</v>
      </c>
      <c r="D21" s="99">
        <f>'Deductions (c4)'!E113</f>
        <v>0</v>
      </c>
      <c r="F21" s="437" t="s">
        <v>2741</v>
      </c>
      <c r="G21" s="935" t="s">
        <v>1819</v>
      </c>
      <c r="H21" s="936" t="str">
        <f>'Class 4 NIC (c16)'!J84</f>
        <v>c16.18</v>
      </c>
      <c r="I21" s="936">
        <f>'Class 4 NIC (c16)'!K84</f>
        <v>0</v>
      </c>
    </row>
    <row r="22" spans="1:9" x14ac:dyDescent="0.35">
      <c r="A22" s="934" t="s">
        <v>2695</v>
      </c>
      <c r="B22" s="935" t="s">
        <v>2925</v>
      </c>
      <c r="C22" s="4" t="str">
        <f>'Deductions (c4)'!D131</f>
        <v>c4.47</v>
      </c>
      <c r="D22" s="98">
        <f>'Deductions (c4)'!E131</f>
        <v>0</v>
      </c>
      <c r="F22" s="437" t="s">
        <v>4634</v>
      </c>
      <c r="G22" s="935" t="s">
        <v>4731</v>
      </c>
      <c r="H22" s="936" t="str">
        <f>'Tax due (c12)'!F8</f>
        <v>c12.2</v>
      </c>
      <c r="I22" s="936">
        <f>'Tax due (c12)'!G8</f>
        <v>0</v>
      </c>
    </row>
    <row r="23" spans="1:9" x14ac:dyDescent="0.35">
      <c r="A23" s="934" t="s">
        <v>2696</v>
      </c>
      <c r="B23" s="935" t="s">
        <v>1397</v>
      </c>
      <c r="C23" s="99" t="str">
        <f>'Deductions (c4)'!H140</f>
        <v>c4.51</v>
      </c>
      <c r="D23" s="99">
        <f>'Deductions (c4)'!I140</f>
        <v>0</v>
      </c>
      <c r="F23" s="437" t="s">
        <v>4732</v>
      </c>
      <c r="G23" s="935" t="s">
        <v>4734</v>
      </c>
      <c r="H23" s="936" t="str">
        <f>'Class 4 NIC (c16)'!J97</f>
        <v>c16.21</v>
      </c>
      <c r="I23" s="936">
        <f>'Class 4 NIC (c16)'!K97</f>
        <v>0</v>
      </c>
    </row>
    <row r="24" spans="1:9" x14ac:dyDescent="0.35">
      <c r="A24" s="934" t="s">
        <v>1820</v>
      </c>
      <c r="B24" s="935" t="s">
        <v>1399</v>
      </c>
      <c r="C24" s="99" t="str">
        <f>'Deductions (c4)'!H137</f>
        <v>c4.49</v>
      </c>
      <c r="D24" s="99">
        <f>'Deductions (c4)'!I137</f>
        <v>0</v>
      </c>
      <c r="F24" s="437" t="s">
        <v>4733</v>
      </c>
      <c r="G24" s="935" t="s">
        <v>4635</v>
      </c>
      <c r="H24" s="936" t="str">
        <f>'Tax due (c12)'!F16</f>
        <v>c12.3</v>
      </c>
      <c r="I24" s="936">
        <f>'Tax due (c12)'!G16</f>
        <v>0</v>
      </c>
    </row>
    <row r="25" spans="1:9" x14ac:dyDescent="0.35">
      <c r="A25" s="934" t="s">
        <v>1821</v>
      </c>
      <c r="B25" s="935" t="s">
        <v>1402</v>
      </c>
      <c r="C25" s="65" t="str">
        <f>'Deductions (c4)'!H196</f>
        <v>c4.64</v>
      </c>
      <c r="D25" s="99">
        <f>'Deductions (c4)'!I196</f>
        <v>11500</v>
      </c>
      <c r="F25" s="437" t="s">
        <v>2742</v>
      </c>
      <c r="G25" s="438" t="s">
        <v>1398</v>
      </c>
      <c r="H25" s="66" t="str">
        <f>'Tax due (c12)'!I19</f>
        <v>c12.4</v>
      </c>
      <c r="I25" s="66">
        <f>'Tax due (c12)'!J19</f>
        <v>0</v>
      </c>
    </row>
    <row r="26" spans="1:9" x14ac:dyDescent="0.35">
      <c r="A26" s="934" t="s">
        <v>4642</v>
      </c>
      <c r="B26" s="935" t="s">
        <v>4643</v>
      </c>
      <c r="C26" s="98" t="str">
        <f>'Deductions (c4)'!H232</f>
        <v>c4.68</v>
      </c>
      <c r="D26" s="99">
        <f>'Deductions (c4)'!I232</f>
        <v>0</v>
      </c>
      <c r="F26" s="437" t="s">
        <v>38</v>
      </c>
      <c r="G26" s="438" t="s">
        <v>1400</v>
      </c>
      <c r="H26" s="66" t="str">
        <f>'Tax due (c12)'!F25</f>
        <v>c12.6</v>
      </c>
      <c r="I26" s="66">
        <f>'Tax due (c12)'!G25</f>
        <v>0</v>
      </c>
    </row>
    <row r="27" spans="1:9" x14ac:dyDescent="0.35">
      <c r="A27" s="934" t="s">
        <v>62</v>
      </c>
      <c r="B27" s="935" t="s">
        <v>4194</v>
      </c>
      <c r="C27" s="65" t="str">
        <f>'Deductions (c4)'!H203</f>
        <v>c4.65</v>
      </c>
      <c r="D27" s="99">
        <f>'Deductions (c4)'!I203</f>
        <v>0</v>
      </c>
      <c r="F27" s="437" t="s">
        <v>39</v>
      </c>
      <c r="G27" s="438" t="s">
        <v>1401</v>
      </c>
      <c r="H27" s="99" t="str">
        <f>'Tax due (c12)'!F28</f>
        <v>c12.7</v>
      </c>
      <c r="I27" s="66">
        <f>'Tax due (c12)'!G28</f>
        <v>0</v>
      </c>
    </row>
    <row r="28" spans="1:9" x14ac:dyDescent="0.35">
      <c r="A28" s="934" t="s">
        <v>63</v>
      </c>
      <c r="B28" s="935" t="s">
        <v>2458</v>
      </c>
      <c r="C28" s="65" t="str">
        <f>'Deductions (c4)'!H206</f>
        <v>c4.66</v>
      </c>
      <c r="D28" s="99">
        <f>'Deductions (c4)'!I206</f>
        <v>0</v>
      </c>
      <c r="F28" s="437" t="s">
        <v>60</v>
      </c>
      <c r="G28" s="438" t="s">
        <v>2611</v>
      </c>
      <c r="H28" s="99" t="str">
        <f>'Tax due (c12)'!F31</f>
        <v>c12.8</v>
      </c>
      <c r="I28" s="66">
        <f>'Tax due (c12)'!G31</f>
        <v>0</v>
      </c>
    </row>
    <row r="29" spans="1:9" x14ac:dyDescent="0.35">
      <c r="A29" s="934" t="s">
        <v>64</v>
      </c>
      <c r="B29" s="935" t="s">
        <v>654</v>
      </c>
      <c r="C29" s="65" t="str">
        <f>'Deductions (c4)'!L248</f>
        <v>c4.71</v>
      </c>
      <c r="D29" s="99">
        <f>'Deductions (c4)'!M248</f>
        <v>0</v>
      </c>
      <c r="F29" s="934" t="s">
        <v>3537</v>
      </c>
      <c r="G29" s="438" t="s">
        <v>3182</v>
      </c>
      <c r="H29" s="3547" t="str">
        <f>'Pensions (c25c26)'!D147</f>
        <v>c25.51</v>
      </c>
      <c r="I29" s="66">
        <f>'Pensions (c25c26)'!E147</f>
        <v>0</v>
      </c>
    </row>
    <row r="30" spans="1:9" x14ac:dyDescent="0.35">
      <c r="A30" s="934" t="s">
        <v>65</v>
      </c>
      <c r="B30" s="935" t="s">
        <v>3579</v>
      </c>
      <c r="C30" s="65" t="str">
        <f>'Deductions (c4)'!L255</f>
        <v>c4.72</v>
      </c>
      <c r="D30" s="99">
        <f>'Deductions (c4)'!M255</f>
        <v>11500</v>
      </c>
      <c r="F30" s="934" t="s">
        <v>3537</v>
      </c>
      <c r="G30" s="438" t="s">
        <v>3183</v>
      </c>
      <c r="H30" s="3547" t="str">
        <f>'Pensions (c25c26)'!D150</f>
        <v>c25.52</v>
      </c>
      <c r="I30" s="66">
        <f>'Pensions (c25c26)'!E150</f>
        <v>0</v>
      </c>
    </row>
    <row r="31" spans="1:9" x14ac:dyDescent="0.35">
      <c r="A31" s="934" t="s">
        <v>67</v>
      </c>
      <c r="B31" s="935" t="s">
        <v>3582</v>
      </c>
      <c r="C31" s="1508" t="str">
        <f>'Taxable (c5)'!AK164</f>
        <v>c5.86</v>
      </c>
      <c r="D31" s="1509">
        <f>'Taxable (c5)'!AL164</f>
        <v>0</v>
      </c>
      <c r="F31" s="437" t="s">
        <v>3537</v>
      </c>
      <c r="G31" s="438" t="s">
        <v>61</v>
      </c>
      <c r="H31" s="99" t="str">
        <f>'Tax due (c12)'!F34</f>
        <v>c12.9</v>
      </c>
      <c r="I31" s="66">
        <f>'Tax due (c12)'!G34</f>
        <v>0</v>
      </c>
    </row>
    <row r="32" spans="1:9" ht="12.75" customHeight="1" x14ac:dyDescent="0.35">
      <c r="A32" s="934" t="s">
        <v>70</v>
      </c>
      <c r="B32" s="935" t="s">
        <v>1892</v>
      </c>
      <c r="C32" s="99" t="str">
        <f>'Deductions (c4)'!H159</f>
        <v>c4.58</v>
      </c>
      <c r="D32" s="99">
        <f>'Deductions (c4)'!I159</f>
        <v>0</v>
      </c>
      <c r="F32" s="437" t="s">
        <v>576</v>
      </c>
      <c r="G32" s="438" t="s">
        <v>3538</v>
      </c>
      <c r="H32" s="99" t="str">
        <f>'Pensions (c25c26)'!G179</f>
        <v>c26.1</v>
      </c>
      <c r="I32" s="99">
        <f>'Pensions (c25c26)'!H179</f>
        <v>0</v>
      </c>
    </row>
    <row r="33" spans="1:9" x14ac:dyDescent="0.35">
      <c r="A33" s="934" t="s">
        <v>70</v>
      </c>
      <c r="B33" s="935" t="s">
        <v>3024</v>
      </c>
      <c r="C33" s="98" t="str">
        <f>'Deductions (c4)'!H155</f>
        <v>c4.57</v>
      </c>
      <c r="D33" s="99">
        <f>'Deductions (c4)'!I155</f>
        <v>0</v>
      </c>
      <c r="F33" s="437" t="s">
        <v>576</v>
      </c>
      <c r="G33" s="438" t="s">
        <v>3539</v>
      </c>
      <c r="H33" s="99" t="str">
        <f>'Pensions (c25c26)'!G207</f>
        <v>c26.2</v>
      </c>
      <c r="I33" s="439">
        <f>'Pensions (c25c26)'!H207</f>
        <v>0</v>
      </c>
    </row>
    <row r="34" spans="1:9" x14ac:dyDescent="0.35">
      <c r="A34" s="934" t="s">
        <v>70</v>
      </c>
      <c r="B34" s="935" t="s">
        <v>3027</v>
      </c>
      <c r="C34" s="3229" t="str">
        <f>'Taxable (c5)'!Y8</f>
        <v>c5.2a</v>
      </c>
      <c r="D34" s="3230">
        <f>'Taxable (c5)'!Z8</f>
        <v>33500</v>
      </c>
      <c r="F34" s="437" t="s">
        <v>576</v>
      </c>
      <c r="G34" s="438" t="s">
        <v>3540</v>
      </c>
      <c r="H34" s="99" t="str">
        <f>'Tax due (c12)'!F37</f>
        <v>c12.10</v>
      </c>
      <c r="I34" s="66">
        <f>'Tax due (c12)'!G37</f>
        <v>0</v>
      </c>
    </row>
    <row r="35" spans="1:9" x14ac:dyDescent="0.35">
      <c r="A35" s="3231" t="s">
        <v>7860</v>
      </c>
      <c r="B35" s="3232" t="s">
        <v>1892</v>
      </c>
      <c r="C35" s="3230" t="str">
        <f>'Deductions (c4)'!H159</f>
        <v>c4.58</v>
      </c>
      <c r="D35" s="3230">
        <f>'Deductions (c4)'!I159</f>
        <v>0</v>
      </c>
      <c r="F35" s="934" t="s">
        <v>2610</v>
      </c>
      <c r="G35" s="935" t="s">
        <v>577</v>
      </c>
      <c r="H35" s="99" t="str">
        <f>'RBC (c19)'!C20</f>
        <v>c19.1</v>
      </c>
      <c r="I35" s="936">
        <f>'RBC (c19)'!D20</f>
        <v>0</v>
      </c>
    </row>
    <row r="36" spans="1:9" x14ac:dyDescent="0.35">
      <c r="A36" s="3231" t="s">
        <v>7860</v>
      </c>
      <c r="B36" s="3232" t="s">
        <v>3024</v>
      </c>
      <c r="C36" s="3229" t="str">
        <f>'Deductions (c4)'!H155</f>
        <v>c4.57</v>
      </c>
      <c r="D36" s="3230">
        <f>'Deductions (c4)'!I155</f>
        <v>0</v>
      </c>
      <c r="F36" s="934" t="s">
        <v>6388</v>
      </c>
      <c r="G36" s="935" t="s">
        <v>6391</v>
      </c>
      <c r="H36" s="3230" t="str">
        <f>'Pensions (c25c26)'!J170</f>
        <v>c25.56</v>
      </c>
      <c r="I36" s="936">
        <f>'Pensions (c25c26)'!K170</f>
        <v>0</v>
      </c>
    </row>
    <row r="37" spans="1:9" x14ac:dyDescent="0.35">
      <c r="A37" s="3231" t="s">
        <v>7860</v>
      </c>
      <c r="B37" s="3232" t="s">
        <v>7863</v>
      </c>
      <c r="C37" s="3229" t="str">
        <f>'Taxable (c5)'!Q8</f>
        <v>c5.2</v>
      </c>
      <c r="D37" s="3230">
        <f>'Taxable (c5)'!R8</f>
        <v>33500</v>
      </c>
      <c r="F37" s="934" t="s">
        <v>6389</v>
      </c>
      <c r="G37" s="935" t="s">
        <v>6392</v>
      </c>
      <c r="H37" s="3230" t="str">
        <f>'Pensions (c25c26)'!J173</f>
        <v>c25.57</v>
      </c>
      <c r="I37" s="936">
        <f>'Pensions (c25c26)'!K173</f>
        <v>0</v>
      </c>
    </row>
    <row r="38" spans="1:9" x14ac:dyDescent="0.35">
      <c r="A38" s="3231" t="s">
        <v>7860</v>
      </c>
      <c r="B38" s="3232" t="s">
        <v>3027</v>
      </c>
      <c r="C38" s="3229" t="str">
        <f>'Taxable (c5)'!Y8</f>
        <v>c5.2a</v>
      </c>
      <c r="D38" s="3230">
        <f>'Taxable (c5)'!Z8</f>
        <v>33500</v>
      </c>
      <c r="F38" s="437" t="s">
        <v>40</v>
      </c>
      <c r="G38" s="438" t="s">
        <v>4192</v>
      </c>
      <c r="H38" s="66" t="str">
        <f>'Tax due (c12)'!I43</f>
        <v>c12.12</v>
      </c>
      <c r="I38" s="66">
        <f>'Tax due (c12)'!J43</f>
        <v>0</v>
      </c>
    </row>
    <row r="39" spans="1:9" x14ac:dyDescent="0.35">
      <c r="A39" s="934" t="s">
        <v>73</v>
      </c>
      <c r="B39" s="438" t="s">
        <v>1583</v>
      </c>
      <c r="C39" s="98" t="str">
        <f>'tax it (c8)'!C15</f>
        <v>c8.1</v>
      </c>
      <c r="D39" s="99">
        <f>'tax it (c8)'!D15</f>
        <v>0</v>
      </c>
      <c r="F39" s="937" t="s">
        <v>2707</v>
      </c>
      <c r="G39" s="938" t="s">
        <v>4193</v>
      </c>
      <c r="H39" s="1051" t="str">
        <f>'Tax paid (c11)'!I18</f>
        <v>c11.5</v>
      </c>
      <c r="I39" s="1052">
        <f>'Tax paid (c11)'!J18</f>
        <v>0</v>
      </c>
    </row>
    <row r="40" spans="1:9" x14ac:dyDescent="0.35">
      <c r="A40" s="934" t="s">
        <v>73</v>
      </c>
      <c r="B40" s="438" t="s">
        <v>1598</v>
      </c>
      <c r="C40" s="936" t="str">
        <f>'tax it (c8)'!G15</f>
        <v>c8.2</v>
      </c>
      <c r="D40" s="66">
        <f>'tax it (c8)'!H15</f>
        <v>0</v>
      </c>
      <c r="F40" s="934" t="s">
        <v>2175</v>
      </c>
      <c r="G40" s="935" t="s">
        <v>2176</v>
      </c>
      <c r="H40" s="1052" t="str">
        <f>'Tax paid (c11)'!I21</f>
        <v>c11.6</v>
      </c>
      <c r="I40" s="1052">
        <f>'Tax paid (c11)'!J21</f>
        <v>0</v>
      </c>
    </row>
    <row r="41" spans="1:9" x14ac:dyDescent="0.35">
      <c r="A41" s="934" t="s">
        <v>74</v>
      </c>
      <c r="B41" s="438" t="s">
        <v>3846</v>
      </c>
      <c r="C41" s="98" t="str">
        <f>'tax it (c8)'!C23</f>
        <v>c8.3</v>
      </c>
      <c r="D41" s="99">
        <f>'tax it (c8)'!D23</f>
        <v>0</v>
      </c>
      <c r="F41" s="934" t="s">
        <v>2175</v>
      </c>
      <c r="G41" s="935" t="s">
        <v>2177</v>
      </c>
      <c r="H41" s="1052" t="str">
        <f>'Tax paid (c11)'!I30</f>
        <v>c11.7</v>
      </c>
      <c r="I41" s="1052">
        <f>'Tax paid (c11)'!J30</f>
        <v>0</v>
      </c>
    </row>
    <row r="42" spans="1:9" x14ac:dyDescent="0.35">
      <c r="A42" s="934" t="s">
        <v>74</v>
      </c>
      <c r="B42" s="438" t="s">
        <v>3849</v>
      </c>
      <c r="C42" s="936" t="str">
        <f>'tax it (c8)'!G23</f>
        <v>c8.4</v>
      </c>
      <c r="D42" s="66">
        <f>'tax it (c8)'!H23</f>
        <v>0</v>
      </c>
      <c r="F42" s="934" t="s">
        <v>2178</v>
      </c>
      <c r="G42" s="935" t="s">
        <v>2179</v>
      </c>
      <c r="H42" s="1052" t="str">
        <f>'Tax paid (c11)'!I33</f>
        <v>c11.8</v>
      </c>
      <c r="I42" s="1052">
        <f>'Tax paid (c11)'!J33</f>
        <v>0</v>
      </c>
    </row>
    <row r="43" spans="1:9" x14ac:dyDescent="0.35">
      <c r="A43" s="934" t="s">
        <v>3964</v>
      </c>
      <c r="B43" s="438" t="s">
        <v>3192</v>
      </c>
      <c r="C43" s="66" t="str">
        <f>'tax it (c8)'!C31</f>
        <v>c8.5</v>
      </c>
      <c r="D43" s="98">
        <f>'tax it (c8)'!D31</f>
        <v>0</v>
      </c>
      <c r="F43" s="437" t="s">
        <v>3498</v>
      </c>
      <c r="G43" s="438" t="s">
        <v>2457</v>
      </c>
      <c r="H43" s="99" t="str">
        <f>'Tax paid (c11)'!I36&amp;" + "&amp;'Tax paid (c11)'!I39&amp;" + "&amp;'Tax paid (c11)'!I42</f>
        <v>c11.9 + c11.10 + c11.11</v>
      </c>
      <c r="I43" s="66">
        <f>'Tax paid (c11)'!J36+'Tax paid (c11)'!J39+'Tax paid (c11)'!J42</f>
        <v>0</v>
      </c>
    </row>
    <row r="44" spans="1:9" x14ac:dyDescent="0.35">
      <c r="A44" s="934" t="s">
        <v>3964</v>
      </c>
      <c r="B44" s="438" t="s">
        <v>3193</v>
      </c>
      <c r="C44" s="66" t="str">
        <f>'tax it (c8)'!G31</f>
        <v>c8.6</v>
      </c>
      <c r="D44" s="66">
        <f>'tax it (c8)'!H31</f>
        <v>0</v>
      </c>
      <c r="F44" s="437" t="s">
        <v>2459</v>
      </c>
      <c r="G44" s="438" t="s">
        <v>653</v>
      </c>
      <c r="H44" s="65" t="str">
        <f>'Tax paid (c11)'!I45&amp;" + "&amp;'Tax paid (c11)'!I48</f>
        <v>c11.12 + c11.13</v>
      </c>
      <c r="I44" s="66">
        <f>'Tax paid (c11)'!J45+'Tax paid (c11)'!J48</f>
        <v>0</v>
      </c>
    </row>
    <row r="45" spans="1:9" ht="12" customHeight="1" x14ac:dyDescent="0.35">
      <c r="A45" s="934" t="s">
        <v>5468</v>
      </c>
      <c r="B45" s="438" t="s">
        <v>3611</v>
      </c>
      <c r="C45" s="98" t="str">
        <f>'tax it (c8)'!C36</f>
        <v>c8.7</v>
      </c>
      <c r="D45" s="99">
        <f>'tax it (c8)'!D36</f>
        <v>0</v>
      </c>
      <c r="F45" s="437" t="s">
        <v>3577</v>
      </c>
      <c r="G45" s="438" t="s">
        <v>3578</v>
      </c>
      <c r="H45" s="65" t="str">
        <f>'Tax paid (c11)'!I51</f>
        <v>c11.14</v>
      </c>
      <c r="I45" s="66">
        <f>'Tax paid (c11)'!J51</f>
        <v>0</v>
      </c>
    </row>
    <row r="46" spans="1:9" ht="12" customHeight="1" x14ac:dyDescent="0.35">
      <c r="A46" s="934" t="s">
        <v>5468</v>
      </c>
      <c r="B46" s="438" t="s">
        <v>1716</v>
      </c>
      <c r="C46" s="936" t="str">
        <f>'tax it (c8)'!G36</f>
        <v>c8.8</v>
      </c>
      <c r="D46" s="66">
        <f>'tax it (c8)'!H36</f>
        <v>0</v>
      </c>
      <c r="F46" s="437" t="s">
        <v>3580</v>
      </c>
      <c r="G46" s="438" t="s">
        <v>3581</v>
      </c>
      <c r="H46" s="65" t="str">
        <f>'Tax paid (c11)'!I54</f>
        <v>c11.15</v>
      </c>
      <c r="I46" s="66">
        <f>'Tax paid (c11)'!J54</f>
        <v>0</v>
      </c>
    </row>
    <row r="47" spans="1:9" x14ac:dyDescent="0.35">
      <c r="A47" s="934" t="s">
        <v>5469</v>
      </c>
      <c r="B47" s="935" t="s">
        <v>5473</v>
      </c>
      <c r="C47" s="98" t="str">
        <f>'tax it (c8)'!C39</f>
        <v>c8.9</v>
      </c>
      <c r="D47" s="99">
        <f>'tax it (c8)'!D39</f>
        <v>0</v>
      </c>
      <c r="F47" s="437" t="s">
        <v>710</v>
      </c>
      <c r="G47" s="438" t="s">
        <v>1891</v>
      </c>
      <c r="H47" s="65" t="str">
        <f>'Tax paid (c11)'!I68</f>
        <v>c11.25</v>
      </c>
      <c r="I47" s="66">
        <f>'Tax paid (c11)'!J68</f>
        <v>0</v>
      </c>
    </row>
    <row r="48" spans="1:9" x14ac:dyDescent="0.35">
      <c r="A48" s="934" t="s">
        <v>800</v>
      </c>
      <c r="B48" s="438" t="s">
        <v>1717</v>
      </c>
      <c r="C48" s="98" t="str">
        <f>'tax it (c8)'!C42</f>
        <v>c8.11</v>
      </c>
      <c r="D48" s="99">
        <f>'tax it (c8)'!D42</f>
        <v>0</v>
      </c>
      <c r="F48" s="437" t="s">
        <v>1893</v>
      </c>
      <c r="G48" s="438" t="s">
        <v>3023</v>
      </c>
      <c r="H48" s="65" t="str">
        <f>'Tax paid (c11)'!I71</f>
        <v>c11.26</v>
      </c>
      <c r="I48" s="66">
        <f>'Tax paid (c11)'!J71</f>
        <v>0</v>
      </c>
    </row>
    <row r="49" spans="1:9" x14ac:dyDescent="0.35">
      <c r="A49" s="934" t="s">
        <v>800</v>
      </c>
      <c r="B49" s="438" t="s">
        <v>1718</v>
      </c>
      <c r="C49" s="936" t="str">
        <f>'tax it (c8)'!G42</f>
        <v>c8.12</v>
      </c>
      <c r="D49" s="66">
        <f>'tax it (c8)'!H42</f>
        <v>0</v>
      </c>
      <c r="F49" s="437" t="s">
        <v>3025</v>
      </c>
      <c r="G49" s="438" t="s">
        <v>3026</v>
      </c>
      <c r="H49" s="99" t="str">
        <f>'Tax paid (c11)'!I74&amp;" + "&amp;'Tax paid (c11)'!I77</f>
        <v>c11.27 + c11.28</v>
      </c>
      <c r="I49" s="66">
        <f>'Tax paid (c11)'!J74+'Tax paid (c11)'!J77</f>
        <v>0</v>
      </c>
    </row>
    <row r="50" spans="1:9" x14ac:dyDescent="0.35">
      <c r="A50" s="934" t="s">
        <v>801</v>
      </c>
      <c r="B50" s="438" t="s">
        <v>1719</v>
      </c>
      <c r="C50" s="98" t="str">
        <f>'tax it (c8)'!C45</f>
        <v>c8.13</v>
      </c>
      <c r="D50" s="99">
        <f>'tax it (c8)'!D45</f>
        <v>0</v>
      </c>
      <c r="F50" s="437" t="s">
        <v>3028</v>
      </c>
      <c r="G50" s="438" t="s">
        <v>3029</v>
      </c>
      <c r="H50" s="65" t="str">
        <f>'Tax paid (c11)'!I80</f>
        <v>c11.29</v>
      </c>
      <c r="I50" s="66">
        <f>'Tax paid (c11)'!J80</f>
        <v>0</v>
      </c>
    </row>
    <row r="51" spans="1:9" x14ac:dyDescent="0.35">
      <c r="A51" s="934" t="s">
        <v>801</v>
      </c>
      <c r="B51" s="438" t="s">
        <v>1720</v>
      </c>
      <c r="C51" s="936" t="str">
        <f>'tax it (c8)'!G45</f>
        <v>c8.14</v>
      </c>
      <c r="D51" s="66">
        <f>'tax it (c8)'!H45</f>
        <v>0</v>
      </c>
      <c r="F51" s="437" t="s">
        <v>1581</v>
      </c>
      <c r="G51" s="438" t="s">
        <v>1582</v>
      </c>
      <c r="H51" s="99" t="str">
        <f>'Tax paid (c11)'!I83</f>
        <v>c11.30</v>
      </c>
      <c r="I51" s="66">
        <f>'Tax paid (c11)'!J83</f>
        <v>0</v>
      </c>
    </row>
    <row r="52" spans="1:9" x14ac:dyDescent="0.35">
      <c r="A52" s="934" t="s">
        <v>3228</v>
      </c>
      <c r="B52" s="438" t="s">
        <v>3229</v>
      </c>
      <c r="C52" s="66" t="str">
        <f>'tax it (c8)'!C48</f>
        <v>c8.15</v>
      </c>
      <c r="D52" s="99">
        <f>'tax it (c8)'!D48</f>
        <v>0</v>
      </c>
      <c r="F52" s="437" t="s">
        <v>1584</v>
      </c>
      <c r="G52" s="438" t="s">
        <v>3845</v>
      </c>
      <c r="H52" s="99" t="str">
        <f>'Tax due (c12)'!F49</f>
        <v>c12.14</v>
      </c>
      <c r="I52" s="66">
        <f>'Tax due (c12)'!G49</f>
        <v>0</v>
      </c>
    </row>
    <row r="53" spans="1:9" x14ac:dyDescent="0.35">
      <c r="A53" s="934" t="s">
        <v>3228</v>
      </c>
      <c r="B53" s="438" t="s">
        <v>1469</v>
      </c>
      <c r="C53" s="66" t="str">
        <f>'tax it (c8)'!G48</f>
        <v>c8.16</v>
      </c>
      <c r="D53" s="66">
        <f>'tax it (c8)'!H48</f>
        <v>0</v>
      </c>
      <c r="F53" s="437" t="s">
        <v>2636</v>
      </c>
      <c r="G53" s="438" t="s">
        <v>1585</v>
      </c>
      <c r="H53" s="99" t="str">
        <f>'Tax due (c12)'!I52</f>
        <v>c12.15</v>
      </c>
      <c r="I53" s="66">
        <f>'Tax due (c12)'!J52</f>
        <v>0</v>
      </c>
    </row>
    <row r="54" spans="1:9" x14ac:dyDescent="0.35">
      <c r="A54" s="934" t="s">
        <v>5493</v>
      </c>
      <c r="B54" s="3232" t="s">
        <v>8034</v>
      </c>
      <c r="C54" s="3229" t="str">
        <f>'tax it (c6)'!N44</f>
        <v>c6.27</v>
      </c>
      <c r="D54" s="3230">
        <f>'tax it (c6)'!O44</f>
        <v>0</v>
      </c>
      <c r="F54" s="3473" t="s">
        <v>7840</v>
      </c>
      <c r="G54" s="3474" t="s">
        <v>8161</v>
      </c>
      <c r="H54" s="3475" t="str">
        <f>'Tax due (c12)'!I88</f>
        <v>c12.22</v>
      </c>
      <c r="I54" s="3476">
        <f>box_18_3_1</f>
        <v>0</v>
      </c>
    </row>
    <row r="55" spans="1:9" x14ac:dyDescent="0.35">
      <c r="A55" s="934" t="s">
        <v>5494</v>
      </c>
      <c r="B55" s="438" t="s">
        <v>1721</v>
      </c>
      <c r="C55" s="98" t="str">
        <f>'tax it (c8)'!C56</f>
        <v>c8.19</v>
      </c>
      <c r="D55" s="99">
        <f>'tax it (c8)'!D56</f>
        <v>0</v>
      </c>
      <c r="F55" s="3473" t="s">
        <v>7841</v>
      </c>
      <c r="G55" s="3474" t="s">
        <v>8162</v>
      </c>
      <c r="H55" s="3475" t="str">
        <f>'Tax due (c12)'!I92</f>
        <v>c12.23</v>
      </c>
      <c r="I55" s="3476">
        <f>box_18_3_2</f>
        <v>0</v>
      </c>
    </row>
    <row r="56" spans="1:9" x14ac:dyDescent="0.35">
      <c r="A56" s="934" t="s">
        <v>5494</v>
      </c>
      <c r="B56" s="438" t="s">
        <v>4048</v>
      </c>
      <c r="C56" s="936" t="str">
        <f>'tax it (c8)'!G56</f>
        <v>c8.20</v>
      </c>
      <c r="D56" s="66">
        <f>'tax it (c8)'!H56</f>
        <v>0</v>
      </c>
      <c r="F56" s="3473" t="s">
        <v>7842</v>
      </c>
      <c r="G56" s="3474" t="s">
        <v>8163</v>
      </c>
      <c r="H56" s="3475" t="str">
        <f>'Tax due (c12)'!I62</f>
        <v>c12.18</v>
      </c>
      <c r="I56" s="3476">
        <f>box_18_3</f>
        <v>0</v>
      </c>
    </row>
    <row r="57" spans="1:9" x14ac:dyDescent="0.35">
      <c r="A57" s="3473" t="s">
        <v>8036</v>
      </c>
      <c r="B57" s="3232" t="s">
        <v>8041</v>
      </c>
      <c r="C57" s="3229" t="str">
        <f>'tax it (c6)'!N59</f>
        <v>c6.32</v>
      </c>
      <c r="D57" s="3476">
        <f>'tax it (c6)'!O59</f>
        <v>0</v>
      </c>
      <c r="F57" s="437" t="s">
        <v>3847</v>
      </c>
      <c r="G57" s="438" t="s">
        <v>3848</v>
      </c>
      <c r="H57" s="65" t="str">
        <f>'Tax due (c12)'!I55&amp;" (Absolute value)"</f>
        <v>c12.16 (Absolute value)</v>
      </c>
      <c r="I57" s="66">
        <f>ABS('Tax due (c12)'!J55)</f>
        <v>0</v>
      </c>
    </row>
    <row r="58" spans="1:9" x14ac:dyDescent="0.35">
      <c r="A58" s="934" t="s">
        <v>803</v>
      </c>
      <c r="B58" s="438" t="s">
        <v>3597</v>
      </c>
      <c r="C58" s="98" t="str">
        <f>'tax it (c8)'!C59</f>
        <v>c8.21</v>
      </c>
      <c r="D58" s="99">
        <f>'tax it (c8)'!D59</f>
        <v>0</v>
      </c>
      <c r="F58" s="437" t="s">
        <v>5814</v>
      </c>
      <c r="G58" s="438" t="s">
        <v>3851</v>
      </c>
      <c r="H58" s="98" t="str">
        <f>'CG (c18)'!C60&amp;" + "&amp;'CG (c18)'!I60&amp;" + "&amp;'CG (c18)'!L60</f>
        <v>c18.27 + c18.28 + c18.29</v>
      </c>
      <c r="I58" s="99">
        <f>'CG (c18)'!D60+'CG (c18)'!J60+'CG (c18)'!M60</f>
        <v>0</v>
      </c>
    </row>
    <row r="59" spans="1:9" x14ac:dyDescent="0.35">
      <c r="A59" s="934" t="s">
        <v>803</v>
      </c>
      <c r="B59" s="438" t="s">
        <v>3600</v>
      </c>
      <c r="C59" s="936" t="str">
        <f>'tax it (c8)'!G59</f>
        <v>c8.22</v>
      </c>
      <c r="D59" s="66">
        <f>'tax it (c8)'!H59</f>
        <v>0</v>
      </c>
      <c r="F59" s="437" t="s">
        <v>3850</v>
      </c>
      <c r="G59" s="935" t="s">
        <v>2426</v>
      </c>
      <c r="H59" s="65" t="str">
        <f>'CG (c18)'!L60</f>
        <v>c18.29</v>
      </c>
      <c r="I59" s="936">
        <f>'CG (c18)'!M60</f>
        <v>0</v>
      </c>
    </row>
    <row r="60" spans="1:9" x14ac:dyDescent="0.35">
      <c r="A60" s="3473" t="s">
        <v>8037</v>
      </c>
      <c r="B60" s="3232" t="s">
        <v>8169</v>
      </c>
      <c r="C60" s="3229" t="str">
        <f>'tax it (c6)'!N38&amp;" minus ("&amp;'tax it (c6)'!N44&amp;" + "&amp;'tax it (c6)'!N59&amp;")"</f>
        <v>c6.25 minus (c6.27 + c6.32)</v>
      </c>
      <c r="D60" s="3476">
        <f>'tax it (c6)'!O38-('tax it (c6)'!O44+'tax it (c6)'!O59)</f>
        <v>0</v>
      </c>
      <c r="F60" s="437" t="s">
        <v>3850</v>
      </c>
      <c r="G60" s="935" t="s">
        <v>2427</v>
      </c>
      <c r="H60" s="65" t="str">
        <f>'CG (c18)'!O63</f>
        <v>c18.30</v>
      </c>
      <c r="I60" s="936">
        <f>'CG (c18)'!P63</f>
        <v>0</v>
      </c>
    </row>
    <row r="61" spans="1:9" x14ac:dyDescent="0.35">
      <c r="A61" s="934" t="s">
        <v>1470</v>
      </c>
      <c r="B61" s="438" t="s">
        <v>1471</v>
      </c>
      <c r="C61" s="66" t="str">
        <f>'tax it (c8)'!C62</f>
        <v>c8.23</v>
      </c>
      <c r="D61" s="99">
        <f>'tax it (c8)'!D62</f>
        <v>0</v>
      </c>
      <c r="F61" s="934" t="s">
        <v>2425</v>
      </c>
      <c r="G61" s="935" t="s">
        <v>5817</v>
      </c>
      <c r="H61" s="65" t="str">
        <f>'CG (c18)'!I99</f>
        <v>c18.41</v>
      </c>
      <c r="I61" s="936">
        <f>'CG (c18)'!J99</f>
        <v>0</v>
      </c>
    </row>
    <row r="62" spans="1:9" x14ac:dyDescent="0.35">
      <c r="A62" s="934" t="s">
        <v>1470</v>
      </c>
      <c r="B62" s="438" t="s">
        <v>2424</v>
      </c>
      <c r="C62" s="66" t="str">
        <f>'tax it (c8)'!G62</f>
        <v>c8.24</v>
      </c>
      <c r="D62" s="66">
        <f>'tax it (c8)'!H62</f>
        <v>0</v>
      </c>
      <c r="F62" s="934" t="s">
        <v>2425</v>
      </c>
      <c r="G62" s="935" t="s">
        <v>5818</v>
      </c>
      <c r="H62" s="65" t="str">
        <f>'CG (c18)'!O99</f>
        <v>c18.42</v>
      </c>
      <c r="I62" s="936">
        <f>'CG (c18)'!P99</f>
        <v>0</v>
      </c>
    </row>
    <row r="63" spans="1:9" x14ac:dyDescent="0.35">
      <c r="A63" s="934" t="s">
        <v>804</v>
      </c>
      <c r="B63" s="935" t="str">
        <f>B31</f>
        <v>taxable-income</v>
      </c>
      <c r="C63" s="65" t="str">
        <f>C31</f>
        <v>c5.86</v>
      </c>
      <c r="D63" s="98">
        <f>D31</f>
        <v>0</v>
      </c>
      <c r="F63" s="934" t="s">
        <v>5815</v>
      </c>
      <c r="G63" s="935" t="s">
        <v>5819</v>
      </c>
      <c r="H63" s="65" t="str">
        <f>'CG (c18)'!I102</f>
        <v>c18.43</v>
      </c>
      <c r="I63" s="936">
        <f>'CG (c18)'!J102</f>
        <v>0</v>
      </c>
    </row>
    <row r="64" spans="1:9" x14ac:dyDescent="0.35">
      <c r="A64" s="934" t="s">
        <v>806</v>
      </c>
      <c r="B64" s="935" t="s">
        <v>3603</v>
      </c>
      <c r="C64" s="66" t="str">
        <f>'tax it (c8)'!G70</f>
        <v>c8.25</v>
      </c>
      <c r="D64" s="936">
        <f>'tax it (c8)'!H70</f>
        <v>0</v>
      </c>
      <c r="F64" s="934" t="s">
        <v>5815</v>
      </c>
      <c r="G64" s="935" t="s">
        <v>5820</v>
      </c>
      <c r="H64" s="65" t="str">
        <f>'CG (c18)'!O102</f>
        <v>c18.44</v>
      </c>
      <c r="I64" s="936">
        <f>'CG (c18)'!P102</f>
        <v>0</v>
      </c>
    </row>
    <row r="65" spans="1:9" x14ac:dyDescent="0.35">
      <c r="A65" s="934" t="s">
        <v>807</v>
      </c>
      <c r="B65" s="935" t="s">
        <v>3091</v>
      </c>
      <c r="C65" s="66" t="str">
        <f>'tax it (c8)'!G75</f>
        <v>c8.26</v>
      </c>
      <c r="D65" s="66">
        <f>'tax it (c8)'!H75</f>
        <v>0</v>
      </c>
      <c r="F65" s="934" t="s">
        <v>2430</v>
      </c>
      <c r="G65" s="935" t="s">
        <v>2431</v>
      </c>
      <c r="H65" s="65" t="str">
        <f>'CG (c18)'!I108</f>
        <v>c18.46</v>
      </c>
      <c r="I65" s="936">
        <f>'CG (c18)'!J108</f>
        <v>0</v>
      </c>
    </row>
    <row r="66" spans="1:9" x14ac:dyDescent="0.35">
      <c r="A66" s="934" t="s">
        <v>2428</v>
      </c>
      <c r="B66" s="935" t="s">
        <v>2429</v>
      </c>
      <c r="C66" s="66" t="str">
        <f>'Tax adj (c9)'!I8</f>
        <v>c9.2</v>
      </c>
      <c r="D66" s="66">
        <f>'Tax adj (c9)'!J8</f>
        <v>0</v>
      </c>
      <c r="F66" s="934" t="s">
        <v>2430</v>
      </c>
      <c r="G66" s="935" t="s">
        <v>2432</v>
      </c>
      <c r="H66" s="65" t="str">
        <f>'CG (c18)'!O108</f>
        <v>c18.47</v>
      </c>
      <c r="I66" s="936">
        <f>'CG (c18)'!P108</f>
        <v>0</v>
      </c>
    </row>
    <row r="67" spans="1:9" x14ac:dyDescent="0.35">
      <c r="A67" s="934" t="s">
        <v>2883</v>
      </c>
      <c r="B67" s="935" t="s">
        <v>1589</v>
      </c>
      <c r="C67" s="99" t="str">
        <f>'Tax adj (c9)'!I11</f>
        <v>c9.3</v>
      </c>
      <c r="D67" s="66">
        <f>'Tax adj (c9)'!J11</f>
        <v>0</v>
      </c>
      <c r="F67" s="934" t="s">
        <v>5816</v>
      </c>
      <c r="G67" s="935" t="s">
        <v>2433</v>
      </c>
      <c r="H67" s="65" t="str">
        <f>'CG (c18)'!I111</f>
        <v>c18.48</v>
      </c>
      <c r="I67" s="936">
        <f>'CG (c18)'!J111</f>
        <v>0</v>
      </c>
    </row>
    <row r="68" spans="1:9" x14ac:dyDescent="0.35">
      <c r="A68" s="934" t="s">
        <v>2884</v>
      </c>
      <c r="B68" s="935" t="s">
        <v>3746</v>
      </c>
      <c r="C68" s="99" t="str">
        <f>'Tax adj (c9)'!I14</f>
        <v>c9.5</v>
      </c>
      <c r="D68" s="66">
        <f>'Tax adj (c9)'!J14</f>
        <v>0</v>
      </c>
      <c r="F68" s="934" t="s">
        <v>5816</v>
      </c>
      <c r="G68" s="935" t="s">
        <v>2434</v>
      </c>
      <c r="H68" s="65" t="str">
        <f>'CG (c18)'!O111</f>
        <v>c18.49</v>
      </c>
      <c r="I68" s="936">
        <f>'CG (c18)'!P111</f>
        <v>0</v>
      </c>
    </row>
    <row r="69" spans="1:9" x14ac:dyDescent="0.35">
      <c r="A69" s="934" t="s">
        <v>2885</v>
      </c>
      <c r="B69" s="935" t="s">
        <v>3747</v>
      </c>
      <c r="C69" s="99" t="str">
        <f>'Tax adj (c9)'!I17</f>
        <v>c9.7</v>
      </c>
      <c r="D69" s="66">
        <f>'Tax adj (c9)'!J17</f>
        <v>0</v>
      </c>
      <c r="F69" s="934" t="s">
        <v>1485</v>
      </c>
      <c r="G69" s="935" t="s">
        <v>1486</v>
      </c>
      <c r="H69" s="65" t="str">
        <f>'CG (c18)'!O117</f>
        <v>c18.51</v>
      </c>
      <c r="I69" s="936">
        <f>'CG (c18)'!P117</f>
        <v>0</v>
      </c>
    </row>
    <row r="70" spans="1:9" x14ac:dyDescent="0.35">
      <c r="A70" s="934" t="s">
        <v>3232</v>
      </c>
      <c r="B70" s="935" t="s">
        <v>1391</v>
      </c>
      <c r="C70" s="66" t="str">
        <f>'Tax adj (c9)'!I20</f>
        <v>c9.9</v>
      </c>
      <c r="D70" s="66">
        <f>'Tax adj (c9)'!J20</f>
        <v>0</v>
      </c>
      <c r="F70" s="934" t="s">
        <v>2783</v>
      </c>
      <c r="G70" s="935" t="s">
        <v>2869</v>
      </c>
      <c r="H70" s="65" t="str">
        <f>'CG (c18)'!O121</f>
        <v>c18.52</v>
      </c>
      <c r="I70" s="66">
        <f>'CG (c18)'!P121</f>
        <v>0</v>
      </c>
    </row>
    <row r="71" spans="1:9" x14ac:dyDescent="0.35">
      <c r="A71" s="934" t="s">
        <v>2886</v>
      </c>
      <c r="B71" s="438" t="s">
        <v>3748</v>
      </c>
      <c r="C71" s="99" t="str">
        <f>'Tax adj (c9)'!I23</f>
        <v>c9.11</v>
      </c>
      <c r="D71" s="66">
        <f>'Tax adj (c9)'!J23</f>
        <v>0</v>
      </c>
      <c r="F71" s="437" t="s">
        <v>1722</v>
      </c>
      <c r="G71" s="438" t="s">
        <v>3596</v>
      </c>
      <c r="H71" s="65" t="str">
        <f>'CG (c18)'!O124</f>
        <v>c18.53</v>
      </c>
      <c r="I71" s="66">
        <f>'CG (c18)'!P124</f>
        <v>0</v>
      </c>
    </row>
    <row r="72" spans="1:9" x14ac:dyDescent="0.35">
      <c r="A72" s="934" t="s">
        <v>1563</v>
      </c>
      <c r="B72" s="438" t="s">
        <v>1564</v>
      </c>
      <c r="C72" s="99" t="str">
        <f>'Tax adj (c9)'!I26</f>
        <v>c9.13</v>
      </c>
      <c r="D72" s="66">
        <f>'Tax adj (c9)'!J26</f>
        <v>0</v>
      </c>
      <c r="F72" s="437" t="s">
        <v>3595</v>
      </c>
      <c r="G72" s="438" t="s">
        <v>1723</v>
      </c>
      <c r="H72" s="65" t="str">
        <f>'CG (c18)'!O130</f>
        <v>c18.55</v>
      </c>
      <c r="I72" s="66">
        <f>'CG (c18)'!P130</f>
        <v>0</v>
      </c>
    </row>
    <row r="73" spans="1:9" x14ac:dyDescent="0.35">
      <c r="A73" s="934" t="s">
        <v>2887</v>
      </c>
      <c r="B73" s="935" t="s">
        <v>3749</v>
      </c>
      <c r="C73" s="99" t="str">
        <f>'Tax adj (c9)'!I33&amp;" x "&amp;A_rate*100&amp;"%"</f>
        <v>c9.15 x 10%</v>
      </c>
      <c r="D73" s="66">
        <f>'Tax adj (c9)'!J33*A_rate</f>
        <v>0</v>
      </c>
      <c r="F73" s="934" t="s">
        <v>3598</v>
      </c>
      <c r="G73" s="935" t="s">
        <v>5823</v>
      </c>
      <c r="H73" s="65" t="str">
        <f>'CG (c18)'!O133&amp;" + "&amp;'CG (c18)'!O136</f>
        <v>c18.56 + c18.57</v>
      </c>
      <c r="I73" s="936">
        <f>'CG (c18)'!P133+'CG (c18)'!P136</f>
        <v>0</v>
      </c>
    </row>
    <row r="74" spans="1:9" x14ac:dyDescent="0.35">
      <c r="A74" s="934" t="s">
        <v>1882</v>
      </c>
      <c r="B74" s="935" t="s">
        <v>3750</v>
      </c>
      <c r="C74" s="99" t="str">
        <f>'Tax adj (c9)'!I50</f>
        <v>c9.16</v>
      </c>
      <c r="D74" s="99">
        <f>'Tax adj (c9)'!J50</f>
        <v>0</v>
      </c>
      <c r="F74" s="437" t="s">
        <v>4805</v>
      </c>
      <c r="G74" s="438" t="s">
        <v>3599</v>
      </c>
      <c r="H74" s="99" t="str">
        <f>'Tax due (c12)'!F59</f>
        <v>c12.17</v>
      </c>
      <c r="I74" s="66">
        <f>'Tax due (c12)'!G59</f>
        <v>0</v>
      </c>
    </row>
    <row r="75" spans="1:9" x14ac:dyDescent="0.35">
      <c r="A75" s="934" t="s">
        <v>1882</v>
      </c>
      <c r="B75" s="935" t="s">
        <v>3751</v>
      </c>
      <c r="C75" s="99" t="str">
        <f>'Tax adj (c9)'!I50&amp;" x "&amp;A_rate*100&amp;"%"</f>
        <v>c9.16 x 10%</v>
      </c>
      <c r="D75" s="66">
        <f>'Tax adj (c9)'!J50*A_rate</f>
        <v>0</v>
      </c>
      <c r="F75" s="437" t="s">
        <v>3601</v>
      </c>
      <c r="G75" s="438" t="s">
        <v>3602</v>
      </c>
      <c r="H75" s="65" t="str">
        <f>'Tax due (c12)'!I62&amp;" (Absolute value)"</f>
        <v>c12.18 (Absolute value)</v>
      </c>
      <c r="I75" s="66">
        <f>ABS(box_18_3)</f>
        <v>0</v>
      </c>
    </row>
    <row r="76" spans="1:9" x14ac:dyDescent="0.35">
      <c r="A76" s="437" t="s">
        <v>1883</v>
      </c>
      <c r="B76" s="935" t="s">
        <v>2618</v>
      </c>
      <c r="C76" s="99" t="str">
        <f>'Tax adj (c9)'!I53</f>
        <v>c9.17</v>
      </c>
      <c r="D76" s="99">
        <f>'Tax adj (c9)'!J53</f>
        <v>0</v>
      </c>
      <c r="F76" s="437" t="s">
        <v>3604</v>
      </c>
      <c r="G76" s="438" t="s">
        <v>3090</v>
      </c>
      <c r="H76" s="99" t="str">
        <f>'Tax due (c12)'!F75</f>
        <v>c12.19</v>
      </c>
      <c r="I76" s="66">
        <f>'Tax due (c12)'!G75</f>
        <v>0</v>
      </c>
    </row>
    <row r="77" spans="1:9" x14ac:dyDescent="0.35">
      <c r="A77" s="437" t="s">
        <v>1883</v>
      </c>
      <c r="B77" s="935" t="s">
        <v>2619</v>
      </c>
      <c r="C77" s="99" t="str">
        <f>'Tax adj (c9)'!I53&amp;" x "&amp;A_rate*100&amp;"%"</f>
        <v>c9.17 x 10%</v>
      </c>
      <c r="D77" s="66">
        <f>'Tax adj (c9)'!J53*A_rate</f>
        <v>0</v>
      </c>
      <c r="F77" s="437" t="s">
        <v>3092</v>
      </c>
      <c r="G77" s="438" t="s">
        <v>3093</v>
      </c>
      <c r="H77" s="99" t="str">
        <f>'Tax due (c12)'!F78</f>
        <v>c12.20</v>
      </c>
      <c r="I77" s="66">
        <f>'Tax due (c12)'!G78</f>
        <v>0</v>
      </c>
    </row>
    <row r="78" spans="1:9" x14ac:dyDescent="0.35">
      <c r="A78" s="437" t="s">
        <v>6650</v>
      </c>
      <c r="B78" s="438" t="s">
        <v>4737</v>
      </c>
      <c r="C78" s="99" t="str">
        <f>'Tax adj (c9)'!I74</f>
        <v>c9.20</v>
      </c>
      <c r="D78" s="99">
        <f>'Tax adj (c9)'!J74</f>
        <v>0</v>
      </c>
      <c r="F78" s="437" t="s">
        <v>4783</v>
      </c>
      <c r="G78" s="438" t="s">
        <v>6649</v>
      </c>
      <c r="H78" s="99" t="str">
        <f>'Tax due (c12)'!I81&amp;" (Absolute value)"</f>
        <v>c12.21 (Absolute value)</v>
      </c>
      <c r="I78" s="936">
        <f>ABS('Tax due (c12)'!J81)</f>
        <v>0</v>
      </c>
    </row>
    <row r="79" spans="1:9" x14ac:dyDescent="0.35">
      <c r="A79" s="437" t="s">
        <v>6650</v>
      </c>
      <c r="B79" s="438" t="s">
        <v>4740</v>
      </c>
      <c r="C79" s="99" t="str">
        <f>'Tax adj (c9)'!L74</f>
        <v>c9.21</v>
      </c>
      <c r="D79" s="936">
        <f>'Tax adj (c9)'!M74</f>
        <v>0</v>
      </c>
      <c r="F79" s="2670"/>
      <c r="G79" s="2671"/>
      <c r="H79" s="2668"/>
      <c r="I79" s="2672"/>
    </row>
    <row r="80" spans="1:9" x14ac:dyDescent="0.35">
      <c r="A80" s="2764" t="s">
        <v>6962</v>
      </c>
      <c r="B80" s="2761" t="s">
        <v>6964</v>
      </c>
      <c r="C80" s="3230" t="str">
        <f>'LLIR (c24)'!E74</f>
        <v>c24.15a</v>
      </c>
      <c r="D80" s="2763">
        <f>'LLIR (c24)'!F74</f>
        <v>0</v>
      </c>
    </row>
    <row r="81" spans="1:8" x14ac:dyDescent="0.35">
      <c r="A81" s="2764" t="s">
        <v>6962</v>
      </c>
      <c r="B81" s="2761" t="s">
        <v>6965</v>
      </c>
      <c r="C81" s="2762" t="str">
        <f>'Tax adj (c9)'!I78</f>
        <v>c9.22</v>
      </c>
      <c r="D81" s="2763">
        <f>'Tax adj (c9)'!J78</f>
        <v>0</v>
      </c>
    </row>
    <row r="82" spans="1:8" x14ac:dyDescent="0.35">
      <c r="A82" s="2764" t="s">
        <v>6962</v>
      </c>
      <c r="B82" s="2761" t="s">
        <v>6963</v>
      </c>
      <c r="C82" s="2762" t="str">
        <f>'Tax adj (c9)'!L78</f>
        <v>c9.23</v>
      </c>
      <c r="D82" s="2763">
        <f>'Tax adj (c9)'!M78</f>
        <v>0</v>
      </c>
    </row>
    <row r="83" spans="1:8" x14ac:dyDescent="0.35">
      <c r="A83" s="437" t="s">
        <v>1884</v>
      </c>
      <c r="B83" s="935" t="s">
        <v>2620</v>
      </c>
      <c r="C83" s="2762" t="str">
        <f>'Tax adj (c9)'!L83</f>
        <v>c9.25</v>
      </c>
      <c r="D83" s="66">
        <f>'Tax adj (c9)'!M83</f>
        <v>0</v>
      </c>
    </row>
    <row r="84" spans="1:8" x14ac:dyDescent="0.35">
      <c r="A84" s="934" t="s">
        <v>1885</v>
      </c>
      <c r="B84" s="935" t="s">
        <v>3590</v>
      </c>
      <c r="C84" s="2766" t="str">
        <f>'Tax adj (c9)'!L92</f>
        <v>c9.28</v>
      </c>
      <c r="D84" s="99">
        <f>'Tax adj (c9)'!M92</f>
        <v>0</v>
      </c>
    </row>
    <row r="85" spans="1:8" x14ac:dyDescent="0.35">
      <c r="A85" s="2670" t="s">
        <v>7838</v>
      </c>
      <c r="B85" s="2671" t="s">
        <v>7839</v>
      </c>
      <c r="C85" s="2668" t="s">
        <v>911</v>
      </c>
      <c r="D85" s="2672">
        <v>0</v>
      </c>
    </row>
    <row r="89" spans="1:8" ht="13.15" x14ac:dyDescent="0.4">
      <c r="A89" s="875" t="s">
        <v>7870</v>
      </c>
    </row>
    <row r="90" spans="1:8" x14ac:dyDescent="0.35">
      <c r="B90" s="1264" t="s">
        <v>4917</v>
      </c>
      <c r="C90" s="1265"/>
      <c r="D90" s="1265"/>
      <c r="E90" s="1266"/>
      <c r="F90" s="1265"/>
      <c r="G90" s="1265"/>
      <c r="H90" s="1267"/>
    </row>
    <row r="91" spans="1:8" x14ac:dyDescent="0.35">
      <c r="B91" s="1268"/>
      <c r="C91" s="1269"/>
      <c r="D91" s="1269"/>
      <c r="E91" s="1270"/>
      <c r="F91" s="1269"/>
      <c r="G91" s="1269"/>
      <c r="H91" s="1271"/>
    </row>
    <row r="107" spans="5:5" x14ac:dyDescent="0.35">
      <c r="E107" s="96"/>
    </row>
    <row r="111" spans="5:5" x14ac:dyDescent="0.35">
      <c r="E111" s="96"/>
    </row>
    <row r="112" spans="5:5" x14ac:dyDescent="0.35">
      <c r="E112" s="96"/>
    </row>
    <row r="113" spans="2:5" x14ac:dyDescent="0.35">
      <c r="E113" s="96"/>
    </row>
    <row r="124" spans="2:5" x14ac:dyDescent="0.35">
      <c r="B124" s="434"/>
    </row>
    <row r="125" spans="2:5" x14ac:dyDescent="0.35">
      <c r="B125" s="434"/>
    </row>
    <row r="126" spans="2:5" x14ac:dyDescent="0.35">
      <c r="B126" s="434"/>
    </row>
    <row r="127" spans="2:5" x14ac:dyDescent="0.35">
      <c r="B127" s="434"/>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FF99"/>
  </sheetPr>
  <dimension ref="A2:P42"/>
  <sheetViews>
    <sheetView showGridLines="0" zoomScale="75" workbookViewId="0">
      <selection activeCell="J6" sqref="J6"/>
    </sheetView>
  </sheetViews>
  <sheetFormatPr defaultColWidth="9.1328125" defaultRowHeight="12.75" x14ac:dyDescent="0.35"/>
  <cols>
    <col min="1" max="1" width="12.265625" style="38" bestFit="1" customWidth="1"/>
    <col min="2" max="2" width="15.265625" style="38" customWidth="1"/>
    <col min="3" max="3" width="2.73046875" style="38" customWidth="1"/>
    <col min="4" max="4" width="15.3984375" style="38" customWidth="1"/>
    <col min="5" max="5" width="2.73046875" style="38" customWidth="1"/>
    <col min="6" max="6" width="14.86328125" style="38" customWidth="1"/>
    <col min="7" max="7" width="2.73046875" style="38" customWidth="1"/>
    <col min="8" max="8" width="15.1328125" style="38" customWidth="1"/>
    <col min="9" max="9" width="2.73046875" style="38" customWidth="1"/>
    <col min="10" max="10" width="15.3984375" style="38" customWidth="1"/>
    <col min="11" max="11" width="2.73046875" style="38" customWidth="1"/>
    <col min="12" max="12" width="15.265625" style="38" customWidth="1"/>
    <col min="13" max="13" width="1.73046875" style="38" customWidth="1"/>
    <col min="14" max="14" width="13.3984375" style="38" customWidth="1"/>
    <col min="15" max="15" width="1.59765625" style="38" customWidth="1"/>
    <col min="16" max="16" width="12.86328125" style="38" customWidth="1"/>
    <col min="17" max="17" width="2.265625" style="38" customWidth="1"/>
    <col min="18" max="16384" width="9.1328125" style="38"/>
  </cols>
  <sheetData>
    <row r="2" spans="1:16" x14ac:dyDescent="0.35">
      <c r="A2" s="38" t="s">
        <v>3659</v>
      </c>
      <c r="B2" s="409" t="s">
        <v>3808</v>
      </c>
      <c r="C2" s="206"/>
      <c r="D2" s="409" t="s">
        <v>3809</v>
      </c>
      <c r="E2" s="206"/>
      <c r="F2" s="409" t="s">
        <v>3810</v>
      </c>
      <c r="G2" s="206"/>
      <c r="H2" s="3522" t="s">
        <v>1002</v>
      </c>
      <c r="I2" s="413"/>
      <c r="J2" s="3523" t="s">
        <v>1002</v>
      </c>
      <c r="L2" s="3523" t="s">
        <v>5568</v>
      </c>
      <c r="M2" s="413"/>
      <c r="N2" s="3523" t="s">
        <v>5569</v>
      </c>
      <c r="O2" s="413"/>
      <c r="P2" s="3524" t="s">
        <v>3659</v>
      </c>
    </row>
    <row r="3" spans="1:16" x14ac:dyDescent="0.35">
      <c r="A3" s="38" t="s">
        <v>56</v>
      </c>
      <c r="B3" s="410" t="s">
        <v>1430</v>
      </c>
      <c r="C3" s="206"/>
      <c r="D3" s="410" t="s">
        <v>677</v>
      </c>
      <c r="E3" s="206"/>
      <c r="F3" s="410" t="s">
        <v>1430</v>
      </c>
      <c r="G3" s="206"/>
      <c r="H3" s="3525" t="s">
        <v>1003</v>
      </c>
      <c r="I3" s="413"/>
      <c r="J3" s="3526"/>
      <c r="L3" s="3527" t="s">
        <v>2702</v>
      </c>
      <c r="M3" s="413"/>
      <c r="N3" s="3528" t="s">
        <v>2318</v>
      </c>
      <c r="O3" s="413"/>
      <c r="P3" s="3529" t="s">
        <v>3377</v>
      </c>
    </row>
    <row r="4" spans="1:16" x14ac:dyDescent="0.35">
      <c r="A4" s="38" t="s">
        <v>3095</v>
      </c>
      <c r="B4" s="412">
        <f>IF(FTCR_run_1,IF(item_1_ind=1,FTCR!G10,IF(remit_basis,IF(item_1_ind=3,FTCR!G10,IF(item_1_ind=4,FTCR!G10*100/90,0)),0)),0)</f>
        <v>0</v>
      </c>
      <c r="C4" s="413"/>
      <c r="D4" s="414">
        <f>IF(FTCR_run_1,IF(item_1_ind=2,FTCR!G10,0),0)</f>
        <v>0</v>
      </c>
      <c r="E4" s="413"/>
      <c r="F4" s="412">
        <f>IF(FTCR_run_1,IF(item_1_ind=3,IF(remit_basis,0,FTCR!G10),0),0)</f>
        <v>0</v>
      </c>
      <c r="G4" s="413"/>
      <c r="H4" s="3530">
        <v>0</v>
      </c>
      <c r="I4" s="413"/>
      <c r="J4" s="122">
        <f>IF(FTCR_run_1,IF(item_1_ind=4,IF(remit_basis,0,FTCR!G10),0),0)</f>
        <v>0</v>
      </c>
      <c r="L4" s="415">
        <f>IF(FTCR_run_1,IF(item_1_ind=5,FTCR!G10,0),0)</f>
        <v>0</v>
      </c>
      <c r="M4" s="413"/>
      <c r="N4" s="412">
        <f>IF(FTCR_run_1,IF(item_1_ind=6,FTCR!G10,0),0)</f>
        <v>0</v>
      </c>
      <c r="O4" s="413"/>
      <c r="P4" s="412">
        <f>IF(FTCR_run_1,FTCR!G10,0)</f>
        <v>0</v>
      </c>
    </row>
    <row r="5" spans="1:16" x14ac:dyDescent="0.35">
      <c r="A5" s="38" t="s">
        <v>3096</v>
      </c>
      <c r="B5" s="412">
        <f>IF(FTCR_run_2,IF(item_2_ind=1,FTCR!G14,IF(remit_basis,IF(item_1_ind=3,FTCR!G14,IF(item_1_ind=4,FTCR!G14*100/90,0)),0)),0)</f>
        <v>0</v>
      </c>
      <c r="C5" s="413"/>
      <c r="D5" s="414">
        <f>IF(FTCR_run_2,IF(item_2_ind=2,FTCR!G14,0),0)</f>
        <v>0</v>
      </c>
      <c r="E5" s="413"/>
      <c r="F5" s="412">
        <f>IF(FTCR_run_2,IF(item_2_ind=3,IF(remit_basis,0,FTCR!G14),0),0)</f>
        <v>0</v>
      </c>
      <c r="G5" s="413"/>
      <c r="H5" s="3530">
        <v>0</v>
      </c>
      <c r="I5" s="413"/>
      <c r="J5" s="122">
        <f>IF(FTCR_run_2,IF(item_2_ind=4,IF(remit_basis,0,FTCR!G14),0),0)</f>
        <v>0</v>
      </c>
      <c r="L5" s="415">
        <f>IF(FTCR_run_2,IF(item_2_ind=5,FTCR!G14,0),0)</f>
        <v>0</v>
      </c>
      <c r="M5" s="413"/>
      <c r="N5" s="412">
        <f>IF(FTCR_run_2,IF(item_2_ind=6,FTCR!G14,0),0)</f>
        <v>0</v>
      </c>
      <c r="O5" s="413"/>
      <c r="P5" s="412">
        <f>IF(FTCR_run_2,FTCR!G14,0)</f>
        <v>0</v>
      </c>
    </row>
    <row r="6" spans="1:16" x14ac:dyDescent="0.35">
      <c r="A6" s="38" t="s">
        <v>3097</v>
      </c>
      <c r="B6" s="412">
        <f>IF(FTCR_run_3,IF(item_3_ind=1,FTCR!G18,IF(remit_basis,IF(item_1_ind=3,FTCR!G18,IF(item_1_ind=4,FTCR!G18*100/90,0)),0)),0)</f>
        <v>0</v>
      </c>
      <c r="C6" s="413"/>
      <c r="D6" s="414">
        <f>IF(FTCR_run_3,IF(item_3_ind=2,FTCR!G18,0),0)</f>
        <v>0</v>
      </c>
      <c r="E6" s="413"/>
      <c r="F6" s="412">
        <f>IF(FTCR_run_3,IF(item_3_ind=3,IF(remit_basis,0,FTCR!G18),0),0)</f>
        <v>0</v>
      </c>
      <c r="G6" s="413"/>
      <c r="H6" s="3530">
        <v>0</v>
      </c>
      <c r="I6" s="413"/>
      <c r="J6" s="122">
        <f>IF(FTCR_run_3,IF(item_3_ind=4,IF(remit_basis,0,FTCR!G18),0),0)</f>
        <v>0</v>
      </c>
      <c r="L6" s="415">
        <f>IF(FTCR_run_3,IF(item_3_ind=5,FTCR!G18,0),0)</f>
        <v>0</v>
      </c>
      <c r="M6" s="413"/>
      <c r="N6" s="412">
        <f>IF(FTCR_run_3,IF(item_3_ind=6,FTCR!G18,0),0)</f>
        <v>0</v>
      </c>
      <c r="O6" s="413"/>
      <c r="P6" s="412">
        <f>IF(FTCR_run_3,FTCR!G18,0)</f>
        <v>0</v>
      </c>
    </row>
    <row r="7" spans="1:16" x14ac:dyDescent="0.35">
      <c r="A7" s="38" t="s">
        <v>2289</v>
      </c>
      <c r="B7" s="412">
        <f>IF(FTCR_run_4,IF(item_4_ind=1,FTCR!G22,IF(remit_basis,IF(item_1_ind=3,FTCR!G22,IF(item_1_ind=4,FTCR!G22*100/90,0)),0)),0)</f>
        <v>0</v>
      </c>
      <c r="D7" s="412">
        <f>IF(FTCR_run_4,IF(item_4_ind=2,FTCR!G22,0),0)</f>
        <v>0</v>
      </c>
      <c r="F7" s="412">
        <f>IF(FTCR_run_4,IF(item_4_ind=3,IF(remit_basis,0,FTCR!G22),0),0)</f>
        <v>0</v>
      </c>
      <c r="H7" s="3530">
        <v>0</v>
      </c>
      <c r="J7" s="122">
        <f>IF(FTCR_run_4,IF(item_4_ind=4,IF(remit_basis,0,FTCR!G22),0),0)</f>
        <v>0</v>
      </c>
      <c r="L7" s="412">
        <f>IF(FTCR_run_4,IF(item_4_ind=5,FTCR!G22,0),0)</f>
        <v>0</v>
      </c>
      <c r="N7" s="412">
        <f>IF(FTCR_run_4,IF(item_4_ind=6,FTCR!G22,0),0)</f>
        <v>0</v>
      </c>
      <c r="P7" s="412">
        <f>IF(FTCR_run_4,FTCR!G22,0)</f>
        <v>0</v>
      </c>
    </row>
    <row r="8" spans="1:16" x14ac:dyDescent="0.35">
      <c r="A8" s="38" t="s">
        <v>2330</v>
      </c>
      <c r="B8" s="412">
        <f>IF(FTCR_run_5,IF(item_5_ind=1,FTCR!G26,IF(remit_basis,IF(item_1_ind=3,FTCR!G26,IF(item_1_ind=4,FTCR!G26*100/90,0)),0)),0)</f>
        <v>0</v>
      </c>
      <c r="C8" s="413"/>
      <c r="D8" s="414">
        <f>IF(FTCR_run_5,IF(item_5_ind=2,FTCR!G26,0),0)</f>
        <v>0</v>
      </c>
      <c r="E8" s="413"/>
      <c r="F8" s="412">
        <f>IF(FTCR_run_5,IF(item_5_ind=3,IF(remit_basis,0,FTCR!G26),0),0)</f>
        <v>0</v>
      </c>
      <c r="G8" s="413"/>
      <c r="H8" s="3530">
        <v>0</v>
      </c>
      <c r="I8" s="413"/>
      <c r="J8" s="122">
        <f>IF(FTCR_run_5,IF(item_5_ind=4,IF(remit_basis,0,FTCR!G26),0),0)</f>
        <v>0</v>
      </c>
      <c r="L8" s="415">
        <f>IF(FTCR_run_5,IF(item_5_ind=5,FTCR!G26,0),0)</f>
        <v>0</v>
      </c>
      <c r="M8" s="413"/>
      <c r="N8" s="412">
        <f>IF(FTCR_run_5,IF(item_5_ind=6,FTCR!G26,0),0)</f>
        <v>0</v>
      </c>
      <c r="O8" s="413"/>
      <c r="P8" s="412">
        <f>IF(FTCR_run_5,FTCR!G26,0)</f>
        <v>0</v>
      </c>
    </row>
    <row r="9" spans="1:16" x14ac:dyDescent="0.35">
      <c r="A9" s="38" t="s">
        <v>2331</v>
      </c>
      <c r="B9" s="412">
        <f>IF(FTCR_run_6,IF(item_6_ind=1,FTCR!G30,IF(remit_basis,IF(item_1_ind=3,FTCR!G30,IF(item_1_ind=4,FTCR!G30*100/90,0)),0)),0)</f>
        <v>0</v>
      </c>
      <c r="C9" s="413"/>
      <c r="D9" s="414">
        <f>IF(FTCR_run_6,IF(item_6_ind=2,FTCR!G30,0),0)</f>
        <v>0</v>
      </c>
      <c r="E9" s="413"/>
      <c r="F9" s="412">
        <f>IF(FTCR_run_6,IF(item_6_ind=3,IF(remit_basis,0,FTCR!G30),0),0)</f>
        <v>0</v>
      </c>
      <c r="G9" s="413"/>
      <c r="H9" s="3530">
        <v>0</v>
      </c>
      <c r="I9" s="413"/>
      <c r="J9" s="122">
        <f>IF(FTCR_run_6,IF(item_6_ind=4,IF(remit_basis,0,FTCR!G30),0),0)</f>
        <v>0</v>
      </c>
      <c r="L9" s="415">
        <f>IF(FTCR_run_6,IF(item_6_ind=5,FTCR!G30,0),0)</f>
        <v>0</v>
      </c>
      <c r="M9" s="413"/>
      <c r="N9" s="412">
        <f>IF(FTCR_run_6,IF(item_6_ind=6,FTCR!G30,0),0)</f>
        <v>0</v>
      </c>
      <c r="O9" s="413"/>
      <c r="P9" s="412">
        <f>IF(FTCR_run_6,FTCR!G30,0)</f>
        <v>0</v>
      </c>
    </row>
    <row r="10" spans="1:16" x14ac:dyDescent="0.35">
      <c r="A10" s="38" t="s">
        <v>2332</v>
      </c>
      <c r="B10" s="412">
        <f>IF(FTCR_run_7,IF(item_7_ind=1,FTCR!G34,IF(remit_basis,IF(item_1_ind=3,FTCR!G34,IF(item_1_ind=4,FTCR!G34*100/90,0)),0)),0)</f>
        <v>0</v>
      </c>
      <c r="C10" s="413"/>
      <c r="D10" s="414">
        <f>IF(FTCR_run_7,IF(item_7_ind=2,FTCR!G34,0),0)</f>
        <v>0</v>
      </c>
      <c r="E10" s="413"/>
      <c r="F10" s="412">
        <f>IF(FTCR_run_7,IF(item_7_ind=3,IF(remit_basis,0,FTCR!G34),0),0)</f>
        <v>0</v>
      </c>
      <c r="G10" s="413"/>
      <c r="H10" s="3530">
        <v>0</v>
      </c>
      <c r="I10" s="413"/>
      <c r="J10" s="122">
        <f>IF(FTCR_run_7,IF(item_7_ind=4,IF(remit_basis,0,FTCR!G34),0),0)</f>
        <v>0</v>
      </c>
      <c r="L10" s="415">
        <f>IF(FTCR_run_7,IF(item_7_ind=5,FTCR!G34,0),0)</f>
        <v>0</v>
      </c>
      <c r="M10" s="413"/>
      <c r="N10" s="412">
        <f>IF(FTCR_run_7,IF(item_7_ind=6,FTCR!G34,0),0)</f>
        <v>0</v>
      </c>
      <c r="O10" s="413"/>
      <c r="P10" s="412">
        <f>IF(FTCR_run_7,FTCR!G34,0)</f>
        <v>0</v>
      </c>
    </row>
    <row r="11" spans="1:16" x14ac:dyDescent="0.35">
      <c r="A11" s="38" t="s">
        <v>2333</v>
      </c>
      <c r="B11" s="412">
        <f>IF(FTCR_run_8,IF(item_8_ind=1,FTCR!G38,IF(remit_basis,IF(item_1_ind=3,FTCR!G38,IF(item_1_ind=4,FTCR!G38*100/90,0)),0)),0)</f>
        <v>0</v>
      </c>
      <c r="D11" s="412">
        <f>IF(FTCR_run_8,IF(item_8_ind=2,FTCR!G38,0),0)</f>
        <v>0</v>
      </c>
      <c r="F11" s="412">
        <f>IF(FTCR_run_8,IF(item_8_ind=3,IF(remit_basis,0,FTCR!G38),0),0)</f>
        <v>0</v>
      </c>
      <c r="H11" s="3530">
        <v>0</v>
      </c>
      <c r="J11" s="122">
        <f>IF(FTCR_run_8,IF(item_8_ind=4,IF(remit_basis,0,FTCR!G38),0),0)</f>
        <v>0</v>
      </c>
      <c r="L11" s="412">
        <f>IF(FTCR_run_8,IF(item_8_ind=5,FTCR!G38,0),0)</f>
        <v>0</v>
      </c>
      <c r="N11" s="412">
        <f>IF(FTCR_run_8,IF(item_8_ind=6,FTCR!G38,0),0)</f>
        <v>0</v>
      </c>
      <c r="P11" s="412">
        <f>IF(FTCR_run_8,FTCR!G38,0)</f>
        <v>0</v>
      </c>
    </row>
    <row r="12" spans="1:16" x14ac:dyDescent="0.35">
      <c r="A12" s="38" t="s">
        <v>1241</v>
      </c>
      <c r="B12" s="412">
        <f>IF(FTCR_run_9,IF(item_9_ind=1,FTCR!G42,IF(remit_basis,IF(item_1_ind=3,FTCR!G42,IF(item_1_ind=4,FTCR!G42*100/90,0)),0)),0)</f>
        <v>0</v>
      </c>
      <c r="D12" s="414">
        <f>IF(FTCR_run_9,IF(item_9_ind=2,FTCR!G42,0),0)</f>
        <v>0</v>
      </c>
      <c r="F12" s="412">
        <f>IF(FTCR_run_9,IF(item_9_ind=3,IF(remit_basis,0,FTCR!G42),0),0)</f>
        <v>0</v>
      </c>
      <c r="H12" s="3530">
        <v>0</v>
      </c>
      <c r="J12" s="122">
        <f>IF(FTCR_run_9,IF(item_9_ind=4,IF(remit_basis,0,FTCR!G42),0),0)</f>
        <v>0</v>
      </c>
      <c r="L12" s="415">
        <f>IF(FTCR_run_9,IF(item_9_ind=5,FTCR!G42,0),0)</f>
        <v>0</v>
      </c>
      <c r="N12" s="412">
        <f>IF(FTCR_run_9,IF(item_9_ind=6,FTCR!G42,0),0)</f>
        <v>0</v>
      </c>
      <c r="P12" s="412">
        <f>IF(FTCR_run_9,FTCR!G42,0)</f>
        <v>0</v>
      </c>
    </row>
    <row r="13" spans="1:16" ht="13.15" thickBot="1" x14ac:dyDescent="0.4">
      <c r="A13" s="38" t="s">
        <v>1242</v>
      </c>
      <c r="B13" s="1599">
        <f>IF(FTCR_run_10,IF(item_10_ind=1,FTCR!G46,IF(remit_basis,IF(item_1_ind=3,FTCR!G46,IF(item_1_ind=4,FTCR!G46*100/90,0)),0)),0)</f>
        <v>0</v>
      </c>
      <c r="D13" s="1599">
        <f>IF(FTCR_run_10,IF(item_10_ind=2,FTCR!G46,0),0)</f>
        <v>0</v>
      </c>
      <c r="F13" s="1599">
        <f>IF(FTCR_run_10,IF(item_10_ind=3,IF(remit_basis,0,FTCR!G46),0),0)</f>
        <v>0</v>
      </c>
      <c r="H13" s="3531">
        <v>0</v>
      </c>
      <c r="J13" s="1599">
        <f>IF(FTCR_run_10,IF(item_10_ind=4,IF(remit_basis,0,FTCR!G46),0),0)</f>
        <v>0</v>
      </c>
      <c r="L13" s="1599">
        <f>IF(FTCR_run_10,IF(item_10_ind=5,FTCR!G46,0),0)</f>
        <v>0</v>
      </c>
      <c r="N13" s="1599">
        <f>IF(FTCR_run_10,IF(item_10_ind=6,FTCR!G46,0),0)</f>
        <v>0</v>
      </c>
      <c r="P13" s="1599">
        <f>IF(FTCR_run_10,FTCR!G46,0)</f>
        <v>0</v>
      </c>
    </row>
    <row r="14" spans="1:16" x14ac:dyDescent="0.35">
      <c r="A14" s="38" t="s">
        <v>3098</v>
      </c>
      <c r="B14" s="1600">
        <f>SUM(B4:B13)</f>
        <v>0</v>
      </c>
      <c r="D14" s="1600">
        <f>SUM(D4:D13)</f>
        <v>0</v>
      </c>
      <c r="F14" s="1600">
        <f>SUM(F4:F13)</f>
        <v>0</v>
      </c>
      <c r="H14" s="3532">
        <v>0</v>
      </c>
      <c r="J14" s="1600">
        <f>SUM(J4:J13)</f>
        <v>0</v>
      </c>
      <c r="L14" s="1600">
        <f>SUM(L4:L13)</f>
        <v>0</v>
      </c>
      <c r="N14" s="1600">
        <f>SUM(N4:N13)</f>
        <v>0</v>
      </c>
      <c r="P14" s="1600">
        <f>SUM(P4:P13)</f>
        <v>0</v>
      </c>
    </row>
    <row r="16" spans="1:16" x14ac:dyDescent="0.35">
      <c r="A16" s="38" t="s">
        <v>1869</v>
      </c>
    </row>
    <row r="17" spans="1:16" x14ac:dyDescent="0.35">
      <c r="A17" s="38" t="s">
        <v>3095</v>
      </c>
      <c r="B17" s="412">
        <f>IF(FTCR_run_1,FTCR!M10,0)</f>
        <v>0</v>
      </c>
      <c r="J17" s="575" t="s">
        <v>3909</v>
      </c>
    </row>
    <row r="18" spans="1:16" x14ac:dyDescent="0.35">
      <c r="A18" s="38" t="s">
        <v>3096</v>
      </c>
      <c r="B18" s="412">
        <f>IF(FTCR_run_2,FTCR!M14,0)</f>
        <v>0</v>
      </c>
      <c r="J18" s="7">
        <v>1</v>
      </c>
      <c r="K18" s="7" t="s">
        <v>2835</v>
      </c>
    </row>
    <row r="19" spans="1:16" x14ac:dyDescent="0.35">
      <c r="A19" s="38" t="s">
        <v>3097</v>
      </c>
      <c r="B19" s="412">
        <f>IF(FTCR_run_3,FTCR!M18,0)</f>
        <v>0</v>
      </c>
      <c r="J19" s="7">
        <v>2</v>
      </c>
      <c r="K19" s="7" t="s">
        <v>935</v>
      </c>
    </row>
    <row r="20" spans="1:16" x14ac:dyDescent="0.35">
      <c r="A20" s="38" t="s">
        <v>2289</v>
      </c>
      <c r="B20" s="412">
        <f>IF(FTCR_run_4,FTCR!M22,0)</f>
        <v>0</v>
      </c>
      <c r="J20" s="7">
        <v>3</v>
      </c>
      <c r="K20" s="7" t="s">
        <v>936</v>
      </c>
    </row>
    <row r="21" spans="1:16" x14ac:dyDescent="0.35">
      <c r="A21" s="38" t="s">
        <v>2330</v>
      </c>
      <c r="B21" s="412">
        <f>IF(FTCR_run_5,FTCR!M26,0)</f>
        <v>0</v>
      </c>
      <c r="J21" s="7">
        <v>4</v>
      </c>
      <c r="K21" s="1139" t="s">
        <v>708</v>
      </c>
    </row>
    <row r="22" spans="1:16" x14ac:dyDescent="0.35">
      <c r="A22" s="38" t="s">
        <v>2331</v>
      </c>
      <c r="B22" s="412">
        <f>IF(FTCR_run_6,FTCR!M30,0)</f>
        <v>0</v>
      </c>
      <c r="J22" s="7">
        <v>5</v>
      </c>
      <c r="K22" s="7" t="s">
        <v>988</v>
      </c>
      <c r="P22" s="574"/>
    </row>
    <row r="23" spans="1:16" x14ac:dyDescent="0.35">
      <c r="A23" s="38" t="s">
        <v>2332</v>
      </c>
      <c r="B23" s="412">
        <f>IF(FTCR_run_7,FTCR!M34,0)</f>
        <v>0</v>
      </c>
      <c r="J23" s="7">
        <v>6</v>
      </c>
      <c r="K23" s="7" t="s">
        <v>1092</v>
      </c>
      <c r="P23" s="574"/>
    </row>
    <row r="24" spans="1:16" x14ac:dyDescent="0.35">
      <c r="A24" s="38" t="s">
        <v>2333</v>
      </c>
      <c r="B24" s="412">
        <f>IF(FTCR_run_8,FTCR!M38,0)</f>
        <v>0</v>
      </c>
    </row>
    <row r="25" spans="1:16" x14ac:dyDescent="0.35">
      <c r="A25" s="38" t="s">
        <v>1241</v>
      </c>
      <c r="B25" s="412">
        <f>IF(FTCR_run_9,FTCR!M42,0)</f>
        <v>0</v>
      </c>
      <c r="J25"/>
      <c r="K25"/>
    </row>
    <row r="26" spans="1:16" x14ac:dyDescent="0.35">
      <c r="A26" s="38" t="s">
        <v>1242</v>
      </c>
      <c r="B26" s="412">
        <f>IF(FTCR_run_10,FTCR!M46,0)</f>
        <v>0</v>
      </c>
      <c r="J26"/>
      <c r="K26"/>
    </row>
    <row r="27" spans="1:16" x14ac:dyDescent="0.35">
      <c r="A27" s="38" t="s">
        <v>3098</v>
      </c>
      <c r="B27" s="580">
        <f>SUM(B17:B26)</f>
        <v>0</v>
      </c>
    </row>
    <row r="30" spans="1:16" x14ac:dyDescent="0.35">
      <c r="B30" s="581" t="s">
        <v>3970</v>
      </c>
      <c r="F30" s="580" t="s">
        <v>3975</v>
      </c>
      <c r="H30" s="581" t="s">
        <v>1169</v>
      </c>
      <c r="J30" s="581" t="s">
        <v>3969</v>
      </c>
      <c r="L30" s="581" t="s">
        <v>3593</v>
      </c>
      <c r="P30" s="574"/>
    </row>
    <row r="31" spans="1:16" x14ac:dyDescent="0.35">
      <c r="B31" s="582"/>
      <c r="D31" s="575" t="s">
        <v>3974</v>
      </c>
      <c r="F31" s="20">
        <v>0</v>
      </c>
      <c r="H31" s="582"/>
      <c r="J31" s="582"/>
      <c r="L31" s="582"/>
    </row>
    <row r="32" spans="1:16" x14ac:dyDescent="0.35">
      <c r="A32" s="38" t="s">
        <v>106</v>
      </c>
      <c r="B32" s="20" t="b">
        <v>0</v>
      </c>
      <c r="D32" s="575" t="s">
        <v>3971</v>
      </c>
      <c r="F32" s="20">
        <v>0</v>
      </c>
      <c r="H32" s="582">
        <f>IF(F31=F32,0,MAX(0,F31-F32))</f>
        <v>0</v>
      </c>
      <c r="J32" s="583">
        <f>IF(FTCR_run_1,FTCR!U11,0)</f>
        <v>0</v>
      </c>
      <c r="L32" s="580">
        <f t="shared" ref="L32:L39" si="0">MIN(H32,J32)</f>
        <v>0</v>
      </c>
    </row>
    <row r="33" spans="1:12" x14ac:dyDescent="0.35">
      <c r="A33" s="38" t="s">
        <v>107</v>
      </c>
      <c r="B33" s="20" t="b">
        <v>0</v>
      </c>
      <c r="D33" s="575" t="s">
        <v>3972</v>
      </c>
      <c r="F33" s="20">
        <v>0</v>
      </c>
      <c r="H33" s="582">
        <f t="shared" ref="H33:H41" si="1">IF(F32=F33,0,MAX(0,F32-F33))</f>
        <v>0</v>
      </c>
      <c r="J33" s="584">
        <f>IF(FTCR_run_2,FTCR!U12,0)</f>
        <v>0</v>
      </c>
      <c r="L33" s="580">
        <f t="shared" si="0"/>
        <v>0</v>
      </c>
    </row>
    <row r="34" spans="1:12" x14ac:dyDescent="0.35">
      <c r="A34" s="38" t="s">
        <v>108</v>
      </c>
      <c r="B34" s="20" t="b">
        <v>0</v>
      </c>
      <c r="C34" s="576"/>
      <c r="D34" s="575" t="s">
        <v>3973</v>
      </c>
      <c r="F34" s="20">
        <v>0</v>
      </c>
      <c r="H34" s="582">
        <f t="shared" si="1"/>
        <v>0</v>
      </c>
      <c r="J34" s="584">
        <f>IF(FTCR_run_3,FTCR!U13,0)</f>
        <v>0</v>
      </c>
      <c r="L34" s="580">
        <f t="shared" si="0"/>
        <v>0</v>
      </c>
    </row>
    <row r="35" spans="1:12" x14ac:dyDescent="0.35">
      <c r="A35" s="38" t="s">
        <v>109</v>
      </c>
      <c r="B35" s="20" t="b">
        <v>0</v>
      </c>
      <c r="D35" s="575" t="s">
        <v>2290</v>
      </c>
      <c r="F35" s="20">
        <v>0</v>
      </c>
      <c r="H35" s="582">
        <f t="shared" si="1"/>
        <v>0</v>
      </c>
      <c r="J35" s="584">
        <f>IF(FTCR_run_4,FTCR!U14,0)</f>
        <v>0</v>
      </c>
      <c r="L35" s="584">
        <f t="shared" si="0"/>
        <v>0</v>
      </c>
    </row>
    <row r="36" spans="1:12" x14ac:dyDescent="0.35">
      <c r="A36" s="38" t="s">
        <v>110</v>
      </c>
      <c r="B36" s="20" t="b">
        <v>0</v>
      </c>
      <c r="D36" s="575" t="s">
        <v>1792</v>
      </c>
      <c r="F36" s="20">
        <v>0</v>
      </c>
      <c r="H36" s="582">
        <f t="shared" si="1"/>
        <v>0</v>
      </c>
      <c r="J36" s="583">
        <f>IF(FTCR_run_5,FTCR!U15,0)</f>
        <v>0</v>
      </c>
      <c r="L36" s="580">
        <f t="shared" si="0"/>
        <v>0</v>
      </c>
    </row>
    <row r="37" spans="1:12" x14ac:dyDescent="0.35">
      <c r="A37" s="38" t="s">
        <v>111</v>
      </c>
      <c r="B37" s="20" t="b">
        <v>0</v>
      </c>
      <c r="D37" s="575" t="s">
        <v>1793</v>
      </c>
      <c r="F37" s="20">
        <v>0</v>
      </c>
      <c r="H37" s="582">
        <f t="shared" si="1"/>
        <v>0</v>
      </c>
      <c r="J37" s="584">
        <f>IF(FTCR_run_6,FTCR!U16,0)</f>
        <v>0</v>
      </c>
      <c r="L37" s="580">
        <f t="shared" si="0"/>
        <v>0</v>
      </c>
    </row>
    <row r="38" spans="1:12" x14ac:dyDescent="0.35">
      <c r="A38" s="38" t="s">
        <v>112</v>
      </c>
      <c r="B38" s="20" t="b">
        <v>0</v>
      </c>
      <c r="C38" s="576"/>
      <c r="D38" s="575" t="s">
        <v>1794</v>
      </c>
      <c r="F38" s="20">
        <v>0</v>
      </c>
      <c r="H38" s="582">
        <f t="shared" si="1"/>
        <v>0</v>
      </c>
      <c r="J38" s="584">
        <f>IF(FTCR_run_7,FTCR!U17,0)</f>
        <v>0</v>
      </c>
      <c r="L38" s="580">
        <f t="shared" si="0"/>
        <v>0</v>
      </c>
    </row>
    <row r="39" spans="1:12" x14ac:dyDescent="0.35">
      <c r="A39" s="38" t="s">
        <v>113</v>
      </c>
      <c r="B39" s="20" t="b">
        <v>0</v>
      </c>
      <c r="D39" s="575" t="s">
        <v>1795</v>
      </c>
      <c r="F39" s="20">
        <v>0</v>
      </c>
      <c r="H39" s="582">
        <f t="shared" si="1"/>
        <v>0</v>
      </c>
      <c r="J39" s="584">
        <f>IF(FTCR_run_8,FTCR!U18,0)</f>
        <v>0</v>
      </c>
      <c r="L39" s="584">
        <f t="shared" si="0"/>
        <v>0</v>
      </c>
    </row>
    <row r="40" spans="1:12" x14ac:dyDescent="0.35">
      <c r="A40" s="38" t="s">
        <v>114</v>
      </c>
      <c r="B40" s="20" t="b">
        <v>0</v>
      </c>
      <c r="D40" s="575" t="s">
        <v>104</v>
      </c>
      <c r="F40" s="20">
        <v>0</v>
      </c>
      <c r="H40" s="582">
        <f t="shared" si="1"/>
        <v>0</v>
      </c>
      <c r="J40" s="584">
        <f>IF(FTCR_run_9,FTCR!U19,0)</f>
        <v>0</v>
      </c>
      <c r="L40" s="580">
        <f>MIN(H40,J40)</f>
        <v>0</v>
      </c>
    </row>
    <row r="41" spans="1:12" x14ac:dyDescent="0.35">
      <c r="A41" s="38" t="s">
        <v>115</v>
      </c>
      <c r="B41" s="20" t="b">
        <v>0</v>
      </c>
      <c r="D41" s="575" t="s">
        <v>105</v>
      </c>
      <c r="F41" s="20">
        <v>0</v>
      </c>
      <c r="H41" s="582">
        <f t="shared" si="1"/>
        <v>0</v>
      </c>
      <c r="J41" s="584">
        <f>IF(FTCR_run_10,FTCR!U20,0)</f>
        <v>0</v>
      </c>
      <c r="L41" s="584">
        <f>MIN(H41,J41)</f>
        <v>0</v>
      </c>
    </row>
    <row r="42" spans="1:12" x14ac:dyDescent="0.35">
      <c r="D42" s="575" t="s">
        <v>3098</v>
      </c>
      <c r="H42" s="580">
        <f>SUM(H32:H41)</f>
        <v>0</v>
      </c>
      <c r="J42" s="580">
        <f>SUM(J32:J41)</f>
        <v>0</v>
      </c>
      <c r="L42" s="580">
        <f>SUM(L32:L41)</f>
        <v>0</v>
      </c>
    </row>
  </sheetData>
  <phoneticPr fontId="68" type="noConversion"/>
  <pageMargins left="0.196850393700787" right="0.196850393700787" top="0.196850393700787" bottom="0.196850393700787" header="0" footer="0"/>
  <pageSetup paperSize="9" orientation="landscape"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2:P42"/>
  <sheetViews>
    <sheetView showGridLines="0" zoomScale="75" workbookViewId="0"/>
  </sheetViews>
  <sheetFormatPr defaultColWidth="9.1328125" defaultRowHeight="12.75" x14ac:dyDescent="0.35"/>
  <cols>
    <col min="1" max="1" width="12.265625" style="1670" bestFit="1" customWidth="1"/>
    <col min="2" max="2" width="15.265625" style="1670" customWidth="1"/>
    <col min="3" max="3" width="2.73046875" style="1670" customWidth="1"/>
    <col min="4" max="4" width="15.3984375" style="1670" customWidth="1"/>
    <col min="5" max="5" width="2.73046875" style="1670" customWidth="1"/>
    <col min="6" max="6" width="14.86328125" style="1670" customWidth="1"/>
    <col min="7" max="7" width="2.73046875" style="1670" customWidth="1"/>
    <col min="8" max="8" width="15.1328125" style="1670" customWidth="1"/>
    <col min="9" max="9" width="2.73046875" style="1670" customWidth="1"/>
    <col min="10" max="10" width="15.3984375" style="1670" customWidth="1"/>
    <col min="11" max="11" width="2.73046875" style="1670" customWidth="1"/>
    <col min="12" max="12" width="15.265625" style="1670" customWidth="1"/>
    <col min="13" max="13" width="1.73046875" style="1670" customWidth="1"/>
    <col min="14" max="14" width="13.3984375" style="1670" customWidth="1"/>
    <col min="15" max="15" width="1.59765625" style="1670" customWidth="1"/>
    <col min="16" max="16" width="12.86328125" style="1670" customWidth="1"/>
    <col min="17" max="17" width="2.265625" style="1670" customWidth="1"/>
    <col min="18" max="16384" width="9.1328125" style="1670"/>
  </cols>
  <sheetData>
    <row r="2" spans="1:16" x14ac:dyDescent="0.35">
      <c r="A2" s="1670" t="s">
        <v>3659</v>
      </c>
      <c r="B2" s="1671" t="s">
        <v>3808</v>
      </c>
      <c r="C2" s="1672"/>
      <c r="D2" s="1671" t="s">
        <v>3809</v>
      </c>
      <c r="E2" s="1672"/>
      <c r="F2" s="1671" t="s">
        <v>3810</v>
      </c>
      <c r="G2" s="1672"/>
      <c r="H2" s="1596" t="s">
        <v>1002</v>
      </c>
      <c r="I2" s="206"/>
      <c r="J2" s="1603" t="s">
        <v>1002</v>
      </c>
      <c r="K2" s="38"/>
      <c r="L2" s="1603" t="s">
        <v>5568</v>
      </c>
      <c r="M2" s="206"/>
      <c r="N2" s="1603" t="s">
        <v>5569</v>
      </c>
      <c r="O2" s="206"/>
      <c r="P2" s="578" t="s">
        <v>3659</v>
      </c>
    </row>
    <row r="3" spans="1:16" x14ac:dyDescent="0.35">
      <c r="A3" s="1670" t="s">
        <v>56</v>
      </c>
      <c r="B3" s="1673" t="s">
        <v>1430</v>
      </c>
      <c r="C3" s="1672"/>
      <c r="D3" s="1673" t="s">
        <v>677</v>
      </c>
      <c r="E3" s="1672"/>
      <c r="F3" s="1673" t="s">
        <v>1430</v>
      </c>
      <c r="G3" s="1672"/>
      <c r="H3" s="1597" t="s">
        <v>1003</v>
      </c>
      <c r="I3" s="206"/>
      <c r="J3" s="1594"/>
      <c r="K3" s="38"/>
      <c r="L3" s="1604" t="s">
        <v>2702</v>
      </c>
      <c r="M3" s="206"/>
      <c r="N3" s="1606" t="s">
        <v>2318</v>
      </c>
      <c r="O3" s="206"/>
      <c r="P3" s="579" t="s">
        <v>3377</v>
      </c>
    </row>
    <row r="4" spans="1:16" x14ac:dyDescent="0.35">
      <c r="A4" s="1670" t="s">
        <v>3095</v>
      </c>
      <c r="B4" s="1675"/>
      <c r="C4" s="1676"/>
      <c r="D4" s="1677"/>
      <c r="E4" s="1676"/>
      <c r="F4" s="1675"/>
      <c r="G4" s="1676"/>
      <c r="H4" s="1598"/>
      <c r="I4" s="413"/>
      <c r="J4" s="1609"/>
      <c r="K4" s="38"/>
      <c r="L4" s="1605"/>
      <c r="M4" s="413"/>
      <c r="N4" s="1595"/>
      <c r="O4" s="413"/>
      <c r="P4" s="412"/>
    </row>
    <row r="5" spans="1:16" x14ac:dyDescent="0.35">
      <c r="A5" s="1670" t="s">
        <v>3096</v>
      </c>
      <c r="B5" s="1675"/>
      <c r="C5" s="1676"/>
      <c r="D5" s="1677"/>
      <c r="E5" s="1676"/>
      <c r="F5" s="1675"/>
      <c r="G5" s="1676"/>
      <c r="H5" s="1598"/>
      <c r="I5" s="413"/>
      <c r="J5" s="1609"/>
      <c r="K5" s="38"/>
      <c r="L5" s="1605"/>
      <c r="M5" s="413"/>
      <c r="N5" s="1595"/>
      <c r="O5" s="413"/>
      <c r="P5" s="412"/>
    </row>
    <row r="6" spans="1:16" x14ac:dyDescent="0.35">
      <c r="A6" s="1670" t="s">
        <v>3097</v>
      </c>
      <c r="B6" s="1675"/>
      <c r="C6" s="1676"/>
      <c r="D6" s="1677"/>
      <c r="E6" s="1676"/>
      <c r="F6" s="1675"/>
      <c r="G6" s="1676"/>
      <c r="H6" s="1598"/>
      <c r="I6" s="413"/>
      <c r="J6" s="1609"/>
      <c r="K6" s="38"/>
      <c r="L6" s="1605"/>
      <c r="M6" s="413"/>
      <c r="N6" s="1595"/>
      <c r="O6" s="413"/>
      <c r="P6" s="412"/>
    </row>
    <row r="7" spans="1:16" x14ac:dyDescent="0.35">
      <c r="A7" s="1670" t="s">
        <v>2289</v>
      </c>
      <c r="B7" s="1675"/>
      <c r="D7" s="1675"/>
      <c r="F7" s="1675"/>
      <c r="H7" s="1598"/>
      <c r="I7" s="38"/>
      <c r="J7" s="1609"/>
      <c r="K7" s="38"/>
      <c r="L7" s="1595"/>
      <c r="M7" s="38"/>
      <c r="N7" s="1595"/>
      <c r="O7" s="38"/>
      <c r="P7" s="412"/>
    </row>
    <row r="8" spans="1:16" x14ac:dyDescent="0.35">
      <c r="A8" s="1670" t="s">
        <v>2330</v>
      </c>
      <c r="B8" s="1675"/>
      <c r="C8" s="1676"/>
      <c r="D8" s="1677"/>
      <c r="E8" s="1676"/>
      <c r="F8" s="1675"/>
      <c r="G8" s="1676"/>
      <c r="H8" s="1598"/>
      <c r="I8" s="413"/>
      <c r="J8" s="1609"/>
      <c r="K8" s="38"/>
      <c r="L8" s="1605"/>
      <c r="M8" s="413"/>
      <c r="N8" s="1595"/>
      <c r="O8" s="413"/>
      <c r="P8" s="412"/>
    </row>
    <row r="9" spans="1:16" x14ac:dyDescent="0.35">
      <c r="A9" s="1670" t="s">
        <v>2331</v>
      </c>
      <c r="B9" s="1675"/>
      <c r="C9" s="1676"/>
      <c r="D9" s="1677"/>
      <c r="E9" s="1676"/>
      <c r="F9" s="1675"/>
      <c r="G9" s="1676"/>
      <c r="H9" s="1598"/>
      <c r="I9" s="413"/>
      <c r="J9" s="1609"/>
      <c r="K9" s="38"/>
      <c r="L9" s="1605"/>
      <c r="M9" s="413"/>
      <c r="N9" s="1595"/>
      <c r="O9" s="413"/>
      <c r="P9" s="412"/>
    </row>
    <row r="10" spans="1:16" x14ac:dyDescent="0.35">
      <c r="A10" s="1670" t="s">
        <v>2332</v>
      </c>
      <c r="B10" s="1675"/>
      <c r="C10" s="1676"/>
      <c r="D10" s="1677"/>
      <c r="E10" s="1676"/>
      <c r="F10" s="1675"/>
      <c r="G10" s="1676"/>
      <c r="H10" s="1598"/>
      <c r="I10" s="413"/>
      <c r="J10" s="1609"/>
      <c r="K10" s="38"/>
      <c r="L10" s="1605"/>
      <c r="M10" s="413"/>
      <c r="N10" s="1595"/>
      <c r="O10" s="413"/>
      <c r="P10" s="412"/>
    </row>
    <row r="11" spans="1:16" x14ac:dyDescent="0.35">
      <c r="A11" s="1670" t="s">
        <v>2333</v>
      </c>
      <c r="B11" s="1675"/>
      <c r="D11" s="1675"/>
      <c r="F11" s="1675"/>
      <c r="H11" s="1598"/>
      <c r="I11" s="38"/>
      <c r="J11" s="1609"/>
      <c r="K11" s="38"/>
      <c r="L11" s="1595"/>
      <c r="M11" s="38"/>
      <c r="N11" s="1595"/>
      <c r="O11" s="38"/>
      <c r="P11" s="412"/>
    </row>
    <row r="12" spans="1:16" x14ac:dyDescent="0.35">
      <c r="A12" s="1670" t="s">
        <v>1241</v>
      </c>
      <c r="B12" s="1675"/>
      <c r="D12" s="1677"/>
      <c r="F12" s="1675"/>
      <c r="H12" s="1598"/>
      <c r="I12" s="38"/>
      <c r="J12" s="1609"/>
      <c r="K12" s="38"/>
      <c r="L12" s="1605"/>
      <c r="M12" s="38"/>
      <c r="N12" s="1595"/>
      <c r="O12" s="38"/>
      <c r="P12" s="412"/>
    </row>
    <row r="13" spans="1:16" ht="13.15" thickBot="1" x14ac:dyDescent="0.4">
      <c r="A13" s="1670" t="s">
        <v>1242</v>
      </c>
      <c r="B13" s="1675"/>
      <c r="D13" s="1675"/>
      <c r="F13" s="1675"/>
      <c r="H13" s="1687"/>
      <c r="I13" s="38"/>
      <c r="J13" s="1601"/>
      <c r="K13" s="38"/>
      <c r="L13" s="1601"/>
      <c r="M13" s="38"/>
      <c r="N13" s="1601"/>
      <c r="O13" s="38"/>
      <c r="P13" s="1599"/>
    </row>
    <row r="14" spans="1:16" x14ac:dyDescent="0.35">
      <c r="A14" s="1670" t="s">
        <v>3098</v>
      </c>
      <c r="B14" s="1678"/>
      <c r="D14" s="1678"/>
      <c r="F14" s="1678"/>
      <c r="H14" s="1688"/>
      <c r="I14" s="38"/>
      <c r="J14" s="1602"/>
      <c r="K14" s="38"/>
      <c r="L14" s="1602"/>
      <c r="M14" s="38"/>
      <c r="N14" s="1602"/>
      <c r="O14" s="38"/>
      <c r="P14" s="1600"/>
    </row>
    <row r="15" spans="1:16" x14ac:dyDescent="0.35">
      <c r="H15" s="38"/>
      <c r="I15" s="38"/>
      <c r="J15" s="38"/>
      <c r="K15" s="38"/>
      <c r="L15" s="38"/>
      <c r="M15" s="38"/>
      <c r="N15" s="38"/>
      <c r="O15" s="38"/>
      <c r="P15" s="38"/>
    </row>
    <row r="16" spans="1:16" x14ac:dyDescent="0.35">
      <c r="A16" s="1670" t="s">
        <v>1869</v>
      </c>
      <c r="H16" s="38"/>
      <c r="I16" s="38"/>
      <c r="J16" s="38"/>
      <c r="K16" s="38"/>
      <c r="L16" s="38"/>
      <c r="M16" s="38"/>
      <c r="N16" s="38"/>
      <c r="O16" s="38"/>
      <c r="P16" s="38"/>
    </row>
    <row r="17" spans="1:16" x14ac:dyDescent="0.35">
      <c r="A17" s="1670" t="s">
        <v>3095</v>
      </c>
      <c r="B17" s="1675"/>
      <c r="H17" s="38"/>
      <c r="I17" s="38"/>
      <c r="J17" s="575" t="s">
        <v>3909</v>
      </c>
      <c r="K17" s="38"/>
      <c r="L17" s="38"/>
      <c r="M17" s="38"/>
      <c r="N17" s="38"/>
      <c r="O17" s="38"/>
      <c r="P17" s="38"/>
    </row>
    <row r="18" spans="1:16" x14ac:dyDescent="0.35">
      <c r="A18" s="1670" t="s">
        <v>3096</v>
      </c>
      <c r="B18" s="1675"/>
      <c r="H18" s="38"/>
      <c r="I18" s="38"/>
      <c r="J18">
        <v>1</v>
      </c>
      <c r="K18" t="s">
        <v>2835</v>
      </c>
      <c r="L18" s="38"/>
      <c r="M18" s="38"/>
      <c r="N18" s="38"/>
      <c r="O18" s="38"/>
      <c r="P18" s="38"/>
    </row>
    <row r="19" spans="1:16" x14ac:dyDescent="0.35">
      <c r="A19" s="1670" t="s">
        <v>3097</v>
      </c>
      <c r="B19" s="1675"/>
      <c r="H19" s="38"/>
      <c r="I19" s="38"/>
      <c r="J19">
        <v>2</v>
      </c>
      <c r="K19" t="s">
        <v>935</v>
      </c>
      <c r="L19" s="38"/>
      <c r="M19" s="38"/>
      <c r="N19" s="38"/>
      <c r="O19" s="38"/>
      <c r="P19" s="38"/>
    </row>
    <row r="20" spans="1:16" x14ac:dyDescent="0.35">
      <c r="A20" s="1670" t="s">
        <v>2289</v>
      </c>
      <c r="B20" s="1675"/>
      <c r="H20" s="38"/>
      <c r="I20" s="38"/>
      <c r="J20">
        <v>3</v>
      </c>
      <c r="K20" t="s">
        <v>936</v>
      </c>
      <c r="L20" s="38"/>
      <c r="M20" s="38"/>
      <c r="N20" s="38"/>
      <c r="O20" s="38"/>
      <c r="P20" s="38"/>
    </row>
    <row r="21" spans="1:16" x14ac:dyDescent="0.35">
      <c r="A21" s="1670" t="s">
        <v>2330</v>
      </c>
      <c r="B21" s="1675"/>
      <c r="H21" s="38"/>
      <c r="I21" s="38"/>
      <c r="J21" s="1117">
        <v>4</v>
      </c>
      <c r="K21" s="1155" t="s">
        <v>708</v>
      </c>
      <c r="L21" s="1607"/>
      <c r="M21" s="1607"/>
      <c r="N21" s="1607"/>
      <c r="O21" s="1607"/>
      <c r="P21" s="1607"/>
    </row>
    <row r="22" spans="1:16" x14ac:dyDescent="0.35">
      <c r="A22" s="1670" t="s">
        <v>2331</v>
      </c>
      <c r="B22" s="1675"/>
      <c r="H22" s="38"/>
      <c r="I22" s="38"/>
      <c r="J22" s="1117">
        <v>5</v>
      </c>
      <c r="K22" s="1117" t="s">
        <v>988</v>
      </c>
      <c r="L22" s="1607"/>
      <c r="M22" s="1607"/>
      <c r="N22" s="1607"/>
      <c r="O22" s="1607"/>
      <c r="P22" s="1608"/>
    </row>
    <row r="23" spans="1:16" x14ac:dyDescent="0.35">
      <c r="A23" s="1670" t="s">
        <v>2332</v>
      </c>
      <c r="B23" s="1675"/>
      <c r="H23" s="38"/>
      <c r="I23" s="38"/>
      <c r="J23" s="1117">
        <v>6</v>
      </c>
      <c r="K23" s="1117" t="s">
        <v>1092</v>
      </c>
      <c r="L23" s="1607"/>
      <c r="M23" s="1607"/>
      <c r="N23" s="1607"/>
      <c r="O23" s="1607"/>
      <c r="P23" s="1608"/>
    </row>
    <row r="24" spans="1:16" x14ac:dyDescent="0.35">
      <c r="A24" s="1670" t="s">
        <v>2333</v>
      </c>
      <c r="B24" s="1675"/>
      <c r="H24" s="38"/>
      <c r="I24" s="38"/>
      <c r="J24" s="38"/>
      <c r="K24" s="38"/>
      <c r="L24" s="38"/>
      <c r="M24" s="38"/>
      <c r="N24" s="38"/>
      <c r="O24" s="38"/>
      <c r="P24" s="38"/>
    </row>
    <row r="25" spans="1:16" x14ac:dyDescent="0.35">
      <c r="A25" s="1670" t="s">
        <v>1241</v>
      </c>
      <c r="B25" s="1675"/>
      <c r="J25" s="1680"/>
      <c r="K25" s="1680"/>
    </row>
    <row r="26" spans="1:16" x14ac:dyDescent="0.35">
      <c r="A26" s="1670" t="s">
        <v>1242</v>
      </c>
      <c r="B26" s="1675"/>
      <c r="J26" s="1680"/>
      <c r="K26" s="1680"/>
    </row>
    <row r="27" spans="1:16" x14ac:dyDescent="0.35">
      <c r="A27" s="1670" t="s">
        <v>3098</v>
      </c>
      <c r="B27" s="1678"/>
    </row>
    <row r="30" spans="1:16" x14ac:dyDescent="0.35">
      <c r="B30" s="1682"/>
      <c r="F30" s="1678" t="s">
        <v>3975</v>
      </c>
      <c r="H30" s="1682" t="s">
        <v>1169</v>
      </c>
      <c r="J30" s="1682" t="s">
        <v>3969</v>
      </c>
      <c r="L30" s="1682" t="s">
        <v>3593</v>
      </c>
      <c r="P30" s="1681"/>
    </row>
    <row r="31" spans="1:16" x14ac:dyDescent="0.35">
      <c r="B31" s="1674"/>
      <c r="D31" s="1679" t="s">
        <v>3974</v>
      </c>
      <c r="F31" s="1683"/>
      <c r="H31" s="1674"/>
      <c r="J31" s="1674"/>
      <c r="L31" s="1674"/>
    </row>
    <row r="32" spans="1:16" x14ac:dyDescent="0.35">
      <c r="A32" s="1670" t="s">
        <v>106</v>
      </c>
      <c r="B32" s="1683"/>
      <c r="D32" s="1679" t="s">
        <v>3971</v>
      </c>
      <c r="F32" s="1683"/>
      <c r="H32" s="1674"/>
      <c r="J32" s="1684"/>
      <c r="L32" s="1678"/>
    </row>
    <row r="33" spans="1:12" x14ac:dyDescent="0.35">
      <c r="A33" s="1670" t="s">
        <v>107</v>
      </c>
      <c r="B33" s="1683"/>
      <c r="D33" s="1679" t="s">
        <v>3972</v>
      </c>
      <c r="F33" s="1683"/>
      <c r="H33" s="1674"/>
      <c r="J33" s="1685"/>
      <c r="L33" s="1678"/>
    </row>
    <row r="34" spans="1:12" x14ac:dyDescent="0.35">
      <c r="A34" s="1670" t="s">
        <v>108</v>
      </c>
      <c r="B34" s="1683"/>
      <c r="C34" s="1686"/>
      <c r="D34" s="1679" t="s">
        <v>3973</v>
      </c>
      <c r="F34" s="1683"/>
      <c r="H34" s="1674"/>
      <c r="J34" s="1685"/>
      <c r="L34" s="1678"/>
    </row>
    <row r="35" spans="1:12" x14ac:dyDescent="0.35">
      <c r="A35" s="1670" t="s">
        <v>109</v>
      </c>
      <c r="B35" s="1683"/>
      <c r="D35" s="1679" t="s">
        <v>2290</v>
      </c>
      <c r="F35" s="1683"/>
      <c r="H35" s="1674"/>
      <c r="J35" s="1685"/>
      <c r="L35" s="1685"/>
    </row>
    <row r="36" spans="1:12" x14ac:dyDescent="0.35">
      <c r="A36" s="1670" t="s">
        <v>110</v>
      </c>
      <c r="B36" s="1683"/>
      <c r="D36" s="1679" t="s">
        <v>1792</v>
      </c>
      <c r="F36" s="1683"/>
      <c r="H36" s="1674"/>
      <c r="J36" s="1684"/>
      <c r="L36" s="1678"/>
    </row>
    <row r="37" spans="1:12" x14ac:dyDescent="0.35">
      <c r="A37" s="1670" t="s">
        <v>111</v>
      </c>
      <c r="B37" s="1683"/>
      <c r="D37" s="1679" t="s">
        <v>1793</v>
      </c>
      <c r="F37" s="1683"/>
      <c r="H37" s="1674"/>
      <c r="J37" s="1685"/>
      <c r="L37" s="1678"/>
    </row>
    <row r="38" spans="1:12" x14ac:dyDescent="0.35">
      <c r="A38" s="1670" t="s">
        <v>112</v>
      </c>
      <c r="B38" s="1683"/>
      <c r="C38" s="1686"/>
      <c r="D38" s="1679" t="s">
        <v>1794</v>
      </c>
      <c r="F38" s="1683"/>
      <c r="H38" s="1674"/>
      <c r="J38" s="1685"/>
      <c r="L38" s="1678"/>
    </row>
    <row r="39" spans="1:12" x14ac:dyDescent="0.35">
      <c r="A39" s="1670" t="s">
        <v>113</v>
      </c>
      <c r="B39" s="1683"/>
      <c r="D39" s="1679" t="s">
        <v>1795</v>
      </c>
      <c r="F39" s="1683"/>
      <c r="H39" s="1674"/>
      <c r="J39" s="1685"/>
      <c r="L39" s="1685"/>
    </row>
    <row r="40" spans="1:12" x14ac:dyDescent="0.35">
      <c r="A40" s="1670" t="s">
        <v>114</v>
      </c>
      <c r="B40" s="1683"/>
      <c r="D40" s="1679" t="s">
        <v>104</v>
      </c>
      <c r="F40" s="1683"/>
      <c r="H40" s="1674"/>
      <c r="J40" s="1685"/>
      <c r="L40" s="1678"/>
    </row>
    <row r="41" spans="1:12" x14ac:dyDescent="0.35">
      <c r="A41" s="1670" t="s">
        <v>115</v>
      </c>
      <c r="B41" s="1683"/>
      <c r="D41" s="1679" t="s">
        <v>105</v>
      </c>
      <c r="F41" s="1683"/>
      <c r="H41" s="1674"/>
      <c r="J41" s="1685"/>
      <c r="L41" s="1685"/>
    </row>
    <row r="42" spans="1:12" x14ac:dyDescent="0.35">
      <c r="D42" s="1679" t="s">
        <v>3098</v>
      </c>
      <c r="H42" s="1678"/>
      <c r="J42" s="1678"/>
      <c r="L42" s="1678"/>
    </row>
  </sheetData>
  <pageMargins left="0.196850393700787" right="0.196850393700787" top="0.196850393700787" bottom="0.196850393700787" header="0" footer="0"/>
  <pageSetup paperSize="9" orientation="landscape"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5"/>
  <sheetViews>
    <sheetView showGridLines="0" topLeftCell="B82" workbookViewId="0">
      <selection activeCell="O109" sqref="O109"/>
    </sheetView>
  </sheetViews>
  <sheetFormatPr defaultColWidth="9.1328125" defaultRowHeight="11.65" x14ac:dyDescent="0.35"/>
  <cols>
    <col min="1" max="1" width="6" style="146" hidden="1" customWidth="1"/>
    <col min="2" max="2" width="25.1328125" style="146" customWidth="1"/>
    <col min="3" max="3" width="10" style="146" customWidth="1"/>
    <col min="4" max="4" width="18.73046875" style="146" customWidth="1"/>
    <col min="5" max="5" width="5.86328125" style="146" customWidth="1"/>
    <col min="6" max="6" width="12.1328125" style="146" customWidth="1"/>
    <col min="7" max="7" width="14.73046875" style="109" customWidth="1"/>
    <col min="8" max="8" width="5.3984375" style="109" customWidth="1"/>
    <col min="9" max="9" width="5.73046875" style="146" customWidth="1"/>
    <col min="10" max="10" width="12.1328125" style="146" customWidth="1"/>
    <col min="11" max="11" width="4.3984375" style="146" customWidth="1"/>
    <col min="12" max="13" width="5.73046875" style="146" customWidth="1"/>
    <col min="14" max="14" width="10.3984375" style="146" customWidth="1"/>
    <col min="15" max="15" width="3.86328125" style="146" customWidth="1"/>
    <col min="16" max="16" width="16.1328125" style="146" customWidth="1"/>
    <col min="17" max="17" width="4.73046875" style="146" customWidth="1"/>
    <col min="18" max="18" width="11" style="146" customWidth="1"/>
    <col min="19" max="19" width="5.1328125" style="146" customWidth="1"/>
    <col min="20" max="20" width="12.73046875" style="146" customWidth="1"/>
    <col min="21" max="21" width="2.265625" style="146" customWidth="1"/>
    <col min="22" max="22" width="7.86328125" style="146" customWidth="1"/>
    <col min="23" max="23" width="5.265625" style="146" customWidth="1"/>
    <col min="24" max="24" width="10.1328125" style="146" customWidth="1"/>
    <col min="25" max="25" width="3.86328125" style="146" customWidth="1"/>
    <col min="26" max="26" width="6.86328125" style="146" customWidth="1"/>
    <col min="27" max="27" width="5.86328125" style="146" customWidth="1"/>
    <col min="28" max="28" width="10.3984375" style="146" customWidth="1"/>
    <col min="29" max="29" width="9.73046875" style="146" customWidth="1"/>
    <col min="30" max="30" width="5.59765625" style="146" customWidth="1"/>
    <col min="31" max="31" width="9.1328125" style="146"/>
    <col min="32" max="33" width="3.73046875" style="146" customWidth="1"/>
    <col min="34" max="16384" width="9.1328125" style="146"/>
  </cols>
  <sheetData>
    <row r="1" spans="1:33" ht="17.649999999999999" x14ac:dyDescent="0.5">
      <c r="A1" s="146" t="s">
        <v>2793</v>
      </c>
      <c r="B1" s="1927" t="s">
        <v>2961</v>
      </c>
      <c r="C1" s="712"/>
      <c r="D1" s="43"/>
      <c r="E1" s="43"/>
      <c r="F1" s="43"/>
      <c r="G1" s="756" t="s">
        <v>1955</v>
      </c>
      <c r="H1" s="882"/>
      <c r="I1" s="472"/>
      <c r="J1" s="472"/>
      <c r="K1" s="472"/>
      <c r="L1" s="445"/>
      <c r="AD1" s="43"/>
      <c r="AE1" s="43"/>
      <c r="AF1" s="43"/>
      <c r="AG1" s="43"/>
    </row>
    <row r="2" spans="1:33" x14ac:dyDescent="0.35">
      <c r="A2" s="146" t="s">
        <v>2794</v>
      </c>
      <c r="G2" s="146"/>
      <c r="H2" s="146"/>
      <c r="AD2" s="43"/>
      <c r="AE2" s="43"/>
      <c r="AF2" s="43"/>
      <c r="AG2" s="43"/>
    </row>
    <row r="3" spans="1:33" x14ac:dyDescent="0.35">
      <c r="A3" s="146" t="s">
        <v>3075</v>
      </c>
      <c r="B3" s="759" t="s">
        <v>2183</v>
      </c>
      <c r="L3" s="43"/>
      <c r="M3" s="43"/>
      <c r="AD3" s="43"/>
      <c r="AE3" s="43"/>
      <c r="AF3" s="43"/>
      <c r="AG3" s="43"/>
    </row>
    <row r="4" spans="1:33" x14ac:dyDescent="0.35">
      <c r="A4" s="146" t="s">
        <v>2795</v>
      </c>
      <c r="C4" s="759"/>
      <c r="F4" s="757" t="str">
        <f>"Total all instances ("&amp;EMP&amp;EMP!C4&amp;") + ("&amp;EMP&amp;EMP!C10&amp;")"</f>
        <v>Total all instances (EMP1) + (EMP3)</v>
      </c>
      <c r="H4" s="110"/>
      <c r="AD4" s="43"/>
      <c r="AE4" s="43"/>
      <c r="AF4" s="43"/>
      <c r="AG4" s="43"/>
    </row>
    <row r="5" spans="1:33" x14ac:dyDescent="0.35">
      <c r="A5" s="146" t="s">
        <v>564</v>
      </c>
      <c r="B5" s="42" t="s">
        <v>2390</v>
      </c>
      <c r="C5" s="42"/>
      <c r="E5" s="758" t="str">
        <f>A1</f>
        <v>c1.1</v>
      </c>
      <c r="F5" s="420">
        <f>EMP!S5+EMP!T5</f>
        <v>0</v>
      </c>
      <c r="G5" s="1162" t="s">
        <v>5348</v>
      </c>
      <c r="AD5" s="43"/>
      <c r="AE5" s="43"/>
      <c r="AF5" s="43"/>
      <c r="AG5" s="43"/>
    </row>
    <row r="6" spans="1:33" x14ac:dyDescent="0.35">
      <c r="A6" s="146" t="s">
        <v>565</v>
      </c>
      <c r="AD6" s="43"/>
      <c r="AE6" s="43"/>
      <c r="AF6" s="43"/>
      <c r="AG6" s="43"/>
    </row>
    <row r="7" spans="1:33" x14ac:dyDescent="0.35">
      <c r="A7" s="146" t="s">
        <v>566</v>
      </c>
      <c r="F7" s="757" t="str">
        <f>"Total all instances ("&amp;MOR&amp;MOR!C19&amp;")"</f>
        <v>Total all instances (MOR38)</v>
      </c>
      <c r="AD7" s="43"/>
      <c r="AE7" s="43"/>
      <c r="AF7" s="43"/>
      <c r="AG7" s="43"/>
    </row>
    <row r="8" spans="1:33" x14ac:dyDescent="0.35">
      <c r="A8" s="146" t="s">
        <v>3985</v>
      </c>
      <c r="E8" s="758" t="str">
        <f>A2</f>
        <v>c1.2</v>
      </c>
      <c r="F8" s="420">
        <f>TRUNC(MOR!D20,0)</f>
        <v>0</v>
      </c>
      <c r="G8" s="1162" t="s">
        <v>5349</v>
      </c>
      <c r="AD8" s="43"/>
      <c r="AE8" s="43"/>
      <c r="AF8" s="43"/>
      <c r="AG8" s="43"/>
    </row>
    <row r="9" spans="1:33" x14ac:dyDescent="0.35">
      <c r="A9" s="146" t="s">
        <v>3076</v>
      </c>
      <c r="AD9" s="43"/>
      <c r="AE9" s="43"/>
      <c r="AF9" s="43"/>
      <c r="AG9" s="43"/>
    </row>
    <row r="10" spans="1:33" x14ac:dyDescent="0.35">
      <c r="A10" s="146" t="s">
        <v>3986</v>
      </c>
      <c r="B10" s="42"/>
      <c r="C10" s="42"/>
      <c r="F10" s="757" t="str">
        <f>ASE&amp;ASE!C8&amp;" + "&amp;ASE&amp;ASE!C11</f>
        <v>ASE3 + ASE4</v>
      </c>
      <c r="H10" s="110"/>
      <c r="J10" s="44" t="str">
        <f>E5&amp;" + "&amp;E8&amp;" + "&amp;E11</f>
        <v>c1.1 + c1.2 + c1.3</v>
      </c>
      <c r="AE10" s="43"/>
      <c r="AF10" s="43"/>
      <c r="AG10" s="43"/>
    </row>
    <row r="11" spans="1:33" x14ac:dyDescent="0.35">
      <c r="A11" s="146" t="s">
        <v>3987</v>
      </c>
      <c r="B11" s="42" t="s">
        <v>7</v>
      </c>
      <c r="C11" s="42"/>
      <c r="E11" s="758" t="str">
        <f>A3</f>
        <v>c1.3</v>
      </c>
      <c r="F11" s="420">
        <f>TRUNC(ASE!D9+ASE!D12,0)</f>
        <v>0</v>
      </c>
      <c r="G11" s="1080" t="s">
        <v>1837</v>
      </c>
      <c r="H11" s="110"/>
      <c r="I11" s="758" t="str">
        <f>A4</f>
        <v>c1.4</v>
      </c>
      <c r="J11" s="420">
        <f>F5+F8+F11</f>
        <v>0</v>
      </c>
      <c r="AD11" s="43"/>
      <c r="AE11" s="43"/>
      <c r="AF11" s="43"/>
      <c r="AG11" s="43"/>
    </row>
    <row r="12" spans="1:33" x14ac:dyDescent="0.35">
      <c r="A12" s="146" t="s">
        <v>3988</v>
      </c>
      <c r="G12" s="110"/>
      <c r="H12" s="110"/>
      <c r="AD12" s="43"/>
      <c r="AE12" s="43"/>
      <c r="AF12" s="43"/>
      <c r="AG12" s="43"/>
    </row>
    <row r="13" spans="1:33" x14ac:dyDescent="0.35">
      <c r="A13" s="146" t="s">
        <v>3989</v>
      </c>
      <c r="B13" s="42" t="s">
        <v>5347</v>
      </c>
      <c r="C13" s="42"/>
      <c r="F13" s="759"/>
      <c r="J13" s="757" t="str">
        <f>"Total all instances "&amp;EMP&amp;EMP!C16&amp;" to "&amp;EMP&amp;EMP!G25</f>
        <v>Total all instances EMP9 to EMP16</v>
      </c>
      <c r="AD13" s="43"/>
      <c r="AE13" s="43"/>
      <c r="AF13" s="43"/>
      <c r="AG13" s="43"/>
    </row>
    <row r="14" spans="1:33" x14ac:dyDescent="0.35">
      <c r="A14" s="146" t="s">
        <v>2816</v>
      </c>
      <c r="F14" s="931"/>
      <c r="H14" s="757"/>
      <c r="I14" s="758" t="str">
        <f>A5</f>
        <v>c1.5</v>
      </c>
      <c r="J14" s="420">
        <f>EMP!S17+EMP!T17</f>
        <v>0</v>
      </c>
      <c r="K14" s="1162" t="s">
        <v>5350</v>
      </c>
      <c r="N14" s="398"/>
      <c r="O14" s="398"/>
      <c r="AD14" s="43"/>
      <c r="AE14" s="43"/>
      <c r="AF14" s="43"/>
      <c r="AG14" s="43"/>
    </row>
    <row r="15" spans="1:33" x14ac:dyDescent="0.35">
      <c r="A15" s="146" t="s">
        <v>2817</v>
      </c>
      <c r="D15" s="722" t="str">
        <f>"Complete "&amp;E16&amp;" to "&amp;E18&amp;" for each instance of employment"</f>
        <v>Complete c1.5A to c1.5C for each instance of employment</v>
      </c>
      <c r="G15" s="146"/>
      <c r="H15" s="422"/>
      <c r="AD15" s="43"/>
      <c r="AE15" s="43"/>
      <c r="AF15" s="43"/>
      <c r="AG15" s="43"/>
    </row>
    <row r="16" spans="1:33" x14ac:dyDescent="0.35">
      <c r="A16" s="146" t="s">
        <v>2818</v>
      </c>
      <c r="B16" s="911"/>
      <c r="C16" s="911"/>
      <c r="D16" s="912" t="str">
        <f>"("&amp;EMP&amp;EMP!C4&amp;" + "&amp;EMP&amp;EMP!C10&amp;") + ("&amp;EMP&amp;EMP!C16&amp;" to "&amp;EMP&amp;EMP!G25&amp;")"</f>
        <v>(EMP1 + EMP3) + (EMP9 to EMP16)</v>
      </c>
      <c r="E16" s="913" t="str">
        <f>I14&amp;"A"</f>
        <v>c1.5A</v>
      </c>
      <c r="F16" s="914">
        <f>EMP!S5+EMP!S17</f>
        <v>0</v>
      </c>
      <c r="G16" s="914">
        <f>EMP!T5+EMP!T17</f>
        <v>0</v>
      </c>
      <c r="H16" s="1080" t="s">
        <v>1837</v>
      </c>
      <c r="AD16" s="43"/>
      <c r="AE16" s="43"/>
      <c r="AF16" s="43"/>
      <c r="AG16" s="43"/>
    </row>
    <row r="17" spans="1:33" x14ac:dyDescent="0.35">
      <c r="A17" s="146" t="s">
        <v>2819</v>
      </c>
      <c r="B17" s="911"/>
      <c r="C17" s="911"/>
      <c r="D17" s="915" t="str">
        <f>"Total "&amp;EMP&amp;EMP!C30&amp;" to "&amp;EMP&amp;EMP!G33</f>
        <v>Total EMP17 to EMP20</v>
      </c>
      <c r="E17" s="913" t="str">
        <f>I14&amp;"B"</f>
        <v>c1.5B</v>
      </c>
      <c r="F17" s="914">
        <f>EMP!S31</f>
        <v>0</v>
      </c>
      <c r="G17" s="914">
        <f>EMP!T31</f>
        <v>0</v>
      </c>
      <c r="H17" s="1080" t="s">
        <v>3966</v>
      </c>
      <c r="AD17" s="43"/>
      <c r="AE17" s="43"/>
      <c r="AF17" s="43"/>
      <c r="AG17" s="43"/>
    </row>
    <row r="18" spans="1:33" x14ac:dyDescent="0.35">
      <c r="A18" s="146" t="s">
        <v>3077</v>
      </c>
      <c r="B18" s="911"/>
      <c r="C18" s="911"/>
      <c r="D18" s="912" t="str">
        <f>"Smaller of "&amp;E16&amp;" and "&amp;E17</f>
        <v>Smaller of c1.5A and c1.5B</v>
      </c>
      <c r="E18" s="913" t="str">
        <f>I14&amp;"C"</f>
        <v>c1.5C</v>
      </c>
      <c r="F18" s="914">
        <f>MIN(F16,F17)</f>
        <v>0</v>
      </c>
      <c r="G18" s="914">
        <f>MIN(G16,G17)</f>
        <v>0</v>
      </c>
      <c r="AD18" s="43"/>
      <c r="AE18" s="43"/>
      <c r="AF18" s="43"/>
      <c r="AG18" s="43"/>
    </row>
    <row r="19" spans="1:33" x14ac:dyDescent="0.35">
      <c r="A19" s="146" t="s">
        <v>3533</v>
      </c>
      <c r="N19" s="398"/>
      <c r="O19" s="398"/>
      <c r="AD19" s="43"/>
      <c r="AE19" s="43"/>
      <c r="AF19" s="43"/>
      <c r="AG19" s="43"/>
    </row>
    <row r="20" spans="1:33" x14ac:dyDescent="0.35">
      <c r="A20" s="146" t="s">
        <v>3534</v>
      </c>
      <c r="B20" s="42" t="s">
        <v>5351</v>
      </c>
      <c r="C20" s="42"/>
      <c r="D20" s="912" t="str">
        <f>"Sum of all boxes "&amp;E18</f>
        <v>Sum of all boxes c1.5C</v>
      </c>
      <c r="E20" s="758" t="str">
        <f>A6</f>
        <v>c1.6</v>
      </c>
      <c r="F20" s="420">
        <f>F18+G18</f>
        <v>0</v>
      </c>
      <c r="G20" s="110"/>
      <c r="H20" s="110"/>
      <c r="J20" s="44" t="str">
        <f>E20&amp;" + "&amp;E21</f>
        <v>c1.6 + c1.7</v>
      </c>
      <c r="AD20" s="43"/>
      <c r="AE20" s="43"/>
      <c r="AF20" s="43"/>
      <c r="AG20" s="43"/>
    </row>
    <row r="21" spans="1:33" x14ac:dyDescent="0.35">
      <c r="A21" s="146" t="s">
        <v>3990</v>
      </c>
      <c r="D21" s="757" t="str">
        <f>"Total all boxes "&amp;ASE&amp;ASE!G11&amp;" to "&amp;ASE&amp;ASE!G17</f>
        <v>Total all boxes ASE11 to ASE13</v>
      </c>
      <c r="E21" s="758" t="str">
        <f>A7</f>
        <v>c1.7</v>
      </c>
      <c r="F21" s="125">
        <f>TRUNC((ASE!H12+ASE!H15+ASE!H18)+0.99,0)</f>
        <v>0</v>
      </c>
      <c r="G21" s="1080" t="s">
        <v>3966</v>
      </c>
      <c r="H21" s="44"/>
      <c r="I21" s="758" t="str">
        <f>A8</f>
        <v>c1.8</v>
      </c>
      <c r="J21" s="122">
        <f>F20+F21</f>
        <v>0</v>
      </c>
      <c r="N21" s="119"/>
      <c r="O21" s="119"/>
      <c r="AD21" s="43"/>
      <c r="AE21" s="43"/>
      <c r="AF21" s="43"/>
      <c r="AG21" s="43"/>
    </row>
    <row r="22" spans="1:33" x14ac:dyDescent="0.35">
      <c r="A22" s="146" t="s">
        <v>3991</v>
      </c>
      <c r="B22" s="42"/>
      <c r="C22" s="42"/>
      <c r="G22" s="146"/>
      <c r="H22" s="146"/>
      <c r="AD22" s="43"/>
      <c r="AE22" s="43"/>
      <c r="AF22" s="43"/>
      <c r="AG22" s="43"/>
    </row>
    <row r="23" spans="1:33" x14ac:dyDescent="0.35">
      <c r="A23" s="146" t="s">
        <v>3992</v>
      </c>
      <c r="J23" s="44" t="str">
        <f>"("&amp;I11&amp;" + "&amp;I14&amp;") minus "&amp;I21</f>
        <v>(c1.4 + c1.5) minus c1.8</v>
      </c>
      <c r="AD23" s="43"/>
      <c r="AE23" s="43"/>
      <c r="AF23" s="43"/>
      <c r="AG23" s="43"/>
    </row>
    <row r="24" spans="1:33" x14ac:dyDescent="0.35">
      <c r="A24" s="146" t="s">
        <v>3993</v>
      </c>
      <c r="B24" s="399" t="s">
        <v>2298</v>
      </c>
      <c r="C24" s="399"/>
      <c r="G24" s="146"/>
      <c r="H24" s="146"/>
      <c r="I24" s="758" t="str">
        <f>A9</f>
        <v>c1.9</v>
      </c>
      <c r="J24" s="397">
        <f>MAX(0,J11+J14-J21)</f>
        <v>0</v>
      </c>
      <c r="AD24" s="43"/>
      <c r="AE24" s="43"/>
      <c r="AF24" s="43"/>
      <c r="AG24" s="43"/>
    </row>
    <row r="25" spans="1:33" x14ac:dyDescent="0.35">
      <c r="A25" s="146" t="s">
        <v>2785</v>
      </c>
      <c r="B25" s="760"/>
      <c r="C25" s="760"/>
      <c r="D25" s="760"/>
      <c r="E25" s="760"/>
      <c r="F25" s="760"/>
      <c r="G25" s="760"/>
      <c r="H25" s="760"/>
      <c r="I25" s="760"/>
      <c r="J25" s="760"/>
      <c r="K25" s="760"/>
      <c r="L25" s="760"/>
      <c r="M25" s="761"/>
      <c r="O25" s="398"/>
      <c r="AE25" s="43"/>
      <c r="AF25" s="43"/>
      <c r="AG25" s="43"/>
    </row>
    <row r="26" spans="1:33" x14ac:dyDescent="0.35">
      <c r="A26" s="146" t="s">
        <v>2786</v>
      </c>
      <c r="D26" s="407"/>
      <c r="G26" s="146"/>
      <c r="H26" s="146"/>
      <c r="AE26" s="43"/>
      <c r="AF26" s="43"/>
      <c r="AG26" s="43"/>
    </row>
    <row r="27" spans="1:33" x14ac:dyDescent="0.35">
      <c r="A27" s="146" t="s">
        <v>2787</v>
      </c>
      <c r="J27" s="763" t="str">
        <f>"from "&amp;ASE&amp;ASE!C5</f>
        <v>from ASE1</v>
      </c>
      <c r="AD27" s="43"/>
      <c r="AE27" s="43"/>
      <c r="AF27" s="43"/>
      <c r="AG27" s="43"/>
    </row>
    <row r="28" spans="1:33" x14ac:dyDescent="0.35">
      <c r="A28" s="146" t="s">
        <v>2788</v>
      </c>
      <c r="B28" s="762" t="s">
        <v>2293</v>
      </c>
      <c r="C28" s="762"/>
      <c r="D28" s="762"/>
      <c r="E28" s="759"/>
      <c r="F28" s="759"/>
      <c r="H28" s="763"/>
      <c r="I28" s="758" t="str">
        <f>A10</f>
        <v>c1.10</v>
      </c>
      <c r="J28" s="397">
        <f>TRUNC(ASE!D6,0)</f>
        <v>0</v>
      </c>
      <c r="K28" s="1080" t="s">
        <v>1837</v>
      </c>
      <c r="N28" s="398"/>
      <c r="AD28" s="43"/>
      <c r="AE28" s="43"/>
      <c r="AF28" s="43"/>
      <c r="AG28" s="43"/>
    </row>
    <row r="29" spans="1:33" x14ac:dyDescent="0.35">
      <c r="A29" s="146" t="s">
        <v>2789</v>
      </c>
      <c r="B29" s="760"/>
      <c r="C29" s="760"/>
      <c r="D29" s="760"/>
      <c r="E29" s="760"/>
      <c r="F29" s="760"/>
      <c r="G29" s="760"/>
      <c r="H29" s="760"/>
      <c r="I29" s="760"/>
      <c r="J29" s="760"/>
      <c r="K29" s="760"/>
      <c r="L29" s="760"/>
      <c r="M29" s="761"/>
      <c r="AE29" s="43"/>
      <c r="AF29" s="43"/>
      <c r="AG29" s="43"/>
    </row>
    <row r="30" spans="1:33" x14ac:dyDescent="0.35">
      <c r="A30" s="146" t="s">
        <v>2790</v>
      </c>
      <c r="AE30" s="43"/>
      <c r="AF30" s="43"/>
      <c r="AG30" s="43"/>
    </row>
    <row r="31" spans="1:33" x14ac:dyDescent="0.35">
      <c r="A31" s="146" t="s">
        <v>3535</v>
      </c>
      <c r="B31" s="762" t="s">
        <v>2813</v>
      </c>
      <c r="C31" s="762"/>
      <c r="F31" s="763" t="str">
        <f>"Total all instances ("&amp;SSE&amp;SE!C5&amp;")"</f>
        <v>Total all instances (SSE29)</v>
      </c>
      <c r="G31" s="146"/>
      <c r="H31" s="146"/>
      <c r="AE31" s="43"/>
      <c r="AF31" s="43"/>
      <c r="AG31" s="43"/>
    </row>
    <row r="32" spans="1:33" x14ac:dyDescent="0.35">
      <c r="A32" s="146" t="s">
        <v>2791</v>
      </c>
      <c r="B32" s="399" t="s">
        <v>4697</v>
      </c>
      <c r="C32" s="399"/>
      <c r="D32" s="109"/>
      <c r="E32" s="758" t="str">
        <f>A11</f>
        <v>c1.11</v>
      </c>
      <c r="F32" s="397">
        <f>TRUNC(SE!D6+0.99,0)</f>
        <v>0</v>
      </c>
      <c r="G32" s="1243" t="s">
        <v>4806</v>
      </c>
      <c r="H32" s="110"/>
      <c r="I32" s="399"/>
      <c r="AE32" s="43"/>
      <c r="AF32" s="43"/>
      <c r="AG32" s="43"/>
    </row>
    <row r="33" spans="1:33" x14ac:dyDescent="0.35">
      <c r="A33" s="146" t="s">
        <v>2792</v>
      </c>
      <c r="G33" s="146"/>
      <c r="AE33" s="43"/>
      <c r="AF33" s="43"/>
      <c r="AG33" s="43"/>
    </row>
    <row r="34" spans="1:33" x14ac:dyDescent="0.35">
      <c r="A34" s="146" t="s">
        <v>3669</v>
      </c>
      <c r="F34" s="763" t="str">
        <f>"Total all instances ("&amp;SSE&amp;SE!C8&amp;")"</f>
        <v>Total all instances (SSE31)</v>
      </c>
      <c r="G34" s="146"/>
      <c r="J34" s="109" t="str">
        <f>E35&amp;" + "&amp;E32</f>
        <v>c1.12 + c1.11</v>
      </c>
      <c r="AE34" s="43"/>
      <c r="AF34" s="43"/>
      <c r="AG34" s="43"/>
    </row>
    <row r="35" spans="1:33" x14ac:dyDescent="0.35">
      <c r="A35" s="146" t="s">
        <v>2963</v>
      </c>
      <c r="B35" s="146" t="s">
        <v>4725</v>
      </c>
      <c r="D35" s="109"/>
      <c r="E35" s="758" t="str">
        <f>A12</f>
        <v>c1.12</v>
      </c>
      <c r="F35" s="397">
        <f>TRUNC(SE!D9,0)</f>
        <v>0</v>
      </c>
      <c r="G35" s="1243" t="s">
        <v>4811</v>
      </c>
      <c r="I35" s="758" t="str">
        <f>A13</f>
        <v>c1.13</v>
      </c>
      <c r="J35" s="397">
        <f>MAX(F35+F32,0)</f>
        <v>0</v>
      </c>
      <c r="AE35" s="43"/>
      <c r="AF35" s="43"/>
      <c r="AG35" s="43"/>
    </row>
    <row r="36" spans="1:33" x14ac:dyDescent="0.35">
      <c r="A36" s="146" t="s">
        <v>1181</v>
      </c>
      <c r="G36" s="146"/>
      <c r="AE36" s="43"/>
      <c r="AF36" s="43"/>
      <c r="AG36" s="43"/>
    </row>
    <row r="37" spans="1:33" x14ac:dyDescent="0.35">
      <c r="A37" s="146" t="s">
        <v>2969</v>
      </c>
      <c r="F37" s="763" t="str">
        <f>"Total all instances ("&amp;FSE&amp;SE!G11&amp;")"</f>
        <v>Total all instances (FSE74)</v>
      </c>
      <c r="G37" s="146"/>
      <c r="AE37" s="43"/>
      <c r="AF37" s="43"/>
      <c r="AG37" s="43"/>
    </row>
    <row r="38" spans="1:33" x14ac:dyDescent="0.35">
      <c r="A38" s="146" t="s">
        <v>4689</v>
      </c>
      <c r="B38" s="399" t="s">
        <v>4697</v>
      </c>
      <c r="D38" s="109"/>
      <c r="E38" s="758" t="str">
        <f>A14</f>
        <v>c1.14</v>
      </c>
      <c r="F38" s="397">
        <f>TRUNC(SE!H12+0.99,0)</f>
        <v>0</v>
      </c>
      <c r="G38" s="1243" t="s">
        <v>4807</v>
      </c>
      <c r="AD38" s="398"/>
    </row>
    <row r="39" spans="1:33" x14ac:dyDescent="0.35">
      <c r="A39" s="146" t="s">
        <v>4690</v>
      </c>
      <c r="G39" s="146"/>
      <c r="AD39" s="399"/>
    </row>
    <row r="40" spans="1:33" x14ac:dyDescent="0.35">
      <c r="A40" s="146" t="s">
        <v>4691</v>
      </c>
      <c r="F40" s="763" t="str">
        <f>"Total all instances ("&amp;FSE&amp;SE!G14&amp;")"</f>
        <v>Total all instances (FSE76)</v>
      </c>
      <c r="G40" s="146"/>
      <c r="J40" s="109" t="str">
        <f>E41&amp;" + "&amp;E38</f>
        <v>c1.15 + c1.14</v>
      </c>
    </row>
    <row r="41" spans="1:33" x14ac:dyDescent="0.35">
      <c r="A41" s="146" t="s">
        <v>4692</v>
      </c>
      <c r="B41" s="146" t="s">
        <v>4725</v>
      </c>
      <c r="D41" s="109"/>
      <c r="E41" s="758" t="str">
        <f>A15</f>
        <v>c1.15</v>
      </c>
      <c r="F41" s="397">
        <f>TRUNC(SE!H15,0)</f>
        <v>0</v>
      </c>
      <c r="G41" s="1243" t="s">
        <v>4812</v>
      </c>
      <c r="H41" s="110"/>
      <c r="I41" s="758" t="str">
        <f>A16</f>
        <v>c1.16</v>
      </c>
      <c r="J41" s="397">
        <f>MAX(F41+F38,0)</f>
        <v>0</v>
      </c>
      <c r="M41" s="119"/>
      <c r="AD41" s="399"/>
    </row>
    <row r="42" spans="1:33" x14ac:dyDescent="0.35">
      <c r="A42" s="146" t="s">
        <v>4693</v>
      </c>
      <c r="AD42" s="399"/>
    </row>
    <row r="43" spans="1:33" x14ac:dyDescent="0.35">
      <c r="A43" s="146" t="s">
        <v>4694</v>
      </c>
      <c r="J43" s="109" t="str">
        <f>I35&amp;" + "&amp;I41</f>
        <v>c1.13 + c1.16</v>
      </c>
    </row>
    <row r="44" spans="1:33" x14ac:dyDescent="0.35">
      <c r="A44" s="146" t="s">
        <v>4695</v>
      </c>
      <c r="B44" s="146" t="s">
        <v>4700</v>
      </c>
      <c r="I44" s="758" t="str">
        <f>A17</f>
        <v>c1.17</v>
      </c>
      <c r="J44" s="397">
        <f>J35+J41</f>
        <v>0</v>
      </c>
      <c r="AD44" s="399"/>
    </row>
    <row r="45" spans="1:33" x14ac:dyDescent="0.35">
      <c r="A45" s="146" t="s">
        <v>4696</v>
      </c>
      <c r="B45" s="760"/>
      <c r="C45" s="760"/>
      <c r="D45" s="760"/>
      <c r="E45" s="760"/>
      <c r="F45" s="760"/>
      <c r="G45" s="760"/>
      <c r="H45" s="760"/>
      <c r="I45" s="760"/>
      <c r="J45" s="760"/>
      <c r="K45" s="760"/>
      <c r="L45" s="760"/>
      <c r="M45" s="761"/>
      <c r="AD45" s="399"/>
    </row>
    <row r="46" spans="1:33" x14ac:dyDescent="0.35">
      <c r="A46" s="146" t="s">
        <v>4701</v>
      </c>
    </row>
    <row r="47" spans="1:33" x14ac:dyDescent="0.35">
      <c r="A47" s="146" t="s">
        <v>4702</v>
      </c>
      <c r="B47" s="762" t="s">
        <v>3536</v>
      </c>
      <c r="F47" s="764" t="str">
        <f>"from "&amp;LUN&amp;LUN!K4</f>
        <v>from LUN51</v>
      </c>
      <c r="AD47" s="399"/>
    </row>
    <row r="48" spans="1:33" x14ac:dyDescent="0.35">
      <c r="A48" s="146" t="s">
        <v>4703</v>
      </c>
      <c r="B48" s="399" t="s">
        <v>4697</v>
      </c>
      <c r="C48" s="762"/>
      <c r="E48" s="758" t="str">
        <f>A18</f>
        <v>c1.18</v>
      </c>
      <c r="F48" s="397">
        <f>TRUNC(LUN!L5+0.99,0)</f>
        <v>0</v>
      </c>
      <c r="G48" s="1243" t="s">
        <v>3966</v>
      </c>
      <c r="L48" s="119"/>
    </row>
    <row r="49" spans="1:15" x14ac:dyDescent="0.35">
      <c r="A49" s="146" t="s">
        <v>4704</v>
      </c>
      <c r="G49" s="146"/>
    </row>
    <row r="50" spans="1:15" x14ac:dyDescent="0.35">
      <c r="A50" s="146" t="s">
        <v>4705</v>
      </c>
      <c r="F50" s="763" t="str">
        <f>"from "&amp;LUN&amp;LUN!K7</f>
        <v>from LUN52</v>
      </c>
      <c r="G50" s="146"/>
      <c r="J50" s="109" t="str">
        <f>E51&amp;" + "&amp;E48</f>
        <v>c1.19 + c1.18</v>
      </c>
    </row>
    <row r="51" spans="1:15" x14ac:dyDescent="0.35">
      <c r="A51" s="146" t="s">
        <v>4706</v>
      </c>
      <c r="B51" s="146" t="s">
        <v>4725</v>
      </c>
      <c r="E51" s="758" t="str">
        <f>A19</f>
        <v>c1.19</v>
      </c>
      <c r="F51" s="397">
        <f>TRUNC(LUN!L8,0)</f>
        <v>0</v>
      </c>
      <c r="G51" s="1243" t="s">
        <v>1837</v>
      </c>
      <c r="I51" s="758" t="str">
        <f>A20</f>
        <v>c1.20</v>
      </c>
      <c r="J51" s="397">
        <f>MAX(F51+F48,0)</f>
        <v>0</v>
      </c>
    </row>
    <row r="52" spans="1:15" x14ac:dyDescent="0.35">
      <c r="A52" s="146" t="s">
        <v>4719</v>
      </c>
      <c r="B52" s="760"/>
      <c r="C52" s="760"/>
      <c r="D52" s="760"/>
      <c r="E52" s="760"/>
      <c r="F52" s="760"/>
      <c r="G52" s="760"/>
      <c r="H52" s="760"/>
      <c r="I52" s="760"/>
      <c r="J52" s="760"/>
      <c r="K52" s="760"/>
      <c r="L52" s="760"/>
      <c r="M52" s="761"/>
    </row>
    <row r="53" spans="1:15" x14ac:dyDescent="0.35">
      <c r="A53" s="146" t="s">
        <v>4720</v>
      </c>
      <c r="B53" s="399"/>
      <c r="C53" s="399"/>
      <c r="G53" s="146"/>
      <c r="H53" s="146"/>
    </row>
    <row r="54" spans="1:15" x14ac:dyDescent="0.35">
      <c r="A54" s="146" t="s">
        <v>4721</v>
      </c>
      <c r="B54" s="762" t="s">
        <v>1553</v>
      </c>
      <c r="C54" s="762"/>
      <c r="F54" s="763" t="str">
        <f>"Total all instances ("&amp;SPS&amp;PS!C10&amp;")"</f>
        <v>Total all instances (SPS17)</v>
      </c>
      <c r="G54" s="146"/>
      <c r="H54" s="146"/>
      <c r="O54" s="398"/>
    </row>
    <row r="55" spans="1:15" x14ac:dyDescent="0.35">
      <c r="A55" s="146" t="s">
        <v>4722</v>
      </c>
      <c r="B55" s="399" t="s">
        <v>4697</v>
      </c>
      <c r="C55" s="399"/>
      <c r="E55" s="758" t="str">
        <f>A21</f>
        <v>c1.21</v>
      </c>
      <c r="F55" s="397">
        <f>TRUNC(PS!D11+0.99,0)</f>
        <v>0</v>
      </c>
      <c r="G55" s="1243" t="s">
        <v>4808</v>
      </c>
      <c r="H55" s="110"/>
      <c r="I55" s="399"/>
      <c r="K55" s="399"/>
      <c r="M55" s="398"/>
    </row>
    <row r="56" spans="1:15" x14ac:dyDescent="0.35">
      <c r="A56" s="146" t="s">
        <v>4723</v>
      </c>
      <c r="G56" s="146"/>
      <c r="N56" s="398"/>
      <c r="O56" s="141"/>
    </row>
    <row r="57" spans="1:15" x14ac:dyDescent="0.35">
      <c r="A57" s="146" t="s">
        <v>4724</v>
      </c>
      <c r="F57" s="763" t="str">
        <f>"Total all instances ("&amp;SPS&amp;PS!C13&amp;")"</f>
        <v>Total all instances (SPS20)</v>
      </c>
      <c r="G57" s="146"/>
      <c r="J57" s="109" t="str">
        <f>E58&amp;" + "&amp;E55</f>
        <v>c1.22 + c1.21</v>
      </c>
      <c r="O57" s="141"/>
    </row>
    <row r="58" spans="1:15" x14ac:dyDescent="0.35">
      <c r="A58" s="146" t="s">
        <v>4979</v>
      </c>
      <c r="B58" s="146" t="s">
        <v>4726</v>
      </c>
      <c r="E58" s="758" t="str">
        <f>A22</f>
        <v>c1.22</v>
      </c>
      <c r="F58" s="397">
        <f>TRUNC(PS!D14,0)</f>
        <v>0</v>
      </c>
      <c r="G58" s="1243" t="s">
        <v>4813</v>
      </c>
      <c r="I58" s="758" t="str">
        <f>A23</f>
        <v>c1.23</v>
      </c>
      <c r="J58" s="397">
        <f>MAX(F58+F55,0)</f>
        <v>0</v>
      </c>
    </row>
    <row r="59" spans="1:15" x14ac:dyDescent="0.35">
      <c r="A59" s="146" t="s">
        <v>4980</v>
      </c>
      <c r="G59" s="146"/>
    </row>
    <row r="60" spans="1:15" x14ac:dyDescent="0.35">
      <c r="A60" s="146" t="s">
        <v>4981</v>
      </c>
      <c r="F60" s="763" t="str">
        <f>"Total all instances ("&amp;FPS&amp;PS!J4&amp;" + "&amp;FPS&amp;PS!G19&amp;" + "&amp;FPS&amp;PS!G25&amp;" + "&amp;FPS&amp;PS!G28&amp;")"</f>
        <v>Total all instances (FPS17 + FPS38 + FPS47 + FPS58)</v>
      </c>
      <c r="G60" s="146"/>
    </row>
    <row r="61" spans="1:15" x14ac:dyDescent="0.35">
      <c r="A61" s="146" t="s">
        <v>4982</v>
      </c>
      <c r="B61" s="399" t="s">
        <v>4697</v>
      </c>
      <c r="E61" s="758" t="str">
        <f>A24</f>
        <v>c1.24</v>
      </c>
      <c r="F61" s="397">
        <f>TRUNC(PS!K5+0.99,0)+TRUNC(PS!H20+0.99,0)+TRUNC(PS!H26+0.99,0)+TRUNC(PS!H29+0.99,0)</f>
        <v>0</v>
      </c>
      <c r="G61" s="1243" t="s">
        <v>4809</v>
      </c>
      <c r="H61" s="110"/>
      <c r="K61" s="398"/>
    </row>
    <row r="62" spans="1:15" x14ac:dyDescent="0.35">
      <c r="G62" s="146"/>
    </row>
    <row r="63" spans="1:15" x14ac:dyDescent="0.35">
      <c r="F63" s="763" t="str">
        <f>"Total all instances ("&amp;FPS&amp;PS!G34&amp;")"</f>
        <v>Total all instances (FPS76)</v>
      </c>
      <c r="G63" s="146"/>
      <c r="J63" s="109" t="str">
        <f>E64&amp;" + "&amp;E61</f>
        <v>c1.25 + c1.24</v>
      </c>
    </row>
    <row r="64" spans="1:15" x14ac:dyDescent="0.35">
      <c r="B64" s="146" t="s">
        <v>4726</v>
      </c>
      <c r="E64" s="758" t="str">
        <f>A25</f>
        <v>c1.25</v>
      </c>
      <c r="F64" s="397">
        <f>TRUNC(PS!H35,0)</f>
        <v>0</v>
      </c>
      <c r="G64" s="1243" t="s">
        <v>4814</v>
      </c>
      <c r="I64" s="758" t="str">
        <f>A26</f>
        <v>c1.26</v>
      </c>
      <c r="J64" s="397">
        <f>MAX(F64+F61,0)</f>
        <v>0</v>
      </c>
    </row>
    <row r="65" spans="2:13" x14ac:dyDescent="0.35">
      <c r="G65" s="146"/>
    </row>
    <row r="66" spans="2:13" x14ac:dyDescent="0.35">
      <c r="J66" s="109" t="str">
        <f>I58&amp;" + "&amp;I64</f>
        <v>c1.23 + c1.26</v>
      </c>
    </row>
    <row r="67" spans="2:13" x14ac:dyDescent="0.35">
      <c r="B67" s="146" t="s">
        <v>4698</v>
      </c>
      <c r="I67" s="758" t="str">
        <f>A27</f>
        <v>c1.27</v>
      </c>
      <c r="J67" s="397">
        <f>J58+J64</f>
        <v>0</v>
      </c>
    </row>
    <row r="68" spans="2:13" x14ac:dyDescent="0.35">
      <c r="B68" s="760"/>
      <c r="C68" s="760"/>
      <c r="D68" s="760"/>
      <c r="E68" s="760"/>
      <c r="F68" s="760"/>
      <c r="G68" s="760"/>
      <c r="H68" s="760"/>
      <c r="I68" s="760"/>
      <c r="J68" s="760"/>
      <c r="K68" s="760"/>
      <c r="L68" s="760"/>
      <c r="M68" s="761"/>
    </row>
    <row r="69" spans="2:13" x14ac:dyDescent="0.35">
      <c r="G69" s="146"/>
      <c r="H69" s="146"/>
      <c r="L69" s="119"/>
    </row>
    <row r="70" spans="2:13" x14ac:dyDescent="0.35">
      <c r="B70" s="762" t="s">
        <v>2773</v>
      </c>
      <c r="C70" s="762"/>
      <c r="K70" s="1080"/>
    </row>
    <row r="71" spans="2:13" x14ac:dyDescent="0.35">
      <c r="B71" s="762" t="s">
        <v>4763</v>
      </c>
      <c r="F71" s="763" t="str">
        <f>"Total all instances (lower of "&amp;PRO&amp;PRO!C7&amp;" and "&amp;PRO&amp;PRO!C10&amp;")"</f>
        <v>Total all instances (lower of PRO13 and PRO14)</v>
      </c>
    </row>
    <row r="72" spans="2:13" x14ac:dyDescent="0.35">
      <c r="B72" s="399" t="s">
        <v>5670</v>
      </c>
      <c r="E72" s="758" t="str">
        <f>A28</f>
        <v>c1.28</v>
      </c>
      <c r="F72" s="397">
        <f>MAX(0,MIN(TRUNC(PRO!D8,0),TRUNC(PRO!D11+0.99,0)))+MAX(0,MIN(TRUNC(PRO!D15,0),TRUNC(PRO!D18+0.99,0)))</f>
        <v>0</v>
      </c>
      <c r="G72" s="1243" t="s">
        <v>4810</v>
      </c>
    </row>
    <row r="73" spans="2:13" x14ac:dyDescent="0.35">
      <c r="G73" s="146"/>
    </row>
    <row r="74" spans="2:13" x14ac:dyDescent="0.35">
      <c r="F74" s="763" t="str">
        <f>"Total all instances ("&amp;PRO&amp;PRO!G10&amp;")"</f>
        <v>Total all instances (PRO15)</v>
      </c>
      <c r="G74" s="146"/>
      <c r="J74" s="109" t="str">
        <f>E75&amp;" + "&amp;E72</f>
        <v>c1.29 + c1.28</v>
      </c>
    </row>
    <row r="75" spans="2:13" x14ac:dyDescent="0.35">
      <c r="B75" s="146" t="s">
        <v>4727</v>
      </c>
      <c r="E75" s="758" t="str">
        <f>A29</f>
        <v>c1.29</v>
      </c>
      <c r="F75" s="397">
        <f>TRUNC(PRO!H11,0)+TRUNC(PRO!H18,0)</f>
        <v>0</v>
      </c>
      <c r="G75" s="1243" t="s">
        <v>4841</v>
      </c>
      <c r="I75" s="758" t="str">
        <f>A30</f>
        <v>c1.30</v>
      </c>
      <c r="J75" s="397">
        <f>MAX(F75+F72,0)</f>
        <v>0</v>
      </c>
    </row>
    <row r="77" spans="2:13" x14ac:dyDescent="0.35">
      <c r="B77" s="762" t="s">
        <v>4764</v>
      </c>
      <c r="F77" s="764" t="str">
        <f>"lower of "&amp;PRO&amp;PRO!G27&amp;" and "&amp;PRO&amp;PRO!G30</f>
        <v>lower of PRO38 and PRO39</v>
      </c>
    </row>
    <row r="78" spans="2:13" x14ac:dyDescent="0.35">
      <c r="B78" s="399" t="s">
        <v>5670</v>
      </c>
      <c r="E78" s="758" t="str">
        <f>A31</f>
        <v>c1.31</v>
      </c>
      <c r="F78" s="397">
        <f>MAX(0,MIN(TRUNC(PRO!H28,0),TRUNC(PRO!H31+0.99,0)))</f>
        <v>0</v>
      </c>
      <c r="G78" s="1243" t="s">
        <v>3966</v>
      </c>
    </row>
    <row r="79" spans="2:13" x14ac:dyDescent="0.35">
      <c r="G79" s="146"/>
    </row>
    <row r="80" spans="2:13" x14ac:dyDescent="0.35">
      <c r="F80" s="764" t="str">
        <f>"from "&amp;PRO&amp;PRO!G33</f>
        <v>from PRO40</v>
      </c>
      <c r="G80" s="146"/>
      <c r="J80" s="109" t="str">
        <f>E81&amp;" + "&amp;E78</f>
        <v>c1.32 + c1.31</v>
      </c>
    </row>
    <row r="81" spans="2:13" x14ac:dyDescent="0.35">
      <c r="B81" s="146" t="s">
        <v>4727</v>
      </c>
      <c r="E81" s="758" t="str">
        <f>A32</f>
        <v>c1.32</v>
      </c>
      <c r="F81" s="397">
        <f>TRUNC(PRO!H34,0)</f>
        <v>0</v>
      </c>
      <c r="G81" s="1243" t="s">
        <v>1837</v>
      </c>
      <c r="I81" s="758" t="str">
        <f>A33</f>
        <v>c1.33</v>
      </c>
      <c r="J81" s="397">
        <f>MAX(F81+F78,0)</f>
        <v>0</v>
      </c>
    </row>
    <row r="83" spans="2:13" x14ac:dyDescent="0.35">
      <c r="J83" s="109" t="str">
        <f>I75&amp;" + "&amp;I81</f>
        <v>c1.30 + c1.33</v>
      </c>
    </row>
    <row r="84" spans="2:13" x14ac:dyDescent="0.35">
      <c r="B84" s="146" t="s">
        <v>2773</v>
      </c>
      <c r="I84" s="758" t="str">
        <f>A34</f>
        <v>c1.34</v>
      </c>
      <c r="J84" s="397">
        <f>J75+J81</f>
        <v>0</v>
      </c>
    </row>
    <row r="85" spans="2:13" x14ac:dyDescent="0.35">
      <c r="B85" s="760"/>
      <c r="C85" s="760"/>
      <c r="D85" s="760"/>
      <c r="E85" s="760"/>
      <c r="F85" s="760"/>
      <c r="G85" s="760"/>
      <c r="H85" s="760"/>
      <c r="I85" s="760"/>
      <c r="J85" s="760"/>
      <c r="K85" s="760"/>
      <c r="L85" s="760"/>
      <c r="M85" s="761"/>
    </row>
    <row r="87" spans="2:13" x14ac:dyDescent="0.35">
      <c r="B87" s="762" t="s">
        <v>1423</v>
      </c>
      <c r="C87" s="762"/>
      <c r="H87" s="146"/>
      <c r="J87" s="757" t="str">
        <f>FOR&amp;FOR!G27&amp;" + "&amp;FOR&amp;FOR!G33&amp;" + "&amp;FOR&amp;FOR!K31&amp;" + "&amp;FOR&amp;FOR!K34</f>
        <v>FOR9 + FOR13 + FOR41 + FOR42</v>
      </c>
    </row>
    <row r="88" spans="2:13" x14ac:dyDescent="0.35">
      <c r="B88" s="146" t="s">
        <v>4976</v>
      </c>
      <c r="H88" s="146"/>
      <c r="I88" s="758" t="str">
        <f>A35</f>
        <v>c1.35</v>
      </c>
      <c r="J88" s="397">
        <f>TRUNC(FOR!H28,0)+TRUNC(FOR!H34,0)+TRUNC(FOR!L32,0)+TRUNC(FOR!L35,0)</f>
        <v>0</v>
      </c>
      <c r="K88" s="1080" t="s">
        <v>1837</v>
      </c>
    </row>
    <row r="90" spans="2:13" x14ac:dyDescent="0.35">
      <c r="B90" s="146" t="s">
        <v>4685</v>
      </c>
      <c r="F90" s="764" t="str">
        <f>"from "&amp;FOR&amp;FOR!K9</f>
        <v>from FOR26</v>
      </c>
    </row>
    <row r="91" spans="2:13" x14ac:dyDescent="0.35">
      <c r="B91" s="399" t="s">
        <v>4697</v>
      </c>
      <c r="E91" s="758" t="str">
        <f>A36</f>
        <v>c1.36</v>
      </c>
      <c r="F91" s="397">
        <f>TRUNC(FOR!L10+0.99,0)</f>
        <v>0</v>
      </c>
      <c r="G91" s="1243" t="s">
        <v>3966</v>
      </c>
    </row>
    <row r="92" spans="2:13" x14ac:dyDescent="0.35">
      <c r="G92" s="146"/>
    </row>
    <row r="93" spans="2:13" x14ac:dyDescent="0.35">
      <c r="F93" s="764" t="str">
        <f>"from "&amp;FOR&amp;FOR!O13</f>
        <v>from FOR30</v>
      </c>
      <c r="G93" s="146"/>
    </row>
    <row r="94" spans="2:13" x14ac:dyDescent="0.35">
      <c r="B94" s="399" t="s">
        <v>4728</v>
      </c>
      <c r="C94" s="399"/>
      <c r="E94" s="758" t="str">
        <f>A37</f>
        <v>c1.37</v>
      </c>
      <c r="F94" s="397">
        <f>TRUNC(FOR!P14,0)</f>
        <v>0</v>
      </c>
      <c r="G94" s="1243" t="s">
        <v>1837</v>
      </c>
    </row>
    <row r="95" spans="2:13" x14ac:dyDescent="0.35">
      <c r="B95" s="43"/>
      <c r="C95" s="43"/>
      <c r="D95" s="43"/>
      <c r="G95" s="43"/>
      <c r="H95" s="43"/>
      <c r="I95" s="43"/>
      <c r="J95" s="43"/>
      <c r="K95" s="43"/>
      <c r="L95" s="43"/>
      <c r="M95" s="399"/>
    </row>
    <row r="96" spans="2:13" x14ac:dyDescent="0.35">
      <c r="B96" s="43"/>
      <c r="C96" s="43"/>
      <c r="D96" s="43"/>
      <c r="E96" s="43"/>
      <c r="F96" s="764" t="str">
        <f>"from "&amp;FOR&amp;FOR!K17</f>
        <v>from FOR31</v>
      </c>
      <c r="G96" s="44"/>
      <c r="H96" s="44"/>
      <c r="I96" s="43"/>
      <c r="J96" s="43"/>
      <c r="K96" s="43"/>
      <c r="L96" s="43"/>
      <c r="M96" s="43"/>
    </row>
    <row r="97" spans="2:16" x14ac:dyDescent="0.35">
      <c r="B97" s="146" t="s">
        <v>4462</v>
      </c>
      <c r="E97" s="758" t="str">
        <f>A38</f>
        <v>c1.38</v>
      </c>
      <c r="F97" s="397">
        <f>TRUNC(FOR!L18+0.99,0)</f>
        <v>0</v>
      </c>
      <c r="G97" s="1243" t="s">
        <v>3966</v>
      </c>
    </row>
    <row r="99" spans="2:16" x14ac:dyDescent="0.35">
      <c r="F99" s="764" t="str">
        <f>"from "&amp;FOR&amp;FOR!O17</f>
        <v>from FOR32</v>
      </c>
    </row>
    <row r="100" spans="2:16" x14ac:dyDescent="0.35">
      <c r="B100" s="146" t="s">
        <v>4983</v>
      </c>
      <c r="E100" s="758" t="str">
        <f>A39</f>
        <v>c1.39</v>
      </c>
      <c r="F100" s="397">
        <f>TRUNC(FOR!P18+0.99,0)</f>
        <v>0</v>
      </c>
      <c r="G100" s="1243" t="s">
        <v>3966</v>
      </c>
    </row>
    <row r="102" spans="2:16" x14ac:dyDescent="0.35">
      <c r="J102" s="109" t="str">
        <f>E94&amp;" + "&amp;E91&amp;" minus ("&amp;E97&amp;" + "&amp;E100&amp;")"</f>
        <v>c1.37 + c1.36 minus (c1.38 + c1.39)</v>
      </c>
    </row>
    <row r="103" spans="2:16" x14ac:dyDescent="0.35">
      <c r="B103" s="146" t="s">
        <v>7089</v>
      </c>
      <c r="I103" s="758" t="str">
        <f>A40</f>
        <v>c1.40</v>
      </c>
      <c r="J103" s="397">
        <f>MAX(F94+F91-(F97+F100),0)</f>
        <v>0</v>
      </c>
    </row>
    <row r="105" spans="2:16" x14ac:dyDescent="0.35">
      <c r="B105" s="762" t="s">
        <v>4471</v>
      </c>
      <c r="C105" s="762"/>
    </row>
    <row r="106" spans="2:16" x14ac:dyDescent="0.35">
      <c r="B106" s="762" t="s">
        <v>124</v>
      </c>
      <c r="C106" s="762"/>
      <c r="D106" s="109" t="str">
        <f>"If "&amp;NRD&amp;NRD!H5&amp;" = Y"</f>
        <v>If NRD28 = Y</v>
      </c>
      <c r="E106" s="759"/>
    </row>
    <row r="107" spans="2:16" x14ac:dyDescent="0.35">
      <c r="D107" s="764" t="str">
        <f>"from "&amp;INC&amp;'INC(1)'!I19</f>
        <v>from INC6</v>
      </c>
      <c r="E107" s="765" t="str">
        <f>A41</f>
        <v>c1.41</v>
      </c>
      <c r="F107" s="122">
        <f>IF(remit_basis=TRUE,TRUNC('INC(1)'!J20,0),0)</f>
        <v>0</v>
      </c>
      <c r="G107" s="1080" t="s">
        <v>1837</v>
      </c>
    </row>
    <row r="108" spans="2:16" x14ac:dyDescent="0.35">
      <c r="B108" s="399"/>
      <c r="C108" s="399"/>
      <c r="D108" s="764" t="str">
        <f>"from "&amp;FOR&amp;FOR!G16</f>
        <v>from FOR4</v>
      </c>
      <c r="E108" s="765" t="str">
        <f>A42</f>
        <v>c1.42</v>
      </c>
      <c r="F108" s="122">
        <f>IF(remit_basis=TRUE,TRUNC(FOR!H17,0),0)</f>
        <v>0</v>
      </c>
      <c r="G108" s="1080" t="s">
        <v>1837</v>
      </c>
      <c r="J108" s="109" t="str">
        <f>E107&amp;" + "&amp;E108&amp;" + "&amp;E109</f>
        <v>c1.41 + c1.42 + c1.43</v>
      </c>
    </row>
    <row r="109" spans="2:16" x14ac:dyDescent="0.35">
      <c r="B109" s="399"/>
      <c r="C109" s="399"/>
      <c r="D109" s="764" t="str">
        <f>"From "&amp;FOR&amp;FOR!G19</f>
        <v>From FOR6</v>
      </c>
      <c r="E109" s="765" t="str">
        <f>A43</f>
        <v>c1.43</v>
      </c>
      <c r="F109" s="122">
        <f>IF(remit_basis=TRUE,TRUNC(MAX(0,FOR!H20),0),0)</f>
        <v>0</v>
      </c>
      <c r="G109" s="1080" t="s">
        <v>1837</v>
      </c>
      <c r="H109" s="146"/>
      <c r="I109" s="758" t="str">
        <f>A44</f>
        <v>c1.44</v>
      </c>
      <c r="J109" s="397">
        <f>F107+F108+F109</f>
        <v>0</v>
      </c>
    </row>
    <row r="110" spans="2:16" x14ac:dyDescent="0.35">
      <c r="D110" s="109" t="str">
        <f>"else "&amp;E107&amp;" to "&amp;E109&amp;" = 0 zero"</f>
        <v>else c1.41 to c1.43 = 0 zero</v>
      </c>
      <c r="E110" s="762"/>
      <c r="F110" s="119"/>
      <c r="G110" s="146"/>
      <c r="H110" s="146"/>
    </row>
    <row r="111" spans="2:16" x14ac:dyDescent="0.35">
      <c r="B111" s="760"/>
      <c r="C111" s="760"/>
      <c r="D111" s="1115" t="s">
        <v>2638</v>
      </c>
      <c r="E111" s="760"/>
      <c r="F111" s="760"/>
      <c r="G111" s="760"/>
      <c r="H111" s="760"/>
      <c r="I111" s="760"/>
      <c r="J111" s="760"/>
      <c r="K111" s="760"/>
      <c r="L111" s="760"/>
      <c r="M111" s="761"/>
      <c r="P111" s="1369"/>
    </row>
    <row r="112" spans="2:16" x14ac:dyDescent="0.35">
      <c r="B112" s="762"/>
      <c r="C112" s="762"/>
      <c r="G112" s="146"/>
      <c r="H112" s="146"/>
      <c r="K112" s="398"/>
    </row>
    <row r="113" spans="2:13" x14ac:dyDescent="0.35">
      <c r="B113" s="762" t="s">
        <v>674</v>
      </c>
    </row>
    <row r="114" spans="2:13" x14ac:dyDescent="0.35">
      <c r="D114" s="757" t="str">
        <f>"("&amp;TRU&amp;TRU!C11&amp;" + "&amp;TRU&amp;TRU!C20&amp;" + "&amp;TRU&amp;TRU!K6&amp;") x NS_gross ("&amp;NS_gross_F&amp;")"</f>
        <v>(TRU3 + TRU7 + TRU16) x NS_gross (100/80)</v>
      </c>
      <c r="E114" s="758" t="str">
        <f t="shared" ref="E114:E119" si="0">A45</f>
        <v>c1.45</v>
      </c>
      <c r="F114" s="397">
        <f>TRUNC((TRUNC(TRU!D12,0)+TRUNC(TRU!D21,0)+TRUNC(TRU!L7,0))*NS_gross,0)</f>
        <v>0</v>
      </c>
      <c r="G114" s="1080" t="s">
        <v>1837</v>
      </c>
      <c r="H114" s="153"/>
      <c r="I114" s="398"/>
      <c r="J114" s="398"/>
    </row>
    <row r="115" spans="2:13" x14ac:dyDescent="0.35">
      <c r="D115" s="764" t="str">
        <f>TRU&amp;TRU!C6&amp;" x trust_gross ("&amp;trust_gross_F&amp;")"</f>
        <v>TRU1 x trust_gross (100/55)</v>
      </c>
      <c r="E115" s="758" t="str">
        <f t="shared" si="0"/>
        <v>c1.46</v>
      </c>
      <c r="F115" s="420">
        <f>TRUNC(TRU!D7*100/data!K53,0)</f>
        <v>0</v>
      </c>
      <c r="G115" s="1080" t="s">
        <v>1837</v>
      </c>
    </row>
    <row r="116" spans="2:13" x14ac:dyDescent="0.35">
      <c r="D116" s="764" t="str">
        <f>TRU&amp;TRU!C32&amp;" x trust_gross ("&amp;trust_gross_F&amp;")"</f>
        <v>TRU10 x trust_gross (100/55)</v>
      </c>
      <c r="E116" s="758" t="str">
        <f t="shared" si="0"/>
        <v>c1.47</v>
      </c>
      <c r="F116" s="420">
        <f>TRUNC(TRU!D33*100/data!K53,0)</f>
        <v>0</v>
      </c>
      <c r="G116" s="1080" t="s">
        <v>1837</v>
      </c>
    </row>
    <row r="117" spans="2:13" x14ac:dyDescent="0.35">
      <c r="D117" s="764" t="str">
        <f>"from "&amp;TRU&amp;TRU!K20</f>
        <v>from TRU22</v>
      </c>
      <c r="E117" s="758" t="str">
        <f t="shared" si="0"/>
        <v>c1.48</v>
      </c>
      <c r="F117" s="420">
        <f>TRUNC(TRU!L21,0)</f>
        <v>0</v>
      </c>
      <c r="G117" s="1080" t="s">
        <v>1837</v>
      </c>
      <c r="J117" s="109" t="str">
        <f>E114&amp;" + "&amp;E115&amp;" + "&amp;E116&amp;"+"</f>
        <v>c1.45 + c1.46 + c1.47+</v>
      </c>
    </row>
    <row r="118" spans="2:13" x14ac:dyDescent="0.35">
      <c r="D118" s="764" t="str">
        <f>TRU&amp;TRU!O11&amp;" x Gross_By_22 ("&amp;Gross_By_22_F&amp;")"</f>
        <v>TRU20 x Gross_By_22 (100/78)</v>
      </c>
      <c r="E118" s="758" t="str">
        <f t="shared" si="0"/>
        <v>c1.49</v>
      </c>
      <c r="F118" s="397">
        <f>TRUNC(TRU!P12*100/78,0)</f>
        <v>0</v>
      </c>
      <c r="G118" s="1080" t="s">
        <v>1837</v>
      </c>
      <c r="J118" s="109" t="str">
        <f>E117&amp;" + "&amp;E118&amp;" + "&amp;E119</f>
        <v>c1.48 + c1.49 + c1.50</v>
      </c>
    </row>
    <row r="119" spans="2:13" x14ac:dyDescent="0.35">
      <c r="D119" s="764" t="str">
        <f>"from "&amp;TRU&amp;TRU!G28</f>
        <v>from TRU13</v>
      </c>
      <c r="E119" s="758" t="str">
        <f t="shared" si="0"/>
        <v>c1.50</v>
      </c>
      <c r="F119" s="420">
        <f>TRUNC(TRU!H29,0)</f>
        <v>0</v>
      </c>
      <c r="G119" s="1080" t="s">
        <v>1837</v>
      </c>
      <c r="H119" s="146"/>
      <c r="I119" s="758" t="str">
        <f>A51</f>
        <v>c1.51</v>
      </c>
      <c r="J119" s="397">
        <f>F114+F115+F116+F117+F118+F119</f>
        <v>0</v>
      </c>
    </row>
    <row r="120" spans="2:13" x14ac:dyDescent="0.35">
      <c r="B120" s="760"/>
      <c r="C120" s="760"/>
      <c r="D120" s="760"/>
      <c r="E120" s="760"/>
      <c r="F120" s="760"/>
      <c r="G120" s="760"/>
      <c r="H120" s="760"/>
      <c r="I120" s="760"/>
      <c r="J120" s="760"/>
      <c r="K120" s="760"/>
      <c r="L120" s="760"/>
      <c r="M120" s="761"/>
    </row>
    <row r="122" spans="2:13" x14ac:dyDescent="0.35">
      <c r="B122" s="762" t="s">
        <v>675</v>
      </c>
      <c r="C122" s="762"/>
      <c r="D122" s="791"/>
      <c r="F122" s="759"/>
      <c r="H122" s="757" t="str">
        <f>INC&amp;'INC(2)'!C4&amp;" + "&amp;INC&amp;'INC(2)'!C13&amp;" + "&amp;INC&amp;'INC(2)'!G7&amp;" + "&amp;INC&amp;'INC(2)'!G13&amp;" + "&amp;INC&amp;'INC(2)'!G16</f>
        <v>INC8 + INC11 + INC13 + INC15 + INC16</v>
      </c>
      <c r="I122" s="758" t="str">
        <f>A52</f>
        <v>c1.52</v>
      </c>
      <c r="J122" s="123">
        <f>TRUNC('INC(2)'!D5,0)+TRUNC('INC(2)'!D14,0)+TRUNC('INC(2)'!H8,0)+TRUNC('INC(2)'!H14,0)+TRUNC('INC(2)'!H17,0)</f>
        <v>0</v>
      </c>
      <c r="K122" s="1080" t="s">
        <v>1837</v>
      </c>
    </row>
    <row r="123" spans="2:13" x14ac:dyDescent="0.35">
      <c r="B123" s="760"/>
      <c r="C123" s="760"/>
      <c r="D123" s="760"/>
      <c r="E123" s="760"/>
      <c r="F123" s="760"/>
      <c r="G123" s="760"/>
      <c r="H123" s="760"/>
      <c r="I123" s="760"/>
      <c r="J123" s="760"/>
      <c r="K123" s="760"/>
      <c r="L123" s="760"/>
      <c r="M123" s="761"/>
    </row>
    <row r="124" spans="2:13" x14ac:dyDescent="0.35">
      <c r="B124" s="399"/>
      <c r="C124" s="399"/>
      <c r="I124" s="110"/>
      <c r="J124" s="110"/>
      <c r="K124" s="110"/>
    </row>
    <row r="125" spans="2:13" x14ac:dyDescent="0.35">
      <c r="B125" s="762" t="s">
        <v>2959</v>
      </c>
      <c r="C125" s="762"/>
      <c r="D125" s="766" t="str">
        <f>INC&amp;'INC(2)'!C22&amp;" minus "&amp;INC&amp;'INC(2)'!C25</f>
        <v>INC17 minus INC18</v>
      </c>
      <c r="E125" s="758" t="str">
        <f>A53</f>
        <v>c1.53</v>
      </c>
      <c r="F125" s="420">
        <f>TRUNC(MAX(0,'INC(2)'!D23-'INC(2)'!D26),0)</f>
        <v>0</v>
      </c>
      <c r="G125" s="1080" t="s">
        <v>1837</v>
      </c>
      <c r="I125" s="110"/>
      <c r="J125" s="110" t="str">
        <f>"("&amp;E125&amp;" + "&amp;E126&amp;")"</f>
        <v>(c1.53 + c1.54)</v>
      </c>
      <c r="K125" s="110"/>
      <c r="M125" s="399"/>
    </row>
    <row r="126" spans="2:13" x14ac:dyDescent="0.35">
      <c r="B126" s="399"/>
      <c r="C126" s="399"/>
      <c r="D126" s="764" t="str">
        <f>"from "&amp;INC&amp;'INC(2)'!G22</f>
        <v>from INC20</v>
      </c>
      <c r="E126" s="758" t="str">
        <f>A54</f>
        <v>c1.54</v>
      </c>
      <c r="F126" s="420">
        <f>TRUNC('INC(2)'!H23,0)</f>
        <v>0</v>
      </c>
      <c r="G126" s="1080" t="s">
        <v>1837</v>
      </c>
      <c r="I126" s="110"/>
      <c r="J126" s="109" t="str">
        <f>" minus "&amp;E127</f>
        <v xml:space="preserve"> minus c1.55</v>
      </c>
      <c r="K126" s="110"/>
    </row>
    <row r="127" spans="2:13" x14ac:dyDescent="0.35">
      <c r="B127" s="399"/>
      <c r="C127" s="399"/>
      <c r="D127" s="766" t="str">
        <f>"from "&amp;AIL&amp;AIL!C5</f>
        <v>from AIL1</v>
      </c>
      <c r="E127" s="758" t="str">
        <f>A55</f>
        <v>c1.55</v>
      </c>
      <c r="F127" s="122">
        <f>TRUNC(AIL!D6+0.99,0)</f>
        <v>0</v>
      </c>
      <c r="G127" s="1080" t="s">
        <v>3966</v>
      </c>
      <c r="H127" s="146"/>
      <c r="I127" s="758" t="str">
        <f>A56</f>
        <v>c1.56</v>
      </c>
      <c r="J127" s="397">
        <f>MAX(0,F125+F126-F127)</f>
        <v>0</v>
      </c>
      <c r="K127" s="110"/>
    </row>
    <row r="128" spans="2:13" x14ac:dyDescent="0.35">
      <c r="B128" s="760"/>
      <c r="C128" s="760"/>
      <c r="D128" s="760"/>
      <c r="E128" s="760"/>
      <c r="F128" s="760"/>
      <c r="G128" s="760"/>
      <c r="H128" s="760"/>
      <c r="I128" s="760"/>
      <c r="J128" s="760"/>
      <c r="K128" s="760"/>
      <c r="L128" s="760"/>
      <c r="M128" s="761"/>
    </row>
    <row r="130" spans="2:13" x14ac:dyDescent="0.35">
      <c r="B130" s="119"/>
      <c r="C130" s="119"/>
      <c r="D130" s="119"/>
      <c r="G130" s="153"/>
      <c r="H130" s="153"/>
      <c r="I130" s="399"/>
      <c r="J130" s="109" t="str">
        <f>I24&amp;" + "&amp;I28&amp;" + "&amp;I44&amp;" + "&amp;I51&amp;" + "&amp;I67&amp;" + "&amp;I84&amp;" + "&amp;I88&amp;" + "&amp;I103&amp;" + "&amp;I109&amp;" + "&amp;I119&amp;" + "&amp;I122&amp;" + "&amp;I127</f>
        <v>c1.9 + c1.10 + c1.17 + c1.20 + c1.27 + c1.34 + c1.35 + c1.40 + c1.44 + c1.51 + c1.52 + c1.56</v>
      </c>
      <c r="K130" s="153"/>
      <c r="L130" s="153"/>
    </row>
    <row r="131" spans="2:13" x14ac:dyDescent="0.35">
      <c r="B131" s="448" t="s">
        <v>3300</v>
      </c>
      <c r="C131" s="448"/>
      <c r="D131" s="448"/>
      <c r="E131" s="398"/>
      <c r="F131" s="398"/>
      <c r="G131" s="398"/>
      <c r="H131" s="398"/>
      <c r="I131" s="758" t="str">
        <f>A57</f>
        <v>c1.57</v>
      </c>
      <c r="J131" s="397">
        <f>MAX(0,J24+J28+J44+J51+J67+J84+J88+J103+J109+J119+J122+J127-TCRWS!B14)</f>
        <v>0</v>
      </c>
      <c r="K131" s="110"/>
      <c r="L131" s="110"/>
    </row>
    <row r="132" spans="2:13" x14ac:dyDescent="0.35">
      <c r="B132" s="760"/>
      <c r="C132" s="760"/>
      <c r="D132" s="760"/>
      <c r="E132" s="760"/>
      <c r="F132" s="760"/>
      <c r="G132" s="760"/>
      <c r="H132" s="760"/>
      <c r="I132" s="760"/>
      <c r="J132" s="760"/>
      <c r="K132" s="760"/>
      <c r="L132" s="760"/>
      <c r="M132" s="761"/>
    </row>
    <row r="134" spans="2:13" x14ac:dyDescent="0.35">
      <c r="B134" s="759" t="s">
        <v>1897</v>
      </c>
      <c r="C134" s="759"/>
      <c r="J134" s="767" t="str">
        <f>"from "&amp;ASE&amp;ASE!C14</f>
        <v>from ASE5</v>
      </c>
    </row>
    <row r="135" spans="2:13" x14ac:dyDescent="0.35">
      <c r="H135" s="767"/>
      <c r="I135" s="758" t="str">
        <f>A58</f>
        <v>c1.58</v>
      </c>
      <c r="J135" s="397">
        <f>MAX(0,TRUNC(ASE!D15,0)-TCRWS!D14)</f>
        <v>0</v>
      </c>
      <c r="K135" s="1080" t="s">
        <v>1837</v>
      </c>
    </row>
  </sheetData>
  <phoneticPr fontId="68" type="noConversion"/>
  <pageMargins left="0.19685039370078741" right="0.19685039370078741" top="0.19685039370078741" bottom="0.19685039370078741" header="0" footer="0"/>
  <pageSetup paperSize="9" orientation="portrait" horizontalDpi="4294967293"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75"/>
  <sheetViews>
    <sheetView showGridLines="0" topLeftCell="B46" workbookViewId="0">
      <selection activeCell="E30" sqref="E30:E33"/>
    </sheetView>
  </sheetViews>
  <sheetFormatPr defaultColWidth="9.1328125" defaultRowHeight="11.65" x14ac:dyDescent="0.35"/>
  <cols>
    <col min="1" max="1" width="6.73046875" style="413" hidden="1" customWidth="1"/>
    <col min="2" max="2" width="39.59765625" style="413" customWidth="1"/>
    <col min="3" max="3" width="8.73046875" style="413" customWidth="1"/>
    <col min="4" max="4" width="14.1328125" style="413" customWidth="1"/>
    <col min="5" max="5" width="5.73046875" style="413" customWidth="1"/>
    <col min="6" max="6" width="11.265625" style="413" customWidth="1"/>
    <col min="7" max="7" width="8.1328125" style="413" customWidth="1"/>
    <col min="8" max="8" width="6.265625" style="413" customWidth="1"/>
    <col min="9" max="9" width="10.86328125" style="413" customWidth="1"/>
    <col min="10" max="10" width="6.265625" style="413" bestFit="1" customWidth="1"/>
    <col min="11" max="16384" width="9.1328125" style="413"/>
  </cols>
  <sheetData>
    <row r="1" spans="1:10" ht="17.649999999999999" x14ac:dyDescent="0.5">
      <c r="A1" s="413" t="s">
        <v>132</v>
      </c>
      <c r="B1" s="1927" t="s">
        <v>1406</v>
      </c>
      <c r="C1" s="787"/>
    </row>
    <row r="2" spans="1:10" x14ac:dyDescent="0.35">
      <c r="A2" s="413" t="s">
        <v>2796</v>
      </c>
      <c r="D2" s="416"/>
      <c r="E2" s="788" t="s">
        <v>1955</v>
      </c>
      <c r="F2" s="754"/>
      <c r="G2" s="754"/>
      <c r="H2" s="754"/>
      <c r="I2" s="755"/>
    </row>
    <row r="3" spans="1:10" x14ac:dyDescent="0.35">
      <c r="A3" s="413" t="s">
        <v>2797</v>
      </c>
      <c r="B3" s="780" t="s">
        <v>4186</v>
      </c>
    </row>
    <row r="4" spans="1:10" x14ac:dyDescent="0.35">
      <c r="A4" s="413" t="s">
        <v>836</v>
      </c>
      <c r="C4" s="780"/>
      <c r="F4" s="775" t="str">
        <f>"Total all instances ("&amp;SPS&amp;PS!C28&amp;")"</f>
        <v>Total all instances (SPS28)</v>
      </c>
    </row>
    <row r="5" spans="1:10" x14ac:dyDescent="0.35">
      <c r="A5" s="413" t="s">
        <v>837</v>
      </c>
      <c r="B5" s="762" t="s">
        <v>6581</v>
      </c>
      <c r="C5" s="769"/>
      <c r="E5" s="776" t="str">
        <f>A1</f>
        <v>c2.1</v>
      </c>
      <c r="F5" s="770">
        <f>TRUNC(PS!D29,0)</f>
        <v>0</v>
      </c>
      <c r="G5" s="1162" t="s">
        <v>4813</v>
      </c>
      <c r="H5" s="769"/>
      <c r="I5" s="769"/>
    </row>
    <row r="6" spans="1:10" x14ac:dyDescent="0.35">
      <c r="A6" s="413" t="s">
        <v>4023</v>
      </c>
      <c r="B6" s="780"/>
    </row>
    <row r="7" spans="1:10" x14ac:dyDescent="0.35">
      <c r="A7" s="413" t="s">
        <v>1846</v>
      </c>
      <c r="F7" s="777" t="s">
        <v>5499</v>
      </c>
    </row>
    <row r="8" spans="1:10" x14ac:dyDescent="0.35">
      <c r="A8" s="413" t="s">
        <v>4180</v>
      </c>
      <c r="B8" s="762" t="s">
        <v>5497</v>
      </c>
      <c r="F8" s="777" t="str">
        <f>"("&amp;FPS&amp;PS!G16&amp;" + "&amp;FPS&amp;PS!J37&amp;")"</f>
        <v>(FPS35 + FPS73)</v>
      </c>
    </row>
    <row r="9" spans="1:10" x14ac:dyDescent="0.35">
      <c r="A9" s="413" t="s">
        <v>4181</v>
      </c>
      <c r="B9" s="2565" t="s">
        <v>5498</v>
      </c>
      <c r="C9" s="769"/>
      <c r="E9" s="776" t="str">
        <f>A2</f>
        <v>c2.2</v>
      </c>
      <c r="F9" s="770">
        <f>TRUNC(PS!H17,0)+TRUNC(PS!K38,0)</f>
        <v>0</v>
      </c>
      <c r="G9" s="1162" t="s">
        <v>4814</v>
      </c>
      <c r="H9" s="769"/>
      <c r="I9" s="769"/>
    </row>
    <row r="10" spans="1:10" x14ac:dyDescent="0.35">
      <c r="A10" s="413" t="s">
        <v>1847</v>
      </c>
      <c r="B10" s="780"/>
      <c r="C10" s="769"/>
      <c r="D10" s="769"/>
      <c r="E10" s="769"/>
      <c r="F10" s="769"/>
      <c r="G10" s="769"/>
      <c r="H10" s="769"/>
      <c r="I10" s="773" t="str">
        <f>E5&amp;" + "&amp;E9</f>
        <v>c2.1 + c2.2</v>
      </c>
    </row>
    <row r="11" spans="1:10" x14ac:dyDescent="0.35">
      <c r="A11" s="413" t="s">
        <v>1848</v>
      </c>
      <c r="H11" s="776" t="str">
        <f>A3</f>
        <v>c2.3</v>
      </c>
      <c r="I11" s="770">
        <f>F5+F9</f>
        <v>0</v>
      </c>
    </row>
    <row r="12" spans="1:10" x14ac:dyDescent="0.35">
      <c r="A12" s="413" t="s">
        <v>1849</v>
      </c>
      <c r="B12" s="789"/>
      <c r="C12" s="789"/>
      <c r="D12" s="789"/>
      <c r="E12" s="789"/>
      <c r="F12" s="789"/>
      <c r="G12" s="789"/>
      <c r="H12" s="789"/>
      <c r="I12" s="789"/>
      <c r="J12" s="789"/>
    </row>
    <row r="13" spans="1:10" x14ac:dyDescent="0.35">
      <c r="A13" s="413" t="s">
        <v>646</v>
      </c>
    </row>
    <row r="14" spans="1:10" x14ac:dyDescent="0.35">
      <c r="A14" s="413" t="s">
        <v>1850</v>
      </c>
      <c r="B14" s="780" t="s">
        <v>1423</v>
      </c>
      <c r="C14" s="780"/>
      <c r="D14" s="772"/>
      <c r="E14" s="772"/>
      <c r="F14" s="769"/>
    </row>
    <row r="15" spans="1:10" x14ac:dyDescent="0.35">
      <c r="A15" s="413" t="s">
        <v>1851</v>
      </c>
      <c r="F15" s="778" t="str">
        <f>FOR&amp;FOR!O34&amp;" x 100/"&amp;BR_rate*100</f>
        <v>FOR45 x 100/20</v>
      </c>
    </row>
    <row r="16" spans="1:10" x14ac:dyDescent="0.35">
      <c r="A16" s="413" t="s">
        <v>1852</v>
      </c>
      <c r="B16" s="762" t="s">
        <v>4472</v>
      </c>
      <c r="C16" s="780"/>
      <c r="E16" s="779" t="str">
        <f>A4</f>
        <v>c2.4</v>
      </c>
      <c r="F16" s="412">
        <f>TRUNC((FOR!P35/BR_rate),0)</f>
        <v>0</v>
      </c>
      <c r="G16" s="1076" t="s">
        <v>1837</v>
      </c>
    </row>
    <row r="17" spans="1:11" x14ac:dyDescent="0.35">
      <c r="A17" s="413" t="s">
        <v>647</v>
      </c>
    </row>
    <row r="18" spans="1:11" x14ac:dyDescent="0.35">
      <c r="A18" s="413" t="s">
        <v>1526</v>
      </c>
      <c r="B18" s="762" t="s">
        <v>4469</v>
      </c>
      <c r="C18" s="762"/>
      <c r="F18" s="778" t="str">
        <f>"Lower of "&amp;FOR&amp;FOR!K37&amp;" and "&amp;E16</f>
        <v>Lower of FOR43 and c2.4</v>
      </c>
    </row>
    <row r="19" spans="1:11" x14ac:dyDescent="0.35">
      <c r="A19" s="413" t="s">
        <v>4649</v>
      </c>
      <c r="B19" s="762" t="s">
        <v>4472</v>
      </c>
      <c r="E19" s="779" t="str">
        <f>A5</f>
        <v>c2.5</v>
      </c>
      <c r="F19" s="415">
        <f>MIN(TRUNC(FOR!L38,0),F16)</f>
        <v>0</v>
      </c>
      <c r="G19" s="1076" t="s">
        <v>1837</v>
      </c>
    </row>
    <row r="20" spans="1:11" x14ac:dyDescent="0.35">
      <c r="A20" s="413" t="s">
        <v>4650</v>
      </c>
      <c r="G20" s="752" t="str">
        <f>"add to "&amp;'Divs (c3)'!G51</f>
        <v>add to c3.16</v>
      </c>
    </row>
    <row r="21" spans="1:11" x14ac:dyDescent="0.35">
      <c r="B21" s="789"/>
      <c r="C21" s="789"/>
      <c r="D21" s="789"/>
      <c r="E21" s="789"/>
      <c r="F21" s="789"/>
      <c r="G21" s="789"/>
      <c r="H21" s="789"/>
      <c r="I21" s="789"/>
      <c r="J21" s="789"/>
      <c r="K21" s="789"/>
    </row>
    <row r="23" spans="1:11" x14ac:dyDescent="0.35">
      <c r="F23" s="773" t="str">
        <f>"if "&amp;FOR&amp;FOR!K37&amp;" minus "&amp;E19&amp;" &gt; 0 (zero) then"</f>
        <v>if FOR43 minus c2.5 &gt; 0 (zero) then</v>
      </c>
    </row>
    <row r="24" spans="1:11" x14ac:dyDescent="0.35">
      <c r="F24" s="773" t="str">
        <f>E28&amp;" = "&amp;FOR&amp;FOR!K37&amp;" minus "&amp;E19</f>
        <v>c2.6 = FOR43 minus c2.5</v>
      </c>
    </row>
    <row r="25" spans="1:11" x14ac:dyDescent="0.35">
      <c r="F25" s="109" t="s">
        <v>2520</v>
      </c>
    </row>
    <row r="26" spans="1:11" x14ac:dyDescent="0.35">
      <c r="F26" s="773" t="str">
        <f>E28&amp;" = 0 (zero)"</f>
        <v>c2.6 = 0 (zero)</v>
      </c>
    </row>
    <row r="27" spans="1:11" x14ac:dyDescent="0.35">
      <c r="B27" s="762" t="s">
        <v>4473</v>
      </c>
      <c r="C27" s="769"/>
      <c r="D27" s="769"/>
      <c r="E27" s="769"/>
      <c r="F27" s="153" t="s">
        <v>2638</v>
      </c>
      <c r="G27" s="769"/>
      <c r="H27" s="769"/>
      <c r="I27" s="769"/>
    </row>
    <row r="28" spans="1:11" x14ac:dyDescent="0.35">
      <c r="B28" s="762" t="s">
        <v>4474</v>
      </c>
      <c r="C28" s="769"/>
      <c r="E28" s="779" t="str">
        <f>A6</f>
        <v>c2.6</v>
      </c>
      <c r="F28" s="770">
        <f>TRUNC(MAX(0,FOR!L38-F19),0)</f>
        <v>0</v>
      </c>
      <c r="G28" s="1076" t="s">
        <v>1837</v>
      </c>
    </row>
    <row r="29" spans="1:11" x14ac:dyDescent="0.35">
      <c r="B29" s="762"/>
      <c r="C29" s="769"/>
    </row>
    <row r="30" spans="1:11" x14ac:dyDescent="0.35">
      <c r="E30" s="752" t="str">
        <f>"If "&amp;NRD&amp;NRD!H5&amp;" = N"</f>
        <v>If NRD28 = N</v>
      </c>
    </row>
    <row r="31" spans="1:11" x14ac:dyDescent="0.35">
      <c r="E31" s="780" t="str">
        <f>E34&amp;"= "&amp;FOR&amp;FOR!G16</f>
        <v>c2.7= FOR4</v>
      </c>
    </row>
    <row r="32" spans="1:11" x14ac:dyDescent="0.35">
      <c r="E32" s="110" t="s">
        <v>4331</v>
      </c>
    </row>
    <row r="33" spans="2:11" x14ac:dyDescent="0.35">
      <c r="B33" s="762" t="s">
        <v>4470</v>
      </c>
      <c r="C33" s="762"/>
      <c r="E33" s="752" t="s">
        <v>2638</v>
      </c>
    </row>
    <row r="34" spans="2:11" x14ac:dyDescent="0.35">
      <c r="B34" s="762" t="s">
        <v>3948</v>
      </c>
      <c r="C34" s="762"/>
      <c r="E34" s="779" t="str">
        <f>A7</f>
        <v>c2.7</v>
      </c>
      <c r="F34" s="770">
        <f>IF(remit_basis=FALSE,TRUNC(FOR!H17,0),0)</f>
        <v>0</v>
      </c>
      <c r="G34" s="1076" t="s">
        <v>1837</v>
      </c>
    </row>
    <row r="35" spans="2:11" x14ac:dyDescent="0.35">
      <c r="B35" s="769"/>
      <c r="C35" s="769"/>
    </row>
    <row r="36" spans="2:11" x14ac:dyDescent="0.35">
      <c r="F36" s="775" t="str">
        <f>"from "&amp;INC&amp;'INC(1)'!C19</f>
        <v>from INC3</v>
      </c>
    </row>
    <row r="37" spans="2:11" x14ac:dyDescent="0.35">
      <c r="B37" s="762" t="s">
        <v>4651</v>
      </c>
      <c r="E37" s="779" t="str">
        <f>A8</f>
        <v>c2.8</v>
      </c>
      <c r="F37" s="770">
        <f>TRUNC('INC(1)'!D20,0)</f>
        <v>0</v>
      </c>
      <c r="G37" s="1076" t="s">
        <v>1837</v>
      </c>
    </row>
    <row r="39" spans="2:11" x14ac:dyDescent="0.35">
      <c r="I39" s="773" t="str">
        <f>E28&amp;" + "&amp;E34&amp;" + "&amp;E37</f>
        <v>c2.6 + c2.7 + c2.8</v>
      </c>
    </row>
    <row r="40" spans="2:11" x14ac:dyDescent="0.35">
      <c r="H40" s="779" t="str">
        <f>A9</f>
        <v>c2.9</v>
      </c>
      <c r="I40" s="770">
        <f>F28+F34+F37</f>
        <v>0</v>
      </c>
    </row>
    <row r="41" spans="2:11" x14ac:dyDescent="0.35">
      <c r="B41" s="789"/>
      <c r="C41" s="789"/>
      <c r="D41" s="789"/>
      <c r="E41" s="789"/>
      <c r="F41" s="789"/>
      <c r="G41" s="789"/>
      <c r="H41" s="789"/>
      <c r="I41" s="789"/>
      <c r="J41" s="789"/>
      <c r="K41" s="789"/>
    </row>
    <row r="43" spans="2:11" x14ac:dyDescent="0.35">
      <c r="B43" s="780" t="s">
        <v>674</v>
      </c>
      <c r="C43" s="780"/>
    </row>
    <row r="45" spans="2:11" x14ac:dyDescent="0.35">
      <c r="B45" s="780" t="s">
        <v>5500</v>
      </c>
      <c r="F45" s="777" t="str">
        <f>"("&amp;TRU&amp;TRU!C15&amp;" + "&amp;TRU&amp;TRU!C24&amp;" + "&amp;TRU&amp;TRU!K11&amp;") x"</f>
        <v>(TRU4 + TRU8 + TRU17) x</v>
      </c>
    </row>
    <row r="46" spans="2:11" x14ac:dyDescent="0.35">
      <c r="B46" s="2565" t="s">
        <v>5505</v>
      </c>
      <c r="F46" s="777" t="str">
        <f>"savings_gross ("&amp;savings_gross_F&amp;")"</f>
        <v>savings_gross (100/80)</v>
      </c>
    </row>
    <row r="47" spans="2:11" x14ac:dyDescent="0.35">
      <c r="B47" s="2565" t="s">
        <v>5502</v>
      </c>
      <c r="E47" s="776" t="str">
        <f>A10</f>
        <v>c2.10</v>
      </c>
      <c r="F47" s="770">
        <f>TRUNC((TRUNC(TRU!D16,0)+TRUNC(TRU!D25,0)+TRUNC(TRU!L12,0))*savings_gross,0)</f>
        <v>0</v>
      </c>
      <c r="G47" s="1076" t="s">
        <v>1837</v>
      </c>
    </row>
    <row r="49" spans="2:11" x14ac:dyDescent="0.35">
      <c r="F49" s="777" t="str">
        <f>TRU&amp;TRU!G20&amp;" x trust_gross ("&amp;trust_gross_F&amp;")"</f>
        <v>TRU11 x trust_gross (100/55)</v>
      </c>
    </row>
    <row r="50" spans="2:11" x14ac:dyDescent="0.35">
      <c r="B50" s="780" t="s">
        <v>5501</v>
      </c>
      <c r="E50" s="776" t="str">
        <f>A11</f>
        <v>c2.11</v>
      </c>
      <c r="F50" s="770">
        <f>TRUNC((TRU!H21)*trust_gross,0)</f>
        <v>0</v>
      </c>
      <c r="G50" s="1076" t="s">
        <v>1837</v>
      </c>
    </row>
    <row r="51" spans="2:11" x14ac:dyDescent="0.35">
      <c r="B51" s="780"/>
    </row>
    <row r="52" spans="2:11" x14ac:dyDescent="0.35">
      <c r="B52" s="780"/>
      <c r="F52" s="778" t="str">
        <f>"from "&amp;TRU&amp;TRU!G32</f>
        <v>from TRU14</v>
      </c>
      <c r="I52" s="773" t="str">
        <f>E47&amp;" + "&amp;E50&amp;" + "&amp;E53</f>
        <v>c2.10 + c2.11 + c2.12</v>
      </c>
    </row>
    <row r="53" spans="2:11" x14ac:dyDescent="0.35">
      <c r="B53" s="762" t="s">
        <v>5503</v>
      </c>
      <c r="E53" s="776" t="str">
        <f>A12</f>
        <v>c2.12</v>
      </c>
      <c r="F53" s="770">
        <f>TRUNC(TRU!H33,0)</f>
        <v>0</v>
      </c>
      <c r="G53" s="1076" t="s">
        <v>1837</v>
      </c>
      <c r="H53" s="776" t="str">
        <f>A13</f>
        <v>c2.13</v>
      </c>
      <c r="I53" s="770">
        <f>F47+F50+F53</f>
        <v>0</v>
      </c>
    </row>
    <row r="54" spans="2:11" x14ac:dyDescent="0.35">
      <c r="B54" s="789"/>
      <c r="C54" s="789"/>
      <c r="D54" s="789"/>
      <c r="E54" s="789"/>
      <c r="F54" s="789"/>
      <c r="G54" s="789"/>
      <c r="H54" s="789"/>
      <c r="I54" s="789"/>
      <c r="J54" s="789"/>
      <c r="K54" s="789"/>
    </row>
    <row r="56" spans="2:11" x14ac:dyDescent="0.35">
      <c r="B56" s="762" t="s">
        <v>5481</v>
      </c>
      <c r="C56" s="780"/>
    </row>
    <row r="57" spans="2:11" x14ac:dyDescent="0.35">
      <c r="B57" s="769"/>
      <c r="C57" s="769"/>
      <c r="F57" s="777" t="str">
        <f>INC&amp;'INC(1)'!C13&amp;" x "&amp;savings_gross_F</f>
        <v>INC1 x 100/80</v>
      </c>
    </row>
    <row r="58" spans="2:11" x14ac:dyDescent="0.35">
      <c r="B58" s="762" t="s">
        <v>4846</v>
      </c>
      <c r="E58" s="776" t="str">
        <f>A14</f>
        <v>c2.14</v>
      </c>
      <c r="F58" s="770">
        <f>TRUNC('INC(1)'!D14*savings_gross,0)</f>
        <v>0</v>
      </c>
      <c r="G58" s="1076" t="s">
        <v>1837</v>
      </c>
    </row>
    <row r="60" spans="2:11" x14ac:dyDescent="0.35">
      <c r="F60" s="778" t="str">
        <f>"from "&amp;INC&amp;'INC(1)'!C16</f>
        <v>from INC2</v>
      </c>
    </row>
    <row r="61" spans="2:11" x14ac:dyDescent="0.35">
      <c r="B61" s="762" t="s">
        <v>4464</v>
      </c>
      <c r="E61" s="776" t="str">
        <f>A15</f>
        <v>c2.15</v>
      </c>
      <c r="F61" s="770">
        <f>TRUNC('INC(1)'!D17)</f>
        <v>0</v>
      </c>
      <c r="G61" s="1076" t="s">
        <v>1837</v>
      </c>
    </row>
    <row r="63" spans="2:11" x14ac:dyDescent="0.35">
      <c r="F63" s="778" t="str">
        <f>"from "&amp;AOI&amp;AOI!G7</f>
        <v>from AOI3</v>
      </c>
      <c r="I63" s="773" t="str">
        <f>E58&amp;" + "&amp;E61&amp;" + "&amp;E64</f>
        <v>c2.14 + c2.15 + c2.16</v>
      </c>
    </row>
    <row r="64" spans="2:11" x14ac:dyDescent="0.35">
      <c r="B64" s="762" t="s">
        <v>5482</v>
      </c>
      <c r="E64" s="776" t="str">
        <f>A16</f>
        <v>c2.16</v>
      </c>
      <c r="F64" s="770">
        <f>TRUNC(AOI!H8,0)</f>
        <v>0</v>
      </c>
      <c r="G64" s="1076" t="s">
        <v>1837</v>
      </c>
      <c r="H64" s="776" t="str">
        <f>A17</f>
        <v>c2.17</v>
      </c>
      <c r="I64" s="770">
        <f>F58+F61+F64</f>
        <v>0</v>
      </c>
    </row>
    <row r="65" spans="2:11" x14ac:dyDescent="0.35">
      <c r="B65" s="781"/>
      <c r="C65" s="781"/>
      <c r="H65" s="781"/>
    </row>
    <row r="66" spans="2:11" x14ac:dyDescent="0.35">
      <c r="B66" s="789"/>
      <c r="C66" s="789"/>
      <c r="D66" s="789"/>
      <c r="E66" s="789"/>
      <c r="F66" s="789"/>
      <c r="G66" s="789"/>
      <c r="H66" s="789"/>
      <c r="I66" s="789"/>
      <c r="J66" s="789"/>
      <c r="K66" s="789"/>
    </row>
    <row r="68" spans="2:11" x14ac:dyDescent="0.35">
      <c r="B68" s="762" t="s">
        <v>676</v>
      </c>
    </row>
    <row r="70" spans="2:11" x14ac:dyDescent="0.35">
      <c r="B70" s="762" t="s">
        <v>5272</v>
      </c>
      <c r="I70" s="777" t="str">
        <f>AOI&amp;AOI!C19&amp;" + "&amp;AOI&amp;AOI!G13</f>
        <v>AOI6 + AOI8</v>
      </c>
    </row>
    <row r="71" spans="2:11" x14ac:dyDescent="0.35">
      <c r="B71" s="2565" t="s">
        <v>5504</v>
      </c>
      <c r="C71" s="780"/>
      <c r="D71" s="772"/>
      <c r="E71" s="772"/>
      <c r="F71" s="772"/>
      <c r="H71" s="776" t="str">
        <f>A18</f>
        <v>c2.18</v>
      </c>
      <c r="I71" s="770">
        <f>TRUNC(AOI!D20+AOI!H14,0)</f>
        <v>0</v>
      </c>
      <c r="J71" s="1076" t="s">
        <v>1837</v>
      </c>
    </row>
    <row r="72" spans="2:11" x14ac:dyDescent="0.35">
      <c r="B72" s="789"/>
      <c r="C72" s="789"/>
      <c r="D72" s="789"/>
      <c r="E72" s="789"/>
      <c r="F72" s="789"/>
      <c r="G72" s="789"/>
      <c r="H72" s="789"/>
      <c r="I72" s="789"/>
      <c r="J72" s="789"/>
      <c r="K72" s="789"/>
    </row>
    <row r="74" spans="2:11" x14ac:dyDescent="0.35">
      <c r="F74" s="772"/>
      <c r="G74" s="772"/>
      <c r="H74" s="772"/>
      <c r="I74" s="773" t="str">
        <f>H11&amp;" + "&amp;H40&amp;" + "&amp;H53&amp;" + "&amp;H64&amp;" + "&amp;H71</f>
        <v>c2.3 + c2.9 + c2.13 + c2.17 + c2.18</v>
      </c>
    </row>
    <row r="75" spans="2:11" x14ac:dyDescent="0.35">
      <c r="B75" s="448" t="s">
        <v>5352</v>
      </c>
      <c r="C75" s="774"/>
      <c r="H75" s="776" t="str">
        <f>A19</f>
        <v>c2.19</v>
      </c>
      <c r="I75" s="770">
        <f>MAX(0,I11+I40+I53+I64+I71-TCRWS!F14)</f>
        <v>0</v>
      </c>
    </row>
  </sheetData>
  <phoneticPr fontId="68" type="noConversion"/>
  <pageMargins left="0.19685039370078741" right="0.19685039370078741" top="0.19685039370078741" bottom="0.19685039370078741" header="0" footer="0.19685039370078741"/>
  <pageSetup paperSize="9" orientation="portrait" horizontalDpi="4294967293" verticalDpi="12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O93"/>
  <sheetViews>
    <sheetView showGridLines="0" topLeftCell="B52" workbookViewId="0">
      <selection activeCell="E23" sqref="E23"/>
    </sheetView>
  </sheetViews>
  <sheetFormatPr defaultColWidth="9.1328125" defaultRowHeight="11.65" x14ac:dyDescent="0.35"/>
  <cols>
    <col min="1" max="1" width="2.86328125" style="146" hidden="1" customWidth="1"/>
    <col min="2" max="2" width="41.1328125" style="146" customWidth="1"/>
    <col min="3" max="3" width="7.73046875" style="146" customWidth="1"/>
    <col min="4" max="4" width="5.73046875" style="146" customWidth="1"/>
    <col min="5" max="5" width="10.86328125" style="146" customWidth="1"/>
    <col min="6" max="6" width="6.73046875" style="146" customWidth="1"/>
    <col min="7" max="7" width="5.86328125" style="146" customWidth="1"/>
    <col min="8" max="8" width="11.86328125" style="146" customWidth="1"/>
    <col min="9" max="9" width="6.86328125" style="146" customWidth="1"/>
    <col min="10" max="10" width="10.3984375" style="146" customWidth="1"/>
    <col min="11" max="11" width="1.86328125" style="146" customWidth="1"/>
    <col min="12" max="12" width="8.86328125" style="146" customWidth="1"/>
    <col min="13" max="13" width="5.3984375" style="146" customWidth="1"/>
    <col min="14" max="14" width="11" style="146" customWidth="1"/>
    <col min="15" max="15" width="2.73046875" style="146" customWidth="1"/>
    <col min="16" max="16384" width="9.1328125" style="146"/>
  </cols>
  <sheetData>
    <row r="1" spans="1:15" ht="17.649999999999999" x14ac:dyDescent="0.5">
      <c r="A1" s="146" t="s">
        <v>3997</v>
      </c>
      <c r="B1" s="1927" t="s">
        <v>1407</v>
      </c>
    </row>
    <row r="2" spans="1:15" x14ac:dyDescent="0.35">
      <c r="A2" s="146" t="s">
        <v>133</v>
      </c>
      <c r="E2" s="788" t="s">
        <v>1955</v>
      </c>
      <c r="F2" s="754"/>
      <c r="G2" s="754"/>
      <c r="H2" s="754"/>
      <c r="I2" s="755"/>
    </row>
    <row r="3" spans="1:15" x14ac:dyDescent="0.35">
      <c r="A3" s="146" t="s">
        <v>134</v>
      </c>
      <c r="B3" s="762" t="s">
        <v>4186</v>
      </c>
      <c r="C3" s="784"/>
      <c r="D3" s="784"/>
      <c r="E3" s="759"/>
      <c r="F3" s="759"/>
      <c r="G3" s="759"/>
      <c r="H3" s="763" t="str">
        <f>"Total all instances ("&amp;FPS&amp;PS!G31&amp;")"</f>
        <v>Total all instances (FPS70)</v>
      </c>
      <c r="I3" s="43"/>
      <c r="J3" s="43"/>
      <c r="K3" s="43"/>
      <c r="L3" s="43"/>
      <c r="M3" s="43"/>
      <c r="N3" s="43"/>
      <c r="O3" s="43"/>
    </row>
    <row r="4" spans="1:15" x14ac:dyDescent="0.35">
      <c r="A4" s="146" t="s">
        <v>135</v>
      </c>
      <c r="B4" s="759" t="s">
        <v>6842</v>
      </c>
      <c r="C4" s="785"/>
      <c r="D4" s="759"/>
      <c r="E4" s="785"/>
      <c r="G4" s="758" t="str">
        <f>'Divs (c3)'!A1</f>
        <v>c3.1</v>
      </c>
      <c r="H4" s="397">
        <f>TRUNC(PS!H32,0)</f>
        <v>0</v>
      </c>
      <c r="I4" s="1162" t="s">
        <v>1837</v>
      </c>
      <c r="J4" s="398"/>
      <c r="K4" s="398"/>
      <c r="L4" s="398"/>
    </row>
    <row r="5" spans="1:15" x14ac:dyDescent="0.35">
      <c r="A5" s="146" t="s">
        <v>136</v>
      </c>
      <c r="B5" s="760"/>
      <c r="C5" s="760"/>
      <c r="D5" s="760"/>
      <c r="E5" s="760"/>
      <c r="F5" s="760"/>
      <c r="G5" s="760"/>
      <c r="H5" s="760"/>
      <c r="I5" s="760"/>
    </row>
    <row r="6" spans="1:15" x14ac:dyDescent="0.35">
      <c r="A6" s="146" t="s">
        <v>137</v>
      </c>
      <c r="B6" s="43"/>
      <c r="C6" s="398"/>
      <c r="D6" s="398"/>
      <c r="E6" s="398"/>
      <c r="F6" s="398"/>
      <c r="G6" s="398"/>
      <c r="H6" s="398"/>
      <c r="I6" s="398"/>
    </row>
    <row r="7" spans="1:15" x14ac:dyDescent="0.35">
      <c r="A7" s="146" t="s">
        <v>138</v>
      </c>
      <c r="B7" s="762" t="s">
        <v>4071</v>
      </c>
      <c r="E7" s="764" t="str">
        <f>"from "&amp;FOR&amp;FOR!G30</f>
        <v>from FOR11</v>
      </c>
    </row>
    <row r="8" spans="1:15" x14ac:dyDescent="0.35">
      <c r="A8" s="146" t="s">
        <v>139</v>
      </c>
      <c r="D8" s="765" t="str">
        <f>'Divs (c3)'!A2</f>
        <v>c3.2</v>
      </c>
      <c r="E8" s="125">
        <f>TRUNC(FOR!H31,0)</f>
        <v>0</v>
      </c>
      <c r="F8" s="1081" t="s">
        <v>1837</v>
      </c>
    </row>
    <row r="9" spans="1:15" x14ac:dyDescent="0.35">
      <c r="A9" s="146" t="s">
        <v>140</v>
      </c>
      <c r="B9" s="762" t="s">
        <v>4470</v>
      </c>
      <c r="K9" s="398"/>
    </row>
    <row r="10" spans="1:15" x14ac:dyDescent="0.35">
      <c r="A10" s="146" t="s">
        <v>141</v>
      </c>
      <c r="D10" s="109" t="str">
        <f>"If "&amp;NRD&amp;NRD!H5&amp;" = N"</f>
        <v>If NRD28 = N</v>
      </c>
    </row>
    <row r="11" spans="1:15" x14ac:dyDescent="0.35">
      <c r="A11" s="146" t="s">
        <v>142</v>
      </c>
      <c r="B11" s="109"/>
      <c r="C11" s="757" t="str">
        <f>"from "&amp;INC&amp;'INC(1)'!I19</f>
        <v>from INC6</v>
      </c>
      <c r="D11" s="765" t="str">
        <f>'Divs (c3)'!A3</f>
        <v>c3.3</v>
      </c>
      <c r="E11" s="397">
        <f>IF(remit_basis=FALSE,TRUNC('INC(1)'!J20,0),0)</f>
        <v>0</v>
      </c>
      <c r="F11" s="1081" t="s">
        <v>1837</v>
      </c>
    </row>
    <row r="12" spans="1:15" x14ac:dyDescent="0.35">
      <c r="A12" s="146" t="s">
        <v>143</v>
      </c>
      <c r="C12" s="764" t="str">
        <f>"from "&amp;FOR&amp;FOR!G19</f>
        <v>from FOR6</v>
      </c>
      <c r="D12" s="765" t="str">
        <f>'Divs (c3)'!A4</f>
        <v>c3.4</v>
      </c>
      <c r="E12" s="397">
        <f>IF(remit_basis=FALSE,TRUNC(MAX(0,FOR!H20),0),0)</f>
        <v>0</v>
      </c>
      <c r="F12" s="1081" t="s">
        <v>1837</v>
      </c>
      <c r="K12" s="399"/>
    </row>
    <row r="13" spans="1:15" x14ac:dyDescent="0.35">
      <c r="A13" s="146" t="s">
        <v>144</v>
      </c>
      <c r="D13" s="109" t="s">
        <v>2520</v>
      </c>
    </row>
    <row r="14" spans="1:15" x14ac:dyDescent="0.35">
      <c r="A14" s="146" t="s">
        <v>145</v>
      </c>
      <c r="D14" s="109" t="str">
        <f>D11&amp;" to "&amp;D12&amp;" = 0 (zero)"</f>
        <v>c3.3 to c3.4 = 0 (zero)</v>
      </c>
    </row>
    <row r="15" spans="1:15" x14ac:dyDescent="0.35">
      <c r="A15" s="146" t="s">
        <v>1227</v>
      </c>
      <c r="D15" s="109" t="s">
        <v>2638</v>
      </c>
      <c r="H15" s="109" t="str">
        <f>D8&amp;" + "&amp;D11&amp;" + "&amp;D12</f>
        <v>c3.2 + c3.3 + c3.4</v>
      </c>
    </row>
    <row r="16" spans="1:15" x14ac:dyDescent="0.35">
      <c r="A16" s="146" t="s">
        <v>1228</v>
      </c>
      <c r="C16" s="109"/>
      <c r="D16" s="109"/>
      <c r="G16" s="765" t="str">
        <f>'Divs (c3)'!A5</f>
        <v>c3.5</v>
      </c>
      <c r="H16" s="397">
        <f>MAX(0,E8+E11+E12-(TCRWS!H14+TCRWS!J14))</f>
        <v>0</v>
      </c>
    </row>
    <row r="17" spans="1:15" x14ac:dyDescent="0.35">
      <c r="A17" s="146" t="s">
        <v>1229</v>
      </c>
      <c r="B17" s="760"/>
      <c r="C17" s="760"/>
      <c r="D17" s="760"/>
      <c r="E17" s="760"/>
      <c r="F17" s="760"/>
      <c r="G17" s="760"/>
      <c r="H17" s="760"/>
      <c r="I17" s="760"/>
      <c r="O17" s="398"/>
    </row>
    <row r="18" spans="1:15" x14ac:dyDescent="0.35">
      <c r="A18" s="146" t="s">
        <v>1714</v>
      </c>
      <c r="B18" s="43"/>
      <c r="C18" s="398"/>
      <c r="D18" s="398"/>
      <c r="E18" s="398"/>
      <c r="F18" s="398"/>
      <c r="G18" s="398"/>
      <c r="H18" s="398"/>
      <c r="I18" s="398"/>
      <c r="O18" s="399"/>
    </row>
    <row r="19" spans="1:15" x14ac:dyDescent="0.35">
      <c r="A19" s="146" t="s">
        <v>1715</v>
      </c>
      <c r="B19" s="762" t="s">
        <v>674</v>
      </c>
      <c r="O19" s="399"/>
    </row>
    <row r="20" spans="1:15" x14ac:dyDescent="0.35">
      <c r="A20" s="146" t="s">
        <v>1180</v>
      </c>
      <c r="B20" s="762" t="s">
        <v>4465</v>
      </c>
      <c r="O20" s="398"/>
    </row>
    <row r="21" spans="1:15" x14ac:dyDescent="0.35">
      <c r="A21" s="146" t="s">
        <v>2409</v>
      </c>
      <c r="O21" s="398"/>
    </row>
    <row r="22" spans="1:15" x14ac:dyDescent="0.35">
      <c r="A22" s="146" t="s">
        <v>1784</v>
      </c>
      <c r="E22" s="757" t="str">
        <f>"("&amp;TRU&amp;TRU!G11&amp;" + "&amp;TRU&amp;TRU!C28&amp;") x divs_gross ("&amp;divs_gross_F&amp;")"</f>
        <v>(TRU5 + TRU9) x divs_gross (100/92.5)</v>
      </c>
      <c r="O22" s="398"/>
    </row>
    <row r="23" spans="1:15" x14ac:dyDescent="0.35">
      <c r="A23" s="146" t="s">
        <v>1787</v>
      </c>
      <c r="B23" s="762" t="s">
        <v>6679</v>
      </c>
      <c r="D23" s="758" t="str">
        <f>'Divs (c3)'!A6</f>
        <v>c3.6</v>
      </c>
      <c r="E23" s="397">
        <f>TRUNC(TRUNC(TRU!H12,0)*100/data!K47+TRUNC(TRU!D29,0)*100/data!K47,0)</f>
        <v>0</v>
      </c>
      <c r="F23" s="1081" t="s">
        <v>1837</v>
      </c>
      <c r="O23" s="119"/>
    </row>
    <row r="24" spans="1:15" x14ac:dyDescent="0.35">
      <c r="A24" s="146" t="s">
        <v>2540</v>
      </c>
      <c r="G24" s="44"/>
      <c r="H24" s="44"/>
    </row>
    <row r="25" spans="1:15" x14ac:dyDescent="0.35">
      <c r="A25" s="146" t="s">
        <v>3362</v>
      </c>
      <c r="E25" s="757" t="str">
        <f>TRU&amp;TRU!K15&amp;" x divs_gross ("&amp;divs_gross_F&amp;")"</f>
        <v>TRU18 x divs_gross (100/92.5)</v>
      </c>
      <c r="J25" s="398"/>
      <c r="K25" s="398"/>
      <c r="L25" s="398"/>
      <c r="M25" s="399"/>
      <c r="N25" s="398"/>
    </row>
    <row r="26" spans="1:15" x14ac:dyDescent="0.35">
      <c r="A26" s="146" t="s">
        <v>2713</v>
      </c>
      <c r="B26" s="762" t="s">
        <v>5507</v>
      </c>
      <c r="D26" s="758" t="str">
        <f>'Divs (c3)'!A7</f>
        <v>c3.7</v>
      </c>
      <c r="E26" s="397">
        <f>TRUNC(TRUNC(TRU!L16,0)*100/data!K47,0)</f>
        <v>0</v>
      </c>
      <c r="F26" s="1081" t="s">
        <v>1837</v>
      </c>
      <c r="G26" s="44"/>
      <c r="H26" s="44"/>
      <c r="K26" s="124"/>
      <c r="N26" s="398"/>
    </row>
    <row r="27" spans="1:15" x14ac:dyDescent="0.35">
      <c r="A27" s="146" t="s">
        <v>2714</v>
      </c>
      <c r="N27" s="398"/>
    </row>
    <row r="28" spans="1:15" x14ac:dyDescent="0.35">
      <c r="A28" s="146" t="s">
        <v>2715</v>
      </c>
      <c r="E28" s="764" t="str">
        <f>TRU&amp;TRU!G24&amp;" x trust_div_gross ("&amp;trust_div_gross_F&amp;")"</f>
        <v>TRU12 x trust_div_gross (100/61.9)</v>
      </c>
    </row>
    <row r="29" spans="1:15" x14ac:dyDescent="0.35">
      <c r="A29" s="146" t="s">
        <v>2716</v>
      </c>
      <c r="B29" s="762" t="s">
        <v>6680</v>
      </c>
      <c r="D29" s="758" t="str">
        <f>'Divs (c3)'!A8</f>
        <v>c3.8</v>
      </c>
      <c r="E29" s="397">
        <f>TRUNC(TRUNC(TRU!H25,0)*100/data!K54,0)</f>
        <v>0</v>
      </c>
      <c r="F29" s="1081" t="s">
        <v>1837</v>
      </c>
      <c r="G29" s="44"/>
      <c r="H29" s="44"/>
    </row>
    <row r="30" spans="1:15" x14ac:dyDescent="0.35">
      <c r="A30" s="146" t="s">
        <v>2717</v>
      </c>
    </row>
    <row r="31" spans="1:15" x14ac:dyDescent="0.35">
      <c r="H31" s="109" t="str">
        <f>D23&amp;" + "&amp;D26&amp;" + "&amp;D29</f>
        <v>c3.6 + c3.7 + c3.8</v>
      </c>
      <c r="I31" s="398"/>
      <c r="J31" s="398"/>
      <c r="K31" s="398"/>
      <c r="L31" s="398"/>
      <c r="M31" s="398"/>
      <c r="N31" s="398"/>
    </row>
    <row r="32" spans="1:15" x14ac:dyDescent="0.35">
      <c r="B32" s="762" t="s">
        <v>6684</v>
      </c>
      <c r="C32" s="109"/>
      <c r="D32" s="109"/>
      <c r="G32" s="758" t="str">
        <f>'Divs (c3)'!A9</f>
        <v>c3.9</v>
      </c>
      <c r="H32" s="397">
        <f>E23+E26+E29</f>
        <v>0</v>
      </c>
      <c r="J32" s="398"/>
      <c r="K32" s="398"/>
      <c r="L32" s="398"/>
      <c r="M32" s="398"/>
      <c r="N32" s="398"/>
    </row>
    <row r="33" spans="2:9" x14ac:dyDescent="0.35">
      <c r="B33" s="760"/>
      <c r="C33" s="760"/>
      <c r="D33" s="760"/>
      <c r="E33" s="760"/>
      <c r="F33" s="760"/>
      <c r="G33" s="760"/>
      <c r="H33" s="760"/>
      <c r="I33" s="760"/>
    </row>
    <row r="34" spans="2:9" x14ac:dyDescent="0.35">
      <c r="B34" s="43"/>
      <c r="C34" s="398"/>
      <c r="D34" s="398"/>
      <c r="E34" s="398"/>
      <c r="F34" s="398"/>
      <c r="G34" s="398"/>
      <c r="H34" s="398"/>
      <c r="I34" s="398"/>
    </row>
    <row r="35" spans="2:9" x14ac:dyDescent="0.35">
      <c r="B35" s="762" t="s">
        <v>2577</v>
      </c>
      <c r="F35" s="782"/>
      <c r="G35" s="44"/>
      <c r="H35" s="44"/>
    </row>
    <row r="36" spans="2:9" x14ac:dyDescent="0.35">
      <c r="F36" s="782"/>
      <c r="G36" s="44"/>
      <c r="H36" s="44"/>
    </row>
    <row r="37" spans="2:9" x14ac:dyDescent="0.35">
      <c r="B37" s="399"/>
      <c r="C37" s="757" t="str">
        <f>"from "&amp;INC&amp;'INC(1)'!I13</f>
        <v>from INC4</v>
      </c>
      <c r="D37" s="758" t="str">
        <f>'Divs (c3)'!A10</f>
        <v>c3.10</v>
      </c>
      <c r="E37" s="397">
        <f>TRUNC('INC(1)'!J14,0)</f>
        <v>0</v>
      </c>
      <c r="F37" s="1081" t="s">
        <v>1837</v>
      </c>
      <c r="G37" s="44"/>
      <c r="H37" s="44"/>
    </row>
    <row r="38" spans="2:9" x14ac:dyDescent="0.35">
      <c r="B38" s="399"/>
      <c r="C38" s="757" t="str">
        <f>"from "&amp;INC&amp;'INC(1)'!I16</f>
        <v>from INC5</v>
      </c>
      <c r="D38" s="2566" t="str">
        <f>A11</f>
        <v>c3.11</v>
      </c>
      <c r="E38" s="1635">
        <f>TRUNC('INC(1)'!J17,0)</f>
        <v>0</v>
      </c>
      <c r="F38" s="1081" t="s">
        <v>1837</v>
      </c>
      <c r="G38" s="42"/>
      <c r="H38" s="44"/>
    </row>
    <row r="39" spans="2:9" x14ac:dyDescent="0.35">
      <c r="B39" s="399"/>
      <c r="C39" s="764" t="str">
        <f>"from "&amp;AOI&amp;AOI!C28</f>
        <v>from AOI12</v>
      </c>
      <c r="D39" s="758" t="str">
        <f>'Divs (c3)'!A12</f>
        <v>c3.12</v>
      </c>
      <c r="E39" s="397">
        <f>TRUNC(AOI!D29,0)</f>
        <v>0</v>
      </c>
      <c r="F39" s="1081" t="s">
        <v>1837</v>
      </c>
    </row>
    <row r="40" spans="2:9" x14ac:dyDescent="0.35">
      <c r="C40" s="764" t="str">
        <f>"from "&amp;AOI&amp;AOI!G28</f>
        <v>from AOI13</v>
      </c>
      <c r="D40" s="758" t="str">
        <f>'Divs (c3)'!A13</f>
        <v>c3.13</v>
      </c>
      <c r="E40" s="397">
        <f>TRUNC(AOI!H29)</f>
        <v>0</v>
      </c>
      <c r="F40" s="1081" t="s">
        <v>1837</v>
      </c>
      <c r="I40" s="153"/>
    </row>
    <row r="41" spans="2:9" x14ac:dyDescent="0.35">
      <c r="H41" s="109" t="str">
        <f>D37&amp;" + "&amp;D38&amp;" + "&amp;D39&amp;" + "&amp;D40</f>
        <v>c3.10 + c3.11 + c3.12 + c3.13</v>
      </c>
    </row>
    <row r="42" spans="2:9" x14ac:dyDescent="0.35">
      <c r="G42" s="758" t="str">
        <f>'Divs (c3)'!A14</f>
        <v>c3.14</v>
      </c>
      <c r="H42" s="397">
        <f>E37+E38+E39+E40</f>
        <v>0</v>
      </c>
    </row>
    <row r="43" spans="2:9" x14ac:dyDescent="0.35">
      <c r="B43" s="760"/>
      <c r="C43" s="760"/>
      <c r="D43" s="760"/>
      <c r="E43" s="760"/>
      <c r="F43" s="760"/>
      <c r="G43" s="760"/>
      <c r="H43" s="760"/>
      <c r="I43" s="760"/>
    </row>
    <row r="44" spans="2:9" x14ac:dyDescent="0.35">
      <c r="B44" s="43"/>
      <c r="C44" s="398"/>
      <c r="D44" s="398"/>
      <c r="E44" s="398"/>
      <c r="F44" s="398"/>
      <c r="G44" s="398"/>
      <c r="H44" s="398"/>
      <c r="I44" s="398"/>
    </row>
    <row r="45" spans="2:9" x14ac:dyDescent="0.35">
      <c r="B45" s="119"/>
      <c r="C45" s="153"/>
      <c r="G45" s="153"/>
      <c r="H45" s="153" t="str">
        <f>G4&amp;" + "&amp;G16&amp;" + "&amp;G32&amp;" + "&amp;G42</f>
        <v>c3.1 + c3.5 + c3.9 + c3.14</v>
      </c>
      <c r="I45" s="119"/>
    </row>
    <row r="46" spans="2:9" x14ac:dyDescent="0.35">
      <c r="B46" s="448" t="s">
        <v>939</v>
      </c>
      <c r="C46" s="398"/>
      <c r="D46" s="398"/>
      <c r="E46" s="398"/>
      <c r="F46" s="398"/>
      <c r="G46" s="758" t="str">
        <f>'Divs (c3)'!A15</f>
        <v>c3.15</v>
      </c>
      <c r="H46" s="397">
        <f>H4+H16+H32+H42</f>
        <v>0</v>
      </c>
    </row>
    <row r="47" spans="2:9" ht="12" thickBot="1" x14ac:dyDescent="0.4">
      <c r="B47" s="1521"/>
      <c r="C47" s="1521"/>
      <c r="D47" s="1521"/>
      <c r="E47" s="1521"/>
      <c r="F47" s="1521"/>
      <c r="G47" s="1521"/>
      <c r="H47" s="1521"/>
      <c r="I47" s="1521"/>
    </row>
    <row r="48" spans="2:9" x14ac:dyDescent="0.35">
      <c r="B48" s="1522"/>
      <c r="C48" s="1522"/>
      <c r="D48" s="1522"/>
      <c r="E48" s="1522"/>
      <c r="F48" s="1522"/>
      <c r="G48" s="1522"/>
      <c r="H48" s="1522"/>
      <c r="I48" s="1522"/>
    </row>
    <row r="49" spans="2:9" x14ac:dyDescent="0.35">
      <c r="B49" s="448" t="s">
        <v>1408</v>
      </c>
    </row>
    <row r="50" spans="2:9" x14ac:dyDescent="0.35">
      <c r="H50" s="153" t="str">
        <f>"from "&amp;'Savings (c2)'!E19</f>
        <v>from c2.5</v>
      </c>
    </row>
    <row r="51" spans="2:9" x14ac:dyDescent="0.35">
      <c r="B51" s="762" t="s">
        <v>1423</v>
      </c>
      <c r="E51" s="759"/>
      <c r="G51" s="758" t="str">
        <f>'Divs (c3)'!A16</f>
        <v>c3.16</v>
      </c>
      <c r="H51" s="397">
        <f>'Savings (c2)'!F19</f>
        <v>0</v>
      </c>
      <c r="I51" s="1081"/>
    </row>
    <row r="53" spans="2:9" x14ac:dyDescent="0.35">
      <c r="H53" s="763" t="str">
        <f>"from "&amp;AOI&amp;AOI!C13</f>
        <v>from AOI4</v>
      </c>
    </row>
    <row r="54" spans="2:9" x14ac:dyDescent="0.35">
      <c r="B54" s="762" t="s">
        <v>676</v>
      </c>
      <c r="C54" s="398"/>
      <c r="D54" s="399"/>
      <c r="E54" s="398"/>
      <c r="G54" s="758" t="str">
        <f>'Divs (c3)'!A17</f>
        <v>c3.17</v>
      </c>
      <c r="H54" s="397">
        <f>TRUNC(AOI!D14,0)</f>
        <v>0</v>
      </c>
      <c r="I54" s="1081" t="s">
        <v>1837</v>
      </c>
    </row>
    <row r="55" spans="2:9" x14ac:dyDescent="0.35">
      <c r="F55" s="759"/>
      <c r="G55" s="759"/>
    </row>
    <row r="56" spans="2:9" x14ac:dyDescent="0.35">
      <c r="F56" s="759"/>
      <c r="G56" s="762"/>
      <c r="H56" s="153" t="str">
        <f>G51&amp;" + "&amp;G54</f>
        <v>c3.16 + c3.17</v>
      </c>
    </row>
    <row r="57" spans="2:9" x14ac:dyDescent="0.35">
      <c r="F57" s="759"/>
      <c r="G57" s="758" t="str">
        <f>'Divs (c3)'!A18</f>
        <v>c3.18</v>
      </c>
      <c r="H57" s="397">
        <f>MAX(0,H51+H54-TCRWS!L14)</f>
        <v>0</v>
      </c>
    </row>
    <row r="58" spans="2:9" x14ac:dyDescent="0.35">
      <c r="B58" s="760"/>
      <c r="C58" s="760"/>
      <c r="D58" s="760"/>
      <c r="E58" s="760"/>
      <c r="F58" s="760"/>
      <c r="G58" s="760"/>
      <c r="H58" s="760"/>
      <c r="I58" s="760"/>
    </row>
    <row r="60" spans="2:9" x14ac:dyDescent="0.35">
      <c r="B60" s="712" t="s">
        <v>2960</v>
      </c>
    </row>
    <row r="61" spans="2:9" x14ac:dyDescent="0.35">
      <c r="H61" s="763" t="str">
        <f>TRU&amp;TRU!O6&amp;" x NS_gross ("&amp;NS_gross_F&amp;")"</f>
        <v>TRU19 x NS_gross (100/80)</v>
      </c>
    </row>
    <row r="62" spans="2:9" x14ac:dyDescent="0.35">
      <c r="B62" s="762" t="s">
        <v>674</v>
      </c>
      <c r="D62" s="398"/>
      <c r="E62" s="398"/>
      <c r="G62" s="758" t="str">
        <f>'Divs (c3)'!A19</f>
        <v>c3.19</v>
      </c>
      <c r="H62" s="397">
        <f>TRUNC(TRU!P7*NS_gross,0)</f>
        <v>0</v>
      </c>
      <c r="I62" s="1081" t="s">
        <v>1837</v>
      </c>
    </row>
    <row r="63" spans="2:9" x14ac:dyDescent="0.35">
      <c r="F63" s="759"/>
      <c r="G63" s="759"/>
    </row>
    <row r="64" spans="2:9" x14ac:dyDescent="0.35">
      <c r="H64" s="764" t="str">
        <f>"from "&amp;TRU&amp;TRU!G6</f>
        <v>from TRU2</v>
      </c>
    </row>
    <row r="65" spans="2:9" x14ac:dyDescent="0.35">
      <c r="G65" s="758" t="str">
        <f>'Divs (c3)'!A20</f>
        <v>c3.20</v>
      </c>
      <c r="H65" s="397">
        <f>TRUNC(TRU!H7,0)</f>
        <v>0</v>
      </c>
      <c r="I65" s="1081" t="s">
        <v>1837</v>
      </c>
    </row>
    <row r="66" spans="2:9" x14ac:dyDescent="0.35">
      <c r="B66" s="760"/>
      <c r="C66" s="760"/>
      <c r="D66" s="760"/>
      <c r="E66" s="760"/>
      <c r="F66" s="760"/>
      <c r="G66" s="760"/>
      <c r="H66" s="760"/>
      <c r="I66" s="760"/>
    </row>
    <row r="68" spans="2:9" x14ac:dyDescent="0.35">
      <c r="C68" s="119"/>
      <c r="D68" s="119"/>
      <c r="E68" s="119"/>
      <c r="F68" s="119"/>
      <c r="H68" s="153" t="str">
        <f>'NS income (c1)'!I131&amp;" + "&amp;'NS income (c1)'!I135&amp;" + "&amp;'Savings (c2)'!H75&amp;" + "&amp;G46&amp;" + "&amp;G57&amp;" + "&amp;G62&amp;" + "&amp;G65</f>
        <v>c1.57 + c1.58 + c2.19 + c3.15 + c3.18 + c3.19 + c3.20</v>
      </c>
    </row>
    <row r="69" spans="2:9" x14ac:dyDescent="0.35">
      <c r="B69" s="448" t="s">
        <v>4189</v>
      </c>
      <c r="G69" s="758" t="str">
        <f>'Divs (c3)'!A21</f>
        <v>c3.21</v>
      </c>
      <c r="H69" s="783">
        <f>'NS income (c1)'!J131+'NS income (c1)'!J135+'Savings (c2)'!I75+H46+H57+H62+H65</f>
        <v>0</v>
      </c>
    </row>
    <row r="70" spans="2:9" x14ac:dyDescent="0.35">
      <c r="B70" s="760"/>
      <c r="C70" s="760"/>
      <c r="D70" s="760"/>
      <c r="E70" s="760"/>
      <c r="F70" s="760"/>
      <c r="G70" s="760"/>
      <c r="H70" s="760"/>
      <c r="I70" s="760"/>
    </row>
    <row r="72" spans="2:9" x14ac:dyDescent="0.35">
      <c r="B72" s="786" t="s">
        <v>2578</v>
      </c>
    </row>
    <row r="74" spans="2:9" x14ac:dyDescent="0.35">
      <c r="B74" s="786" t="s">
        <v>1013</v>
      </c>
    </row>
    <row r="75" spans="2:9" x14ac:dyDescent="0.35">
      <c r="H75" s="764" t="str">
        <f>"from NRD"&amp;NRD!D16</f>
        <v>from NRD20</v>
      </c>
    </row>
    <row r="76" spans="2:9" x14ac:dyDescent="0.35">
      <c r="B76" s="759" t="s">
        <v>1785</v>
      </c>
      <c r="G76" s="758" t="str">
        <f>'Divs (c3)'!A22</f>
        <v>c3.22</v>
      </c>
      <c r="H76" s="397">
        <f>TRUNC(NRD!E17,0)</f>
        <v>0</v>
      </c>
      <c r="I76" s="1079" t="s">
        <v>1837</v>
      </c>
    </row>
    <row r="77" spans="2:9" x14ac:dyDescent="0.35">
      <c r="B77" s="759" t="s">
        <v>1786</v>
      </c>
    </row>
    <row r="78" spans="2:9" x14ac:dyDescent="0.35">
      <c r="H78" s="153" t="str">
        <f>G69&amp;" + "&amp;G76</f>
        <v>c3.21 + c3.22</v>
      </c>
    </row>
    <row r="79" spans="2:9" x14ac:dyDescent="0.35">
      <c r="B79" s="448" t="s">
        <v>4477</v>
      </c>
      <c r="G79" s="758" t="str">
        <f>'Divs (c3)'!A23</f>
        <v>c3.23</v>
      </c>
      <c r="H79" s="783">
        <f>H69+H76</f>
        <v>0</v>
      </c>
    </row>
    <row r="80" spans="2:9" x14ac:dyDescent="0.35">
      <c r="B80" s="760"/>
      <c r="C80" s="760"/>
      <c r="D80" s="760"/>
      <c r="E80" s="760"/>
      <c r="F80" s="760"/>
      <c r="G80" s="760"/>
      <c r="H80" s="760"/>
      <c r="I80" s="760"/>
    </row>
    <row r="82" spans="1:9" x14ac:dyDescent="0.35">
      <c r="H82" s="767" t="str">
        <f>"from "&amp;AIL&amp;AIL!G5</f>
        <v>from AIL6</v>
      </c>
    </row>
    <row r="83" spans="1:9" x14ac:dyDescent="0.35">
      <c r="B83" s="146" t="s">
        <v>4480</v>
      </c>
      <c r="G83" s="805" t="str">
        <f>A24</f>
        <v>c3.24</v>
      </c>
      <c r="H83" s="131">
        <f>TRUNC(AIL!H6,0)</f>
        <v>0</v>
      </c>
      <c r="I83" s="1079" t="s">
        <v>1837</v>
      </c>
    </row>
    <row r="85" spans="1:9" x14ac:dyDescent="0.35">
      <c r="H85" s="767" t="str">
        <f>"from "&amp;REL&amp;'REL(1)'!C6&amp;" + "&amp;REL&amp;'REL(1)'!C9&amp;" + "&amp;REL&amp;'REL(1)'!H6&amp;" + "&amp;REL&amp;'REL(1)'!H9</f>
        <v>from REL1 + REL2 + REL3 + REL4</v>
      </c>
    </row>
    <row r="86" spans="1:9" x14ac:dyDescent="0.35">
      <c r="B86" s="1451" t="s">
        <v>4479</v>
      </c>
      <c r="C86" s="142"/>
      <c r="D86" s="142"/>
      <c r="E86" s="142"/>
      <c r="G86" s="805" t="str">
        <f>A25</f>
        <v>c3.25</v>
      </c>
      <c r="H86" s="131">
        <f>TRUNC('REL(1)'!D7+0.99,0)+TRUNC('REL(1)'!D10+0.99,0)+TRUNC('REL(1)'!I7+0.99,0)+TRUNC('REL(1)'!I10+0.99,0)</f>
        <v>0</v>
      </c>
      <c r="I86" s="1079" t="s">
        <v>3966</v>
      </c>
    </row>
    <row r="88" spans="1:9" x14ac:dyDescent="0.35">
      <c r="B88" s="448" t="s">
        <v>4476</v>
      </c>
      <c r="H88" s="109" t="str">
        <f>"("&amp;G79&amp;" + "&amp;G83&amp;") minus "&amp;G86</f>
        <v>(c3.23 + c3.24) minus c3.25</v>
      </c>
    </row>
    <row r="89" spans="1:9" x14ac:dyDescent="0.35">
      <c r="B89" s="448" t="s">
        <v>4481</v>
      </c>
      <c r="G89" s="805" t="str">
        <f>A26</f>
        <v>c3.26</v>
      </c>
      <c r="H89" s="131">
        <f>MAX(0,(H79+H83)-H86)</f>
        <v>0</v>
      </c>
    </row>
    <row r="93" spans="1:9" x14ac:dyDescent="0.35">
      <c r="A93" s="142"/>
    </row>
  </sheetData>
  <phoneticPr fontId="68" type="noConversion"/>
  <pageMargins left="0.19685" right="0.19685" top="0.19685" bottom="0.19685" header="0" footer="0"/>
  <pageSetup paperSize="9" orientation="portrait" horizontalDpi="4294967293" verticalDpi="12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rgb="FFFFFF00"/>
  </sheetPr>
  <dimension ref="A1:S284"/>
  <sheetViews>
    <sheetView showGridLines="0" topLeftCell="B1" workbookViewId="0">
      <selection activeCell="N19" sqref="N19"/>
    </sheetView>
  </sheetViews>
  <sheetFormatPr defaultRowHeight="12.75" x14ac:dyDescent="0.35"/>
  <cols>
    <col min="1" max="1" width="5.265625" hidden="1" customWidth="1"/>
    <col min="2" max="2" width="43.1328125" customWidth="1"/>
    <col min="3" max="3" width="16.1328125" customWidth="1"/>
    <col min="4" max="4" width="5.73046875" customWidth="1"/>
    <col min="5" max="5" width="16.1328125" customWidth="1"/>
    <col min="6" max="6" width="10.59765625" customWidth="1"/>
    <col min="7" max="7" width="6" customWidth="1"/>
    <col min="8" max="8" width="6.1328125" customWidth="1"/>
    <col min="9" max="9" width="16.1328125" customWidth="1"/>
    <col min="10" max="10" width="10.3984375" customWidth="1"/>
    <col min="11" max="12" width="6" customWidth="1"/>
    <col min="13" max="13" width="16.1328125" customWidth="1"/>
    <col min="14" max="14" width="10.3984375" customWidth="1"/>
    <col min="15" max="16" width="6" customWidth="1"/>
    <col min="17" max="17" width="13.1328125" customWidth="1"/>
  </cols>
  <sheetData>
    <row r="1" spans="1:19" ht="17.649999999999999" x14ac:dyDescent="0.5">
      <c r="A1" s="1002" t="s">
        <v>7458</v>
      </c>
      <c r="B1" s="1927" t="s">
        <v>7750</v>
      </c>
    </row>
    <row r="2" spans="1:19" x14ac:dyDescent="0.35">
      <c r="A2" s="1002" t="s">
        <v>7459</v>
      </c>
      <c r="E2" s="788" t="s">
        <v>1955</v>
      </c>
      <c r="F2" s="754"/>
      <c r="G2" s="754"/>
      <c r="H2" s="754"/>
      <c r="I2" s="755"/>
    </row>
    <row r="3" spans="1:19" x14ac:dyDescent="0.35">
      <c r="A3" s="1002" t="s">
        <v>7460</v>
      </c>
    </row>
    <row r="4" spans="1:19" x14ac:dyDescent="0.35">
      <c r="A4" s="1002" t="s">
        <v>7535</v>
      </c>
      <c r="B4" s="3051" t="s">
        <v>7327</v>
      </c>
      <c r="C4" s="3045"/>
      <c r="D4" s="3047"/>
      <c r="E4" s="3045"/>
      <c r="F4" s="3045"/>
      <c r="G4" s="3047"/>
      <c r="H4" s="3047"/>
      <c r="I4" s="3041"/>
      <c r="J4" s="3041"/>
      <c r="K4" s="3041"/>
      <c r="L4" s="3048"/>
      <c r="M4" s="3049"/>
      <c r="N4" s="3045"/>
      <c r="O4" s="3045"/>
      <c r="P4" s="3045"/>
      <c r="Q4" s="3045"/>
      <c r="R4" s="3045"/>
      <c r="S4" s="3045"/>
    </row>
    <row r="5" spans="1:19" x14ac:dyDescent="0.35">
      <c r="A5" s="1002" t="s">
        <v>7536</v>
      </c>
      <c r="B5" s="3051" t="s">
        <v>7326</v>
      </c>
      <c r="C5" s="3045"/>
      <c r="D5" s="3047"/>
      <c r="E5" s="3045"/>
      <c r="F5" s="3045"/>
      <c r="G5" s="3047"/>
      <c r="H5" s="3047"/>
      <c r="I5" s="3041"/>
      <c r="J5" s="3041"/>
      <c r="K5" s="3041"/>
      <c r="L5" s="3048"/>
      <c r="M5" s="3049"/>
      <c r="N5" s="3045"/>
      <c r="O5" s="3045"/>
      <c r="P5" s="3045"/>
      <c r="Q5" s="3045"/>
      <c r="R5" s="3045"/>
      <c r="S5" s="3045"/>
    </row>
    <row r="6" spans="1:19" x14ac:dyDescent="0.35">
      <c r="A6" s="1002" t="s">
        <v>7537</v>
      </c>
      <c r="B6" s="3051" t="s">
        <v>7328</v>
      </c>
      <c r="C6" s="3045"/>
      <c r="D6" s="3047"/>
      <c r="E6" s="3045"/>
      <c r="F6" s="3045"/>
      <c r="G6" s="3047"/>
      <c r="H6" s="3047"/>
      <c r="I6" s="3041"/>
      <c r="J6" s="3041"/>
      <c r="K6" s="3041"/>
      <c r="L6" s="3048"/>
      <c r="M6" s="3049"/>
      <c r="N6" s="3045"/>
      <c r="O6" s="3045"/>
      <c r="P6" s="3045"/>
      <c r="Q6" s="3045"/>
      <c r="R6" s="3045"/>
      <c r="S6" s="3045"/>
    </row>
    <row r="7" spans="1:19" x14ac:dyDescent="0.35">
      <c r="B7" s="3051" t="s">
        <v>7318</v>
      </c>
      <c r="C7" s="3045"/>
      <c r="D7" s="3047"/>
      <c r="E7" s="3045"/>
      <c r="F7" s="3045"/>
      <c r="G7" s="3047"/>
      <c r="H7" s="3047"/>
      <c r="I7" s="3041"/>
      <c r="J7" s="3041"/>
      <c r="K7" s="3041"/>
      <c r="L7" s="3045"/>
      <c r="M7" s="3045"/>
      <c r="N7" s="3045"/>
      <c r="O7" s="3045"/>
      <c r="P7" s="3045"/>
      <c r="Q7" s="3045"/>
      <c r="R7" s="3045"/>
      <c r="S7" s="3045"/>
    </row>
    <row r="8" spans="1:19" x14ac:dyDescent="0.35">
      <c r="B8" s="3051" t="s">
        <v>7317</v>
      </c>
      <c r="C8" s="3045"/>
      <c r="D8" s="3047"/>
      <c r="E8" s="3045"/>
      <c r="F8" s="3045"/>
      <c r="G8" s="3047"/>
      <c r="H8" s="3047"/>
      <c r="I8" s="3041"/>
      <c r="J8" s="3041"/>
      <c r="K8" s="3041"/>
      <c r="L8" s="3048"/>
      <c r="M8" s="3049"/>
      <c r="N8" s="3045"/>
      <c r="O8" s="3045"/>
      <c r="P8" s="3045"/>
      <c r="Q8" s="3045"/>
      <c r="R8" s="3045"/>
      <c r="S8" s="3045"/>
    </row>
    <row r="9" spans="1:19" x14ac:dyDescent="0.35">
      <c r="B9" s="3045"/>
      <c r="C9" s="3045"/>
      <c r="D9" s="3047"/>
      <c r="E9" s="3045"/>
      <c r="F9" s="3045"/>
      <c r="G9" s="3047"/>
      <c r="H9" s="3047"/>
      <c r="I9" s="3041"/>
      <c r="J9" s="3041"/>
      <c r="K9" s="3041"/>
      <c r="L9" s="3048"/>
      <c r="M9" s="3049"/>
      <c r="N9" s="3045"/>
      <c r="O9" s="3045"/>
      <c r="P9" s="3045"/>
      <c r="Q9" s="3045"/>
      <c r="R9" s="3045"/>
      <c r="S9" s="3045"/>
    </row>
    <row r="10" spans="1:19" x14ac:dyDescent="0.35">
      <c r="B10" s="3053" t="str">
        <f>"where "&amp;NRD!P4&amp;" = Y or "&amp;NRD!P10&amp;" = Y then change YPDTR to U (tax status to 1)"</f>
        <v>where box_NRD1 = Y or box_NRD28 = Y then change YPDTR to U (tax status to 1)</v>
      </c>
      <c r="C10" s="3045"/>
      <c r="D10" s="3047"/>
      <c r="E10" s="3045"/>
      <c r="F10" s="3045"/>
      <c r="G10" s="3047"/>
      <c r="H10" s="3047"/>
      <c r="I10" s="3041"/>
      <c r="J10" s="3041"/>
      <c r="K10" s="3041"/>
      <c r="L10" s="3048"/>
      <c r="M10" s="3049"/>
      <c r="N10" s="3045"/>
      <c r="O10" s="3045"/>
      <c r="P10" s="3045"/>
      <c r="Q10" s="3045"/>
      <c r="R10" s="3045"/>
      <c r="S10" s="3045"/>
    </row>
    <row r="11" spans="1:19" x14ac:dyDescent="0.35">
      <c r="B11" s="3045" t="str">
        <f>"if "&amp;NRD!P4&amp;" = Y or "&amp;NRD!P10&amp;" = Y"</f>
        <v>if box_NRD1 = Y or box_NRD28 = Y</v>
      </c>
      <c r="C11" s="3045"/>
      <c r="D11" s="3047"/>
      <c r="E11" s="3051" t="s">
        <v>7315</v>
      </c>
      <c r="F11" s="3045"/>
      <c r="G11" s="3047"/>
      <c r="H11" s="3047"/>
      <c r="I11" s="3041"/>
      <c r="J11" s="3041"/>
      <c r="K11" s="3041"/>
      <c r="L11" s="3048"/>
      <c r="M11" s="3049"/>
      <c r="N11" s="3045"/>
      <c r="O11" s="3045"/>
      <c r="P11" s="3045"/>
      <c r="Q11" s="3045"/>
      <c r="R11" s="3045"/>
      <c r="S11" s="3045"/>
    </row>
    <row r="12" spans="1:19" x14ac:dyDescent="0.35">
      <c r="B12" s="3045" t="str">
        <f>D21&amp;" = 1"</f>
        <v>c3a.1 = 1</v>
      </c>
      <c r="C12" s="3045"/>
      <c r="D12" s="3047"/>
      <c r="E12" s="3045"/>
      <c r="F12" s="3045"/>
      <c r="G12" s="3047"/>
      <c r="H12" s="3047"/>
      <c r="I12" s="3041"/>
      <c r="J12" s="3041"/>
      <c r="K12" s="3041"/>
      <c r="L12" s="3048"/>
      <c r="M12" s="3049"/>
      <c r="N12" s="3045"/>
      <c r="O12" s="3045"/>
      <c r="P12" s="3045"/>
      <c r="Q12" s="3045"/>
      <c r="R12" s="3045"/>
      <c r="S12" s="3045"/>
    </row>
    <row r="13" spans="1:19" x14ac:dyDescent="0.35">
      <c r="B13" s="3045" t="s">
        <v>2520</v>
      </c>
      <c r="C13" s="3045"/>
      <c r="D13" s="3047"/>
      <c r="E13" s="3045"/>
      <c r="F13" s="3045"/>
      <c r="G13" s="3047"/>
      <c r="H13" s="3047"/>
      <c r="I13" s="3041"/>
      <c r="J13" s="3041"/>
      <c r="K13" s="3041"/>
      <c r="L13" s="3048"/>
      <c r="M13" s="3049"/>
      <c r="N13" s="3045"/>
      <c r="O13" s="3045"/>
      <c r="P13" s="3045"/>
      <c r="Q13" s="3045"/>
      <c r="R13" s="3045"/>
      <c r="S13" s="3045"/>
    </row>
    <row r="14" spans="1:19" x14ac:dyDescent="0.35">
      <c r="B14" s="3045" t="str">
        <f>"Calculate "&amp;D21</f>
        <v>Calculate c3a.1</v>
      </c>
      <c r="C14" s="3045"/>
      <c r="D14" s="3047"/>
      <c r="E14" s="3045"/>
      <c r="F14" s="3045"/>
      <c r="G14" s="3047"/>
      <c r="H14" s="3047"/>
      <c r="I14" s="3041"/>
      <c r="J14" s="3041"/>
      <c r="K14" s="3041"/>
      <c r="L14" s="3048"/>
      <c r="M14" s="3049"/>
      <c r="N14" s="3045"/>
      <c r="O14" s="3045"/>
      <c r="P14" s="3045"/>
      <c r="Q14" s="3045"/>
      <c r="R14" s="3045"/>
      <c r="S14" s="3045"/>
    </row>
    <row r="15" spans="1:19" x14ac:dyDescent="0.35">
      <c r="B15" s="3052"/>
      <c r="C15" s="3053"/>
      <c r="D15" s="3045"/>
      <c r="E15" s="3045"/>
      <c r="F15" s="3045"/>
      <c r="G15" s="3053"/>
      <c r="H15" s="3045"/>
      <c r="I15" s="3054"/>
      <c r="J15" s="3045"/>
      <c r="K15" s="3045"/>
      <c r="L15" s="3045"/>
      <c r="M15" s="3054"/>
      <c r="N15" s="3050"/>
      <c r="O15" s="3045"/>
      <c r="P15" s="3045"/>
      <c r="Q15" s="3045"/>
      <c r="R15" s="3045"/>
      <c r="S15" s="3045"/>
    </row>
    <row r="16" spans="1:19" x14ac:dyDescent="0.35">
      <c r="B16" s="3052"/>
      <c r="C16" s="3045"/>
      <c r="D16" s="3045"/>
      <c r="E16" s="3044" t="str">
        <f>"If pseudo box "&amp;YPD&amp;'INC(1)'!C7&amp;" = S"</f>
        <v>If pseudo box YPDTR = S</v>
      </c>
      <c r="F16" s="3045"/>
      <c r="G16" s="3045"/>
      <c r="H16" s="3045"/>
      <c r="I16" s="3044" t="str">
        <f>"if "&amp;D21&amp;" = 2"</f>
        <v>if c3a.1 = 2</v>
      </c>
      <c r="J16" s="3045"/>
      <c r="K16" s="3045"/>
      <c r="L16" s="3045"/>
      <c r="M16" s="3044" t="str">
        <f>"if "&amp;D21&amp;" = 2"</f>
        <v>if c3a.1 = 2</v>
      </c>
      <c r="N16" s="3050"/>
      <c r="O16" s="3045"/>
      <c r="P16" s="3045"/>
      <c r="Q16" s="3045"/>
      <c r="R16" s="3045"/>
      <c r="S16" s="3045"/>
    </row>
    <row r="17" spans="2:19" x14ac:dyDescent="0.35">
      <c r="B17" s="3052"/>
      <c r="C17" s="3055"/>
      <c r="D17" s="3045"/>
      <c r="E17" s="3044" t="str">
        <f>D21&amp;" = 2"</f>
        <v>c3a.1 = 2</v>
      </c>
      <c r="F17" s="3045"/>
      <c r="G17" s="3055"/>
      <c r="H17" s="3045"/>
      <c r="I17" s="3044" t="str">
        <f>H21&amp;" = SBR_Band ("&amp;DOLLAR(SBR_band,0)&amp;")"</f>
        <v>c3a.2 = SBR_Band (£31,500)</v>
      </c>
      <c r="J17" s="3045"/>
      <c r="K17" s="3045"/>
      <c r="L17" s="3045"/>
      <c r="M17" s="3044" t="str">
        <f>L21&amp;" = SHR_Band ("&amp;DOLLAR(SHR_band,0)&amp;")"</f>
        <v>c3a.3 = SHR_Band (£118,500)</v>
      </c>
      <c r="N17" s="3045"/>
      <c r="O17" s="3045"/>
      <c r="P17" s="3045"/>
      <c r="Q17" s="3045"/>
      <c r="R17" s="3045"/>
      <c r="S17" s="3045"/>
    </row>
    <row r="18" spans="2:19" x14ac:dyDescent="0.35">
      <c r="B18" s="3045"/>
      <c r="C18" s="3055"/>
      <c r="D18" s="3045"/>
      <c r="E18" s="3045" t="s">
        <v>2520</v>
      </c>
      <c r="F18" s="3045"/>
      <c r="G18" s="3055"/>
      <c r="H18" s="3045"/>
      <c r="I18" s="3045" t="s">
        <v>2520</v>
      </c>
      <c r="J18" s="3045"/>
      <c r="K18" s="3045"/>
      <c r="L18" s="3045"/>
      <c r="M18" s="3045" t="s">
        <v>2520</v>
      </c>
      <c r="N18" s="3045"/>
      <c r="O18" s="3045"/>
      <c r="P18" s="3045"/>
      <c r="Q18" s="3045"/>
      <c r="R18" s="3045"/>
      <c r="S18" s="3045"/>
    </row>
    <row r="19" spans="2:19" x14ac:dyDescent="0.35">
      <c r="B19" s="3045"/>
      <c r="C19" s="3055"/>
      <c r="D19" s="3045"/>
      <c r="E19" s="3044" t="str">
        <f>D21&amp;" = 1"</f>
        <v>c3a.1 = 1</v>
      </c>
      <c r="F19" s="3045"/>
      <c r="G19" s="3055"/>
      <c r="H19" s="3045"/>
      <c r="I19" s="3044" t="str">
        <f>H21&amp;" = BR_Band ("&amp;DOLLAR(BR_band,0)&amp;")"</f>
        <v>c3a.2 = BR_Band (£33,500)</v>
      </c>
      <c r="J19" s="3045"/>
      <c r="K19" s="3045"/>
      <c r="L19" s="3045"/>
      <c r="M19" s="3044" t="str">
        <f>L21&amp;" = HR_Band ("&amp;DOLLAR(HR_band,0)&amp;")"</f>
        <v>c3a.3 = HR_Band (£116,500)</v>
      </c>
      <c r="N19" s="3045"/>
      <c r="O19" s="3045"/>
      <c r="P19" s="3045"/>
      <c r="Q19" s="3045"/>
      <c r="R19" s="3045"/>
      <c r="S19" s="3045"/>
    </row>
    <row r="20" spans="2:19" x14ac:dyDescent="0.35">
      <c r="B20" s="3045"/>
      <c r="C20" s="3055"/>
      <c r="D20" s="3045"/>
      <c r="E20" s="3044" t="s">
        <v>2638</v>
      </c>
      <c r="F20" s="3045"/>
      <c r="G20" s="3055"/>
      <c r="H20" s="3045"/>
      <c r="I20" s="3044" t="s">
        <v>2638</v>
      </c>
      <c r="J20" s="3045"/>
      <c r="K20" s="3045"/>
      <c r="L20" s="3045"/>
      <c r="M20" s="3044" t="s">
        <v>2638</v>
      </c>
      <c r="N20" s="3045"/>
      <c r="O20" s="3045"/>
      <c r="P20" s="3045"/>
      <c r="Q20" s="3045"/>
      <c r="R20" s="3045"/>
      <c r="S20" s="3045"/>
    </row>
    <row r="21" spans="2:19" x14ac:dyDescent="0.35">
      <c r="B21" s="3045" t="s">
        <v>1836</v>
      </c>
      <c r="C21" s="3045"/>
      <c r="D21" s="3046" t="str">
        <f>A1</f>
        <v>c3a.1</v>
      </c>
      <c r="E21" s="3058">
        <f>IF(Residency_Status_in_UK=2,2,1)</f>
        <v>1</v>
      </c>
      <c r="F21" s="3045"/>
      <c r="G21" s="3055"/>
      <c r="H21" s="3046" t="str">
        <f>A2</f>
        <v>c3a.2</v>
      </c>
      <c r="I21" s="3058">
        <f>IF(AND(Resident,Residency_Status_in_UK=2),SBR_band,BR_band)</f>
        <v>33500</v>
      </c>
      <c r="J21" s="3045"/>
      <c r="K21" s="3045"/>
      <c r="L21" s="3046" t="str">
        <f>A3</f>
        <v>c3a.3</v>
      </c>
      <c r="M21" s="3058">
        <f>IF(AND(Resident,Residency_Status_in_UK=2),SHR_band,HR_band)</f>
        <v>116500</v>
      </c>
      <c r="N21" s="3045"/>
      <c r="O21" s="3045"/>
      <c r="P21" s="3045"/>
      <c r="Q21" s="3045"/>
      <c r="R21" s="3045"/>
      <c r="S21" s="3045"/>
    </row>
    <row r="22" spans="2:19" x14ac:dyDescent="0.35">
      <c r="B22" s="3045"/>
      <c r="C22" s="3045"/>
      <c r="D22" s="3045"/>
      <c r="E22" s="3045"/>
      <c r="F22" s="3045"/>
      <c r="G22" s="3045"/>
      <c r="H22" s="3045"/>
      <c r="I22" s="3045"/>
      <c r="J22" s="3045"/>
      <c r="K22" s="3045"/>
      <c r="L22" s="3045"/>
      <c r="M22" s="3045"/>
      <c r="N22" s="3045"/>
      <c r="O22" s="3045"/>
      <c r="P22" s="3045"/>
      <c r="Q22" s="3045"/>
      <c r="R22" s="3045"/>
      <c r="S22" s="3045"/>
    </row>
    <row r="23" spans="2:19" x14ac:dyDescent="0.35">
      <c r="B23" s="3056"/>
      <c r="C23" s="3056"/>
      <c r="D23" s="3057"/>
      <c r="E23" s="3056" t="s">
        <v>2638</v>
      </c>
      <c r="F23" s="3056"/>
      <c r="G23" s="3056"/>
      <c r="H23" s="3056"/>
      <c r="I23" s="3056"/>
      <c r="J23" s="3056"/>
      <c r="K23" s="3056"/>
      <c r="L23" s="3056"/>
      <c r="M23" s="3056"/>
      <c r="N23" s="3056"/>
      <c r="O23" s="3045"/>
      <c r="P23" s="3056"/>
      <c r="Q23" s="3056"/>
      <c r="R23" s="3056"/>
      <c r="S23" s="3056"/>
    </row>
    <row r="26" spans="2:19" x14ac:dyDescent="0.35">
      <c r="D26" s="3043"/>
      <c r="E26" s="3044" t="str">
        <f>"if "&amp;D21&amp;" = 2"</f>
        <v>if c3a.1 = 2</v>
      </c>
      <c r="H26" s="3043"/>
      <c r="I26" s="3044" t="str">
        <f>"if "&amp;D21&amp;" = 2"</f>
        <v>if c3a.1 = 2</v>
      </c>
      <c r="L26" s="3043"/>
      <c r="M26" s="3044" t="str">
        <f>"if "&amp;D21&amp;" = 2"</f>
        <v>if c3a.1 = 2</v>
      </c>
    </row>
    <row r="27" spans="2:19" x14ac:dyDescent="0.35">
      <c r="D27" s="3043"/>
      <c r="E27" s="3044" t="str">
        <f>D31&amp;" = SBR_rate "&amp;SBR_rate*100&amp;"%"</f>
        <v>c3a.4 = SBR_rate 20%</v>
      </c>
      <c r="H27" s="3043"/>
      <c r="I27" s="3044" t="str">
        <f>H31&amp;" = SHR_rate "&amp;SHR_rate*100&amp;"%"</f>
        <v>c3a.5 = SHR_rate 40%</v>
      </c>
      <c r="L27" s="3043"/>
      <c r="M27" s="3044" t="str">
        <f>L31&amp;" = SAHR_rate "&amp;SAHR_rate*100&amp;"%"</f>
        <v>c3a.6 = SAHR_rate 45%</v>
      </c>
    </row>
    <row r="28" spans="2:19" x14ac:dyDescent="0.35">
      <c r="D28" s="3043"/>
      <c r="E28" s="3045" t="s">
        <v>2520</v>
      </c>
      <c r="H28" s="3043"/>
      <c r="I28" s="3045" t="s">
        <v>2520</v>
      </c>
      <c r="L28" s="3043"/>
      <c r="M28" s="3045" t="s">
        <v>2520</v>
      </c>
    </row>
    <row r="29" spans="2:19" x14ac:dyDescent="0.35">
      <c r="D29" s="3043"/>
      <c r="E29" s="3044" t="str">
        <f>D31&amp;" = BR_rate "&amp;BR_rate*100&amp;"%"</f>
        <v>c3a.4 = BR_rate 20%</v>
      </c>
      <c r="H29" s="3043"/>
      <c r="I29" s="3044" t="str">
        <f>H31&amp;" = HR_rate "&amp;HR_rate*100&amp;"%"</f>
        <v>c3a.5 = HR_rate 40%</v>
      </c>
      <c r="L29" s="3043"/>
      <c r="M29" s="3044" t="str">
        <f>L31&amp;" = AHR_rate "&amp;AHR_rate*100&amp;"%"</f>
        <v>c3a.6 = AHR_rate 45%</v>
      </c>
    </row>
    <row r="30" spans="2:19" x14ac:dyDescent="0.35">
      <c r="D30" s="3043"/>
      <c r="E30" s="3044" t="s">
        <v>2638</v>
      </c>
      <c r="H30" s="3043"/>
      <c r="I30" s="3044" t="s">
        <v>2638</v>
      </c>
      <c r="L30" s="3043"/>
      <c r="M30" s="3044" t="s">
        <v>2638</v>
      </c>
    </row>
    <row r="31" spans="2:19" x14ac:dyDescent="0.35">
      <c r="B31" s="1462" t="s">
        <v>7538</v>
      </c>
      <c r="C31" s="1462"/>
      <c r="D31" s="3046" t="str">
        <f>A4</f>
        <v>c3a.4</v>
      </c>
      <c r="E31" s="3068">
        <f>IF(AND(Resident,Residency_Status_in_UK=2),SBR_rate,BR_rate)</f>
        <v>0.2</v>
      </c>
      <c r="F31" s="1462"/>
      <c r="G31" s="2682"/>
      <c r="H31" s="3046" t="str">
        <f>A5</f>
        <v>c3a.5</v>
      </c>
      <c r="I31" s="3068">
        <f>IF(AND(Resident,Residency_Status_in_UK=2),SHR_rate,HR_rate)</f>
        <v>0.4</v>
      </c>
      <c r="L31" s="3046" t="str">
        <f>A6</f>
        <v>c3a.6</v>
      </c>
      <c r="M31" s="3068">
        <f>IF(AND(Resident,Residency_Status_in_UK=2),SAHR_rate,AHR_rate)</f>
        <v>0.45</v>
      </c>
      <c r="N31" s="1462"/>
      <c r="O31" s="1462"/>
      <c r="P31" s="1462"/>
      <c r="Q31" s="1462"/>
      <c r="R31" s="1462"/>
      <c r="S31" s="1462"/>
    </row>
    <row r="284" spans="5:5" x14ac:dyDescent="0.35">
      <c r="E284" t="str">
        <f>'Status (c3a)'!H21&amp;" minus ("</f>
        <v>c3a.2 minus (</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S333"/>
  <sheetViews>
    <sheetView showGridLines="0" topLeftCell="B322" workbookViewId="0">
      <selection activeCell="F215" sqref="F215"/>
    </sheetView>
  </sheetViews>
  <sheetFormatPr defaultColWidth="9.1328125" defaultRowHeight="11.65" x14ac:dyDescent="0.35"/>
  <cols>
    <col min="1" max="1" width="6.59765625" style="146" hidden="1" customWidth="1"/>
    <col min="2" max="2" width="43.1328125" style="146" customWidth="1"/>
    <col min="3" max="3" width="16.1328125" style="146" customWidth="1"/>
    <col min="4" max="4" width="6.86328125" style="146" customWidth="1"/>
    <col min="5" max="5" width="19.1328125" style="146" customWidth="1"/>
    <col min="6" max="6" width="12.59765625" style="146" customWidth="1"/>
    <col min="7" max="7" width="10.1328125" style="146" customWidth="1"/>
    <col min="8" max="8" width="6.86328125" style="146" customWidth="1"/>
    <col min="9" max="9" width="19.1328125" style="146" customWidth="1"/>
    <col min="10" max="10" width="12.59765625" style="146" customWidth="1"/>
    <col min="11" max="11" width="10.1328125" style="146" customWidth="1"/>
    <col min="12" max="12" width="6.86328125" style="146" customWidth="1"/>
    <col min="13" max="13" width="19.1328125" style="146" customWidth="1"/>
    <col min="14" max="14" width="12.265625" style="146" customWidth="1"/>
    <col min="15" max="15" width="10.1328125" style="146" customWidth="1"/>
    <col min="16" max="16" width="6.86328125" style="146" customWidth="1"/>
    <col min="17" max="17" width="19.1328125" style="146" customWidth="1"/>
    <col min="18" max="18" width="4" style="146" bestFit="1" customWidth="1"/>
    <col min="19" max="19" width="11.265625" style="146" customWidth="1"/>
    <col min="20" max="16384" width="9.1328125" style="146"/>
  </cols>
  <sheetData>
    <row r="1" spans="1:18" ht="17.649999999999999" x14ac:dyDescent="0.5">
      <c r="A1" s="146" t="s">
        <v>3270</v>
      </c>
      <c r="B1" s="1364" t="s">
        <v>4483</v>
      </c>
      <c r="C1" s="786"/>
    </row>
    <row r="2" spans="1:18" x14ac:dyDescent="0.35">
      <c r="A2" s="146" t="s">
        <v>3998</v>
      </c>
      <c r="B2" s="402"/>
      <c r="D2" s="452" t="s">
        <v>884</v>
      </c>
      <c r="E2" s="472"/>
      <c r="F2" s="472"/>
      <c r="G2" s="472"/>
      <c r="H2" s="134"/>
      <c r="I2" s="472"/>
      <c r="J2" s="445"/>
    </row>
    <row r="3" spans="1:18" x14ac:dyDescent="0.35">
      <c r="A3" s="146" t="s">
        <v>3999</v>
      </c>
      <c r="B3" s="786" t="s">
        <v>4484</v>
      </c>
      <c r="C3" s="786"/>
    </row>
    <row r="4" spans="1:18" x14ac:dyDescent="0.35">
      <c r="A4" s="146" t="s">
        <v>4000</v>
      </c>
      <c r="D4" s="1138" t="s">
        <v>4555</v>
      </c>
      <c r="E4" s="1138"/>
      <c r="F4" s="1138"/>
      <c r="G4" s="1138"/>
      <c r="H4" s="1138" t="s">
        <v>4556</v>
      </c>
      <c r="I4" s="1138"/>
      <c r="J4" s="1138"/>
      <c r="K4" s="1138"/>
      <c r="L4" s="1138" t="s">
        <v>4559</v>
      </c>
      <c r="M4" s="1138"/>
      <c r="P4" s="1138" t="s">
        <v>4554</v>
      </c>
      <c r="Q4" s="1138"/>
      <c r="R4" s="1138"/>
    </row>
    <row r="5" spans="1:18" s="1138" customFormat="1" x14ac:dyDescent="0.35">
      <c r="A5" s="146" t="s">
        <v>2954</v>
      </c>
      <c r="B5" s="1428" t="s">
        <v>4550</v>
      </c>
      <c r="L5" s="1138" t="s">
        <v>4560</v>
      </c>
    </row>
    <row r="6" spans="1:18" x14ac:dyDescent="0.35">
      <c r="A6" s="146" t="s">
        <v>3326</v>
      </c>
      <c r="B6" s="1452" t="s">
        <v>1005</v>
      </c>
      <c r="E6" s="1184" t="str">
        <f>"from "&amp;CGT&amp;CGT!C37</f>
        <v>from CGT41</v>
      </c>
    </row>
    <row r="7" spans="1:18" x14ac:dyDescent="0.35">
      <c r="A7" s="146" t="s">
        <v>3327</v>
      </c>
      <c r="B7" s="759" t="s">
        <v>4461</v>
      </c>
      <c r="D7" s="790" t="str">
        <f>A1</f>
        <v>c4.1</v>
      </c>
      <c r="E7" s="1194">
        <f>TRUNC(ABS(CGT!D38)+0.99,0)</f>
        <v>0</v>
      </c>
      <c r="F7" s="1079" t="s">
        <v>3966</v>
      </c>
    </row>
    <row r="8" spans="1:18" x14ac:dyDescent="0.35">
      <c r="A8" s="146" t="s">
        <v>3328</v>
      </c>
      <c r="Q8" s="1184" t="str">
        <f>"from "&amp;CGT&amp;CGT!C40</f>
        <v>from CGT42</v>
      </c>
    </row>
    <row r="9" spans="1:18" x14ac:dyDescent="0.35">
      <c r="A9" s="146" t="s">
        <v>3329</v>
      </c>
      <c r="B9" s="759" t="s">
        <v>4552</v>
      </c>
      <c r="P9" s="790" t="str">
        <f>A2</f>
        <v>c4.2</v>
      </c>
      <c r="Q9" s="1194">
        <f>TRUNC(ABS(CGT!D41)+0.99,0)</f>
        <v>0</v>
      </c>
      <c r="R9" s="1079" t="s">
        <v>3966</v>
      </c>
    </row>
    <row r="10" spans="1:18" x14ac:dyDescent="0.35">
      <c r="A10" s="146" t="s">
        <v>4162</v>
      </c>
      <c r="B10" s="759" t="s">
        <v>4551</v>
      </c>
    </row>
    <row r="11" spans="1:18" x14ac:dyDescent="0.35">
      <c r="A11" s="146" t="s">
        <v>4163</v>
      </c>
    </row>
    <row r="12" spans="1:18" x14ac:dyDescent="0.35">
      <c r="A12" s="146" t="s">
        <v>4164</v>
      </c>
      <c r="M12" s="109" t="str">
        <f>D7&amp;" minus "&amp;P9</f>
        <v>c4.1 minus c4.2</v>
      </c>
    </row>
    <row r="13" spans="1:18" x14ac:dyDescent="0.35">
      <c r="A13" s="146" t="s">
        <v>4165</v>
      </c>
      <c r="L13" s="790" t="str">
        <f>A3</f>
        <v>c4.3</v>
      </c>
      <c r="M13" s="1194">
        <f>MAX(0,E7-Q9)</f>
        <v>0</v>
      </c>
    </row>
    <row r="14" spans="1:18" x14ac:dyDescent="0.35">
      <c r="A14" s="146" t="s">
        <v>4166</v>
      </c>
      <c r="Q14" s="44" t="s">
        <v>4334</v>
      </c>
    </row>
    <row r="15" spans="1:18" x14ac:dyDescent="0.35">
      <c r="A15" s="146" t="s">
        <v>4167</v>
      </c>
      <c r="Q15" s="771" t="str">
        <f>P19&amp;" = 0 (zero)"</f>
        <v>c4.4 = 0 (zero)</v>
      </c>
    </row>
    <row r="16" spans="1:18" x14ac:dyDescent="0.35">
      <c r="A16" s="146" t="s">
        <v>4168</v>
      </c>
      <c r="Q16" s="109" t="s">
        <v>2520</v>
      </c>
    </row>
    <row r="17" spans="1:18" x14ac:dyDescent="0.35">
      <c r="A17" s="146" t="s">
        <v>4169</v>
      </c>
      <c r="Q17" s="109" t="str">
        <f>P19&amp;" = "&amp;AOR&amp;AOR!G8</f>
        <v>c4.4 = AOR8</v>
      </c>
    </row>
    <row r="18" spans="1:18" x14ac:dyDescent="0.35">
      <c r="A18" s="146" t="s">
        <v>4170</v>
      </c>
      <c r="B18" s="1428" t="s">
        <v>4557</v>
      </c>
      <c r="Q18" s="109" t="s">
        <v>2638</v>
      </c>
    </row>
    <row r="19" spans="1:18" x14ac:dyDescent="0.35">
      <c r="A19" s="146" t="s">
        <v>4171</v>
      </c>
      <c r="B19" s="791" t="s">
        <v>980</v>
      </c>
      <c r="P19" s="790" t="str">
        <f>A4</f>
        <v>c4.4</v>
      </c>
      <c r="Q19" s="131">
        <f>IF(non_resident,0,TRUNC(AOR!H9+0.99,0))</f>
        <v>0</v>
      </c>
      <c r="R19" s="1156" t="s">
        <v>3966</v>
      </c>
    </row>
    <row r="20" spans="1:18" x14ac:dyDescent="0.35">
      <c r="A20" s="146" t="s">
        <v>4172</v>
      </c>
      <c r="B20" s="1196"/>
      <c r="C20" s="1196"/>
      <c r="D20" s="1196"/>
      <c r="E20" s="1196"/>
      <c r="F20" s="1196"/>
      <c r="G20" s="1196"/>
      <c r="H20" s="1196"/>
      <c r="I20" s="1196"/>
      <c r="J20" s="1196"/>
      <c r="K20" s="1196"/>
      <c r="L20" s="1196"/>
      <c r="M20" s="1196"/>
      <c r="N20" s="1196"/>
      <c r="O20" s="1196"/>
      <c r="P20" s="1196"/>
      <c r="Q20" s="1196"/>
      <c r="R20" s="1196"/>
    </row>
    <row r="21" spans="1:18" x14ac:dyDescent="0.35">
      <c r="A21" s="146" t="s">
        <v>4173</v>
      </c>
      <c r="B21" s="1453" t="s">
        <v>4553</v>
      </c>
      <c r="C21" s="1197"/>
      <c r="D21" s="1197"/>
      <c r="E21" s="1197"/>
      <c r="F21" s="1197"/>
      <c r="G21" s="1197"/>
      <c r="H21" s="1197"/>
      <c r="I21" s="1197"/>
      <c r="J21" s="1197"/>
      <c r="K21" s="1197"/>
      <c r="L21" s="1197"/>
      <c r="M21" s="1197"/>
      <c r="N21" s="1197"/>
      <c r="O21" s="1197"/>
      <c r="P21" s="1197"/>
      <c r="Q21" s="1197"/>
      <c r="R21" s="1197"/>
    </row>
    <row r="22" spans="1:18" x14ac:dyDescent="0.35">
      <c r="A22" s="146" t="s">
        <v>4174</v>
      </c>
      <c r="B22" s="1454" t="s">
        <v>4558</v>
      </c>
      <c r="Q22" s="109" t="str">
        <f>"from "&amp;'NS income (c1)'!E32</f>
        <v>from c1.11</v>
      </c>
    </row>
    <row r="23" spans="1:18" x14ac:dyDescent="0.35">
      <c r="A23" s="146" t="s">
        <v>4175</v>
      </c>
      <c r="B23" s="784" t="s">
        <v>4498</v>
      </c>
      <c r="O23" s="1184" t="str">
        <f>"Total all instances ("&amp;SSE&amp;SE!C5&amp;")"</f>
        <v>Total all instances (SSE29)</v>
      </c>
      <c r="P23" s="790" t="str">
        <f>A5</f>
        <v>c4.5</v>
      </c>
      <c r="Q23" s="1194">
        <f>'NS income (c1)'!F32</f>
        <v>0</v>
      </c>
    </row>
    <row r="24" spans="1:18" x14ac:dyDescent="0.35">
      <c r="A24" s="146" t="s">
        <v>2498</v>
      </c>
      <c r="B24" s="784" t="s">
        <v>4499</v>
      </c>
    </row>
    <row r="25" spans="1:18" x14ac:dyDescent="0.35">
      <c r="A25" s="146" t="s">
        <v>2499</v>
      </c>
      <c r="M25" s="1184" t="str">
        <f>"Total all instances ("&amp;SSE&amp;SE!C11&amp;")"</f>
        <v>Total all instances (SSE33)</v>
      </c>
    </row>
    <row r="26" spans="1:18" x14ac:dyDescent="0.35">
      <c r="A26" s="146" t="s">
        <v>3743</v>
      </c>
      <c r="B26" s="784" t="s">
        <v>4460</v>
      </c>
      <c r="C26" s="784"/>
      <c r="L26" s="790" t="str">
        <f>A6</f>
        <v>c4.6</v>
      </c>
      <c r="M26" s="1194">
        <f>TRUNC(ABS(SE!D12)+0.99,0)</f>
        <v>0</v>
      </c>
      <c r="N26" s="1076" t="s">
        <v>4806</v>
      </c>
    </row>
    <row r="27" spans="1:18" x14ac:dyDescent="0.35">
      <c r="A27" s="146" t="s">
        <v>3744</v>
      </c>
    </row>
    <row r="28" spans="1:18" x14ac:dyDescent="0.35">
      <c r="A28" s="146" t="s">
        <v>3745</v>
      </c>
      <c r="B28" s="784" t="s">
        <v>4498</v>
      </c>
      <c r="Q28" s="109" t="str">
        <f>"from "&amp;'NS income (c1)'!E38</f>
        <v>from c1.14</v>
      </c>
    </row>
    <row r="29" spans="1:18" x14ac:dyDescent="0.35">
      <c r="A29" s="146" t="s">
        <v>3470</v>
      </c>
      <c r="B29" s="784" t="s">
        <v>4499</v>
      </c>
      <c r="O29" s="1184" t="str">
        <f>"Total all instances ("&amp;FSE&amp;SE!G11&amp;")"</f>
        <v>Total all instances (FSE74)</v>
      </c>
      <c r="P29" s="790" t="str">
        <f>A7</f>
        <v>c4.7</v>
      </c>
      <c r="Q29" s="1194">
        <f>'NS income (c1)'!F38</f>
        <v>0</v>
      </c>
    </row>
    <row r="30" spans="1:18" x14ac:dyDescent="0.35">
      <c r="A30" s="146" t="s">
        <v>3471</v>
      </c>
    </row>
    <row r="31" spans="1:18" x14ac:dyDescent="0.35">
      <c r="A31" s="146" t="s">
        <v>3472</v>
      </c>
      <c r="E31" s="1184" t="str">
        <f>"Total all instances ("&amp;FSE&amp;SE!G17&amp;")"</f>
        <v>Total all instances (FSE78)</v>
      </c>
    </row>
    <row r="32" spans="1:18" x14ac:dyDescent="0.35">
      <c r="A32" s="146" t="s">
        <v>3473</v>
      </c>
      <c r="B32" s="784" t="s">
        <v>4460</v>
      </c>
      <c r="D32" s="790" t="str">
        <f>A8</f>
        <v>c4.8</v>
      </c>
      <c r="E32" s="1194">
        <f>TRUNC(ABS(SE!H18)+0.99,0)</f>
        <v>0</v>
      </c>
      <c r="F32" s="1162" t="s">
        <v>4807</v>
      </c>
    </row>
    <row r="33" spans="1:17" x14ac:dyDescent="0.35">
      <c r="A33" s="146" t="s">
        <v>3474</v>
      </c>
    </row>
    <row r="34" spans="1:17" x14ac:dyDescent="0.35">
      <c r="A34" s="146" t="s">
        <v>4485</v>
      </c>
      <c r="H34" s="2873"/>
      <c r="I34" s="3414" t="str">
        <f>"Total all instances ("&amp;FSE&amp;SE!G5&amp;")"</f>
        <v>Total all instances (FSE54)</v>
      </c>
      <c r="J34" s="2873"/>
      <c r="K34" s="2873"/>
    </row>
    <row r="35" spans="1:17" x14ac:dyDescent="0.35">
      <c r="A35" s="146" t="s">
        <v>4486</v>
      </c>
      <c r="B35" s="3418" t="s">
        <v>3965</v>
      </c>
      <c r="H35" s="3415" t="str">
        <f>A9</f>
        <v>c4.9</v>
      </c>
      <c r="I35" s="3416"/>
      <c r="J35" s="3417" t="s">
        <v>4807</v>
      </c>
      <c r="K35" s="2873"/>
    </row>
    <row r="36" spans="1:17" x14ac:dyDescent="0.35">
      <c r="A36" s="146" t="s">
        <v>4487</v>
      </c>
    </row>
    <row r="37" spans="1:17" x14ac:dyDescent="0.35">
      <c r="A37" s="146" t="s">
        <v>4488</v>
      </c>
      <c r="I37" s="1184" t="str">
        <f>"Total all instances ("&amp;FSE&amp;SE!G8&amp;")"</f>
        <v>Total all instances (FSE69)</v>
      </c>
    </row>
    <row r="38" spans="1:17" x14ac:dyDescent="0.35">
      <c r="A38" s="146" t="s">
        <v>4489</v>
      </c>
      <c r="B38" s="784" t="s">
        <v>3585</v>
      </c>
      <c r="H38" s="790" t="str">
        <f>A10</f>
        <v>c4.10</v>
      </c>
      <c r="I38" s="1194">
        <f>TRUNC(SE!H9+0.99,0)</f>
        <v>0</v>
      </c>
      <c r="J38" s="1162" t="s">
        <v>4807</v>
      </c>
    </row>
    <row r="39" spans="1:17" x14ac:dyDescent="0.35">
      <c r="A39" s="146" t="s">
        <v>4490</v>
      </c>
    </row>
    <row r="40" spans="1:17" x14ac:dyDescent="0.35">
      <c r="A40" s="146" t="s">
        <v>4491</v>
      </c>
      <c r="M40" s="1463" t="str">
        <f>D32&amp;" minus "&amp;H38</f>
        <v>c4.8 minus c4.10</v>
      </c>
      <c r="Q40" s="1463" t="str">
        <f>"smaller of "&amp;D32&amp;" and "&amp;H38</f>
        <v>smaller of c4.8 and c4.10</v>
      </c>
    </row>
    <row r="41" spans="1:17" x14ac:dyDescent="0.35">
      <c r="A41" s="146" t="s">
        <v>4492</v>
      </c>
      <c r="B41" s="784" t="str">
        <f>"Capped &amp; uncapped Relief element of "&amp;D32</f>
        <v>Capped &amp; uncapped Relief element of c4.8</v>
      </c>
      <c r="L41" s="790" t="str">
        <f>A11</f>
        <v>c4.11</v>
      </c>
      <c r="M41" s="1194">
        <f>MAX(0,E32-I38)</f>
        <v>0</v>
      </c>
      <c r="P41" s="790" t="str">
        <f>A12</f>
        <v>c4.12</v>
      </c>
      <c r="Q41" s="1194">
        <f>MIN(E32,I38)</f>
        <v>0</v>
      </c>
    </row>
    <row r="42" spans="1:17" x14ac:dyDescent="0.35">
      <c r="A42" s="146" t="s">
        <v>4493</v>
      </c>
    </row>
    <row r="43" spans="1:17" x14ac:dyDescent="0.35">
      <c r="A43" s="146" t="s">
        <v>4494</v>
      </c>
      <c r="B43" s="1454" t="s">
        <v>4186</v>
      </c>
    </row>
    <row r="44" spans="1:17" x14ac:dyDescent="0.35">
      <c r="A44" s="146" t="s">
        <v>4495</v>
      </c>
      <c r="B44" s="784" t="s">
        <v>4498</v>
      </c>
      <c r="Q44" s="109" t="str">
        <f>"from "&amp;'NS income (c1)'!E55</f>
        <v>from c1.21</v>
      </c>
    </row>
    <row r="45" spans="1:17" x14ac:dyDescent="0.35">
      <c r="A45" s="146" t="s">
        <v>4496</v>
      </c>
      <c r="B45" s="784" t="s">
        <v>4499</v>
      </c>
      <c r="O45" s="1184" t="str">
        <f>"Total all instances ("&amp;SPS&amp;PS!C10&amp;")"</f>
        <v>Total all instances (SPS17)</v>
      </c>
      <c r="P45" s="790" t="str">
        <f>A13</f>
        <v>c4.13</v>
      </c>
      <c r="Q45" s="1194">
        <f>'NS income (c1)'!F55</f>
        <v>0</v>
      </c>
    </row>
    <row r="46" spans="1:17" x14ac:dyDescent="0.35">
      <c r="A46" s="146" t="s">
        <v>4516</v>
      </c>
    </row>
    <row r="47" spans="1:17" x14ac:dyDescent="0.35">
      <c r="A47" s="146" t="s">
        <v>4517</v>
      </c>
      <c r="E47" s="1184" t="str">
        <f>"Total all instances ("&amp;SPS&amp;PS!C16&amp;")"</f>
        <v>Total all instances (SPS22)</v>
      </c>
    </row>
    <row r="48" spans="1:17" x14ac:dyDescent="0.35">
      <c r="A48" s="146" t="s">
        <v>4518</v>
      </c>
      <c r="B48" s="784" t="s">
        <v>4460</v>
      </c>
      <c r="D48" s="790" t="str">
        <f>A14</f>
        <v>c4.14</v>
      </c>
      <c r="E48" s="1194">
        <f>TRUNC(ABS(PS!D17)+0.99,0)</f>
        <v>0</v>
      </c>
      <c r="F48" s="1076" t="s">
        <v>4808</v>
      </c>
    </row>
    <row r="49" spans="1:17" x14ac:dyDescent="0.35">
      <c r="A49" s="146" t="s">
        <v>4519</v>
      </c>
    </row>
    <row r="50" spans="1:17" x14ac:dyDescent="0.35">
      <c r="A50" s="146" t="s">
        <v>4520</v>
      </c>
      <c r="H50" s="2873"/>
      <c r="I50" s="3414" t="str">
        <f>"Total all instances ("&amp;SPS&amp;PS!C7&amp;")"</f>
        <v>Total all instances (SPS15)</v>
      </c>
      <c r="J50" s="2873"/>
      <c r="K50" s="2873"/>
    </row>
    <row r="51" spans="1:17" x14ac:dyDescent="0.35">
      <c r="A51" s="146" t="s">
        <v>4521</v>
      </c>
      <c r="B51" s="3418" t="s">
        <v>3965</v>
      </c>
      <c r="H51" s="3415" t="str">
        <f>A15</f>
        <v>c4.15</v>
      </c>
      <c r="I51" s="3416"/>
      <c r="J51" s="3417" t="s">
        <v>4808</v>
      </c>
      <c r="K51" s="2873"/>
    </row>
    <row r="52" spans="1:17" x14ac:dyDescent="0.35">
      <c r="A52" s="146" t="s">
        <v>4522</v>
      </c>
    </row>
    <row r="53" spans="1:17" x14ac:dyDescent="0.35">
      <c r="A53" s="146" t="s">
        <v>4523</v>
      </c>
      <c r="I53" s="1184" t="str">
        <f>"Total all instances ("&amp;SPS&amp;PS!C4&amp;")"</f>
        <v>Total all instances (SPS13)</v>
      </c>
    </row>
    <row r="54" spans="1:17" x14ac:dyDescent="0.35">
      <c r="A54" s="146" t="s">
        <v>4524</v>
      </c>
      <c r="B54" s="784" t="s">
        <v>3585</v>
      </c>
      <c r="H54" s="790" t="str">
        <f>A16</f>
        <v>c4.16</v>
      </c>
      <c r="I54" s="1194">
        <f>TRUNC(PS!D5+0.99,0)</f>
        <v>0</v>
      </c>
      <c r="J54" s="1076" t="s">
        <v>4808</v>
      </c>
    </row>
    <row r="55" spans="1:17" x14ac:dyDescent="0.35">
      <c r="A55" s="146" t="s">
        <v>4525</v>
      </c>
    </row>
    <row r="56" spans="1:17" x14ac:dyDescent="0.35">
      <c r="A56" s="146" t="s">
        <v>4526</v>
      </c>
      <c r="M56" s="1463" t="str">
        <f>D48&amp;" minus "&amp;H54</f>
        <v>c4.14 minus c4.16</v>
      </c>
      <c r="Q56" s="1463" t="str">
        <f>"smaller of "&amp;D48&amp;" and "&amp;H54</f>
        <v>smaller of c4.14 and c4.16</v>
      </c>
    </row>
    <row r="57" spans="1:17" x14ac:dyDescent="0.35">
      <c r="A57" s="146" t="s">
        <v>4527</v>
      </c>
      <c r="B57" s="784" t="str">
        <f>"Capped &amp; uncapped Relief element of "&amp;D48</f>
        <v>Capped &amp; uncapped Relief element of c4.14</v>
      </c>
      <c r="L57" s="790" t="str">
        <f>A17</f>
        <v>c4.17</v>
      </c>
      <c r="M57" s="1194">
        <f>MAX(0,E48-I54)</f>
        <v>0</v>
      </c>
      <c r="N57" s="1080"/>
      <c r="P57" s="790" t="str">
        <f>A18</f>
        <v>c4.18</v>
      </c>
      <c r="Q57" s="1194">
        <f>MIN(E48,I54)</f>
        <v>0</v>
      </c>
    </row>
    <row r="58" spans="1:17" x14ac:dyDescent="0.35">
      <c r="A58" s="146" t="s">
        <v>4528</v>
      </c>
    </row>
    <row r="59" spans="1:17" x14ac:dyDescent="0.35">
      <c r="A59" s="146" t="s">
        <v>4535</v>
      </c>
      <c r="B59" s="784" t="s">
        <v>4498</v>
      </c>
      <c r="Q59" s="109" t="str">
        <f>"from "&amp;'NS income (c1)'!E61</f>
        <v>from c1.24</v>
      </c>
    </row>
    <row r="60" spans="1:17" x14ac:dyDescent="0.35">
      <c r="A60" s="146" t="s">
        <v>4536</v>
      </c>
      <c r="B60" s="784" t="s">
        <v>4499</v>
      </c>
      <c r="O60" s="1184" t="str">
        <f>"Total all instances ("&amp;FPS&amp;PS!J4&amp;" + "&amp;FPS&amp;PS!G19&amp;" + "&amp;FPS&amp;PS!G25&amp;" + "&amp;FPS&amp;PS!G28&amp;")"</f>
        <v>Total all instances (FPS17 + FPS38 + FPS47 + FPS58)</v>
      </c>
      <c r="P60" s="790" t="str">
        <f>A19</f>
        <v>c4.19</v>
      </c>
      <c r="Q60" s="1194">
        <f>'NS income (c1)'!F61</f>
        <v>0</v>
      </c>
    </row>
    <row r="61" spans="1:17" x14ac:dyDescent="0.35">
      <c r="A61" s="146" t="s">
        <v>4537</v>
      </c>
    </row>
    <row r="62" spans="1:17" x14ac:dyDescent="0.35">
      <c r="A62" s="146" t="s">
        <v>4538</v>
      </c>
      <c r="E62" s="1184" t="str">
        <f>"Total all instances ("&amp;FPS&amp;PS!G10&amp;" + "&amp;FPS&amp;PS!J19&amp;")"</f>
        <v>Total all instances (FPS22 + FPS39)</v>
      </c>
    </row>
    <row r="63" spans="1:17" x14ac:dyDescent="0.35">
      <c r="A63" s="146" t="s">
        <v>4539</v>
      </c>
      <c r="B63" s="784" t="s">
        <v>4460</v>
      </c>
      <c r="D63" s="790" t="str">
        <f>A20</f>
        <v>c4.20</v>
      </c>
      <c r="E63" s="1194">
        <f>TRUNC(ABS(PS!H11)+0.99,0)+TRUNC(ABS(PS!K20)+0.99,0)</f>
        <v>0</v>
      </c>
      <c r="F63" s="1076" t="s">
        <v>4809</v>
      </c>
    </row>
    <row r="64" spans="1:17" x14ac:dyDescent="0.35">
      <c r="A64" s="146" t="s">
        <v>7343</v>
      </c>
    </row>
    <row r="65" spans="1:19" x14ac:dyDescent="0.35">
      <c r="A65" s="146" t="s">
        <v>7344</v>
      </c>
      <c r="H65" s="2873"/>
      <c r="I65" s="3414" t="str">
        <f>"Total all instances ("&amp;FPS&amp;PS!G7&amp;")"</f>
        <v>Total all instances (FPS15)</v>
      </c>
      <c r="J65" s="2873"/>
      <c r="K65" s="2873"/>
    </row>
    <row r="66" spans="1:19" x14ac:dyDescent="0.35">
      <c r="A66" s="146" t="s">
        <v>7345</v>
      </c>
      <c r="B66" s="3418" t="s">
        <v>3965</v>
      </c>
      <c r="H66" s="3415" t="str">
        <f>A21</f>
        <v>c4.21</v>
      </c>
      <c r="I66" s="3416"/>
      <c r="J66" s="3417" t="s">
        <v>4809</v>
      </c>
      <c r="K66" s="2873"/>
    </row>
    <row r="67" spans="1:19" x14ac:dyDescent="0.35">
      <c r="A67" s="146" t="s">
        <v>4540</v>
      </c>
    </row>
    <row r="68" spans="1:19" x14ac:dyDescent="0.35">
      <c r="A68" s="146" t="s">
        <v>4541</v>
      </c>
      <c r="I68" s="1184" t="str">
        <f>"Total all instances ("&amp;FPS&amp;PS!G4&amp;")"</f>
        <v>Total all instances (FPS13)</v>
      </c>
    </row>
    <row r="69" spans="1:19" x14ac:dyDescent="0.35">
      <c r="A69" s="146" t="s">
        <v>4542</v>
      </c>
      <c r="B69" s="784" t="s">
        <v>3585</v>
      </c>
      <c r="H69" s="790" t="str">
        <f>A22</f>
        <v>c4.22</v>
      </c>
      <c r="I69" s="1194">
        <f>TRUNC(PS!H5+0.99,0)</f>
        <v>0</v>
      </c>
      <c r="J69" s="1076" t="s">
        <v>4809</v>
      </c>
    </row>
    <row r="70" spans="1:19" x14ac:dyDescent="0.35">
      <c r="A70" s="146" t="s">
        <v>4577</v>
      </c>
    </row>
    <row r="71" spans="1:19" x14ac:dyDescent="0.35">
      <c r="A71" s="146" t="s">
        <v>4578</v>
      </c>
      <c r="M71" s="1463" t="str">
        <f>D63&amp;" minus "&amp;H69</f>
        <v>c4.20 minus c4.22</v>
      </c>
      <c r="Q71" s="1463" t="str">
        <f>"smaller of "&amp;D63&amp;" and "&amp;H69</f>
        <v>smaller of c4.20 and c4.22</v>
      </c>
    </row>
    <row r="72" spans="1:19" x14ac:dyDescent="0.35">
      <c r="A72" s="146" t="s">
        <v>4579</v>
      </c>
      <c r="B72" s="784" t="str">
        <f>"Capped Relief element of "&amp;D63</f>
        <v>Capped Relief element of c4.20</v>
      </c>
      <c r="L72" s="790" t="str">
        <f>A23</f>
        <v>c4.23</v>
      </c>
      <c r="M72" s="1194">
        <f>MAX(0,E63-I69)</f>
        <v>0</v>
      </c>
      <c r="P72" s="790" t="str">
        <f>A24</f>
        <v>c4.24</v>
      </c>
      <c r="Q72" s="1194">
        <f>MIN(E63,I69)</f>
        <v>0</v>
      </c>
    </row>
    <row r="73" spans="1:19" x14ac:dyDescent="0.35">
      <c r="A73" s="146" t="s">
        <v>4580</v>
      </c>
      <c r="Q73" s="109" t="str">
        <f>P23&amp;" + "&amp;P29&amp;" + "&amp;P41&amp;" + "</f>
        <v xml:space="preserve">c4.5 + c4.7 + c4.12 + </v>
      </c>
    </row>
    <row r="74" spans="1:19" x14ac:dyDescent="0.35">
      <c r="A74" s="146" t="s">
        <v>4587</v>
      </c>
      <c r="M74" s="109" t="str">
        <f>L26&amp;" + "&amp;L41&amp;" + "&amp;L57&amp;" + "&amp;L72</f>
        <v>c4.6 + c4.11 + c4.17 + c4.23</v>
      </c>
      <c r="Q74" s="109" t="str">
        <f>P45&amp;" + "&amp;P57&amp;" + "&amp;P60&amp;" + "&amp;P72</f>
        <v>c4.13 + c4.18 + c4.19 + c4.24</v>
      </c>
    </row>
    <row r="75" spans="1:19" x14ac:dyDescent="0.35">
      <c r="A75" s="146" t="s">
        <v>4686</v>
      </c>
      <c r="B75" s="1428" t="s">
        <v>4574</v>
      </c>
      <c r="L75" s="790" t="str">
        <f>A25</f>
        <v>c4.25</v>
      </c>
      <c r="M75" s="1194">
        <f>M26+M41+M57+M72</f>
        <v>0</v>
      </c>
      <c r="P75" s="790" t="str">
        <f>A26</f>
        <v>c4.26</v>
      </c>
      <c r="Q75" s="1194">
        <f>Q23+Q29+Q41+Q45+Q57+Q60+Q72</f>
        <v>0</v>
      </c>
    </row>
    <row r="76" spans="1:19" x14ac:dyDescent="0.35">
      <c r="A76" s="146" t="s">
        <v>4699</v>
      </c>
      <c r="B76" s="1196"/>
      <c r="C76" s="1196"/>
      <c r="D76" s="1196"/>
      <c r="E76" s="1196"/>
      <c r="F76" s="1196"/>
      <c r="G76" s="1196"/>
      <c r="H76" s="1196"/>
      <c r="I76" s="1196"/>
      <c r="J76" s="1196"/>
      <c r="K76" s="1196"/>
      <c r="L76" s="1196"/>
      <c r="M76" s="1196"/>
      <c r="N76" s="1196"/>
      <c r="O76" s="1196"/>
      <c r="P76" s="1196"/>
      <c r="Q76" s="1196"/>
      <c r="R76" s="1196"/>
    </row>
    <row r="77" spans="1:19" x14ac:dyDescent="0.35">
      <c r="A77" s="146" t="s">
        <v>6305</v>
      </c>
      <c r="B77" s="1453" t="s">
        <v>2775</v>
      </c>
      <c r="C77" s="1197"/>
      <c r="D77" s="1197"/>
      <c r="E77" s="1197"/>
      <c r="F77" s="1197"/>
      <c r="G77" s="1197"/>
      <c r="H77" s="1197"/>
      <c r="I77" s="1197"/>
      <c r="J77" s="1197"/>
      <c r="K77" s="1197"/>
      <c r="L77" s="1197"/>
      <c r="M77" s="1197"/>
      <c r="N77" s="1197"/>
      <c r="R77" s="1197"/>
    </row>
    <row r="78" spans="1:19" x14ac:dyDescent="0.35">
      <c r="A78" s="146" t="s">
        <v>6306</v>
      </c>
      <c r="Q78" s="109" t="str">
        <f>"from "&amp;'NS income (c1)'!E72</f>
        <v>from c1.28</v>
      </c>
      <c r="S78" s="1141"/>
    </row>
    <row r="79" spans="1:19" x14ac:dyDescent="0.35">
      <c r="A79" s="146" t="s">
        <v>7346</v>
      </c>
      <c r="B79" s="784" t="s">
        <v>4500</v>
      </c>
      <c r="M79" s="43"/>
      <c r="N79" s="43"/>
      <c r="O79" s="2567" t="str">
        <f>"Total all instances (lower of "&amp;PRO&amp;PRO!C7&amp;" and "&amp;PRO&amp;PRO!C10&amp;")"</f>
        <v>Total all instances (lower of PRO13 and PRO14)</v>
      </c>
      <c r="P79" s="790" t="str">
        <f>A27</f>
        <v>c4.27</v>
      </c>
      <c r="Q79" s="1194">
        <f>'NS income (c1)'!F72</f>
        <v>0</v>
      </c>
    </row>
    <row r="80" spans="1:19" x14ac:dyDescent="0.35">
      <c r="A80" s="146" t="s">
        <v>7347</v>
      </c>
    </row>
    <row r="81" spans="1:18" x14ac:dyDescent="0.35">
      <c r="A81" s="146" t="s">
        <v>7549</v>
      </c>
      <c r="Q81" s="109" t="str">
        <f>"from "&amp;'NS income (c1)'!E78</f>
        <v>from c1.31</v>
      </c>
    </row>
    <row r="82" spans="1:18" x14ac:dyDescent="0.35">
      <c r="A82" s="146" t="s">
        <v>6307</v>
      </c>
      <c r="B82" s="784" t="s">
        <v>4500</v>
      </c>
      <c r="O82" s="1184" t="str">
        <f>"lower of "&amp;PRO&amp;PRO!G27&amp;" and "&amp;PRO&amp;PRO!G30</f>
        <v>lower of PRO38 and PRO39</v>
      </c>
      <c r="P82" s="790" t="str">
        <f>A28</f>
        <v>c4.28</v>
      </c>
      <c r="Q82" s="1194">
        <f>'NS income (c1)'!F78</f>
        <v>0</v>
      </c>
    </row>
    <row r="83" spans="1:18" x14ac:dyDescent="0.35">
      <c r="A83" s="146" t="s">
        <v>6308</v>
      </c>
    </row>
    <row r="84" spans="1:18" x14ac:dyDescent="0.35">
      <c r="A84" s="146" t="s">
        <v>6309</v>
      </c>
      <c r="D84" s="2873"/>
      <c r="E84" s="3414" t="str">
        <f>"from "&amp;PRO&amp;PRO!G36</f>
        <v>from PRO42</v>
      </c>
      <c r="F84" s="2873"/>
    </row>
    <row r="85" spans="1:18" x14ac:dyDescent="0.35">
      <c r="A85" s="146" t="s">
        <v>6535</v>
      </c>
      <c r="B85" s="3418" t="s">
        <v>4462</v>
      </c>
      <c r="D85" s="3415" t="str">
        <f>A29</f>
        <v>c4.29</v>
      </c>
      <c r="E85" s="3416"/>
      <c r="F85" s="3417" t="s">
        <v>3966</v>
      </c>
    </row>
    <row r="86" spans="1:18" x14ac:dyDescent="0.35">
      <c r="A86" s="146" t="s">
        <v>6536</v>
      </c>
    </row>
    <row r="87" spans="1:18" x14ac:dyDescent="0.35">
      <c r="A87" s="146" t="s">
        <v>6537</v>
      </c>
      <c r="H87" s="2873"/>
      <c r="I87" s="3414" t="str">
        <f>"from PRO"&amp;PRO!G24</f>
        <v>from PRO33</v>
      </c>
      <c r="J87" s="2873"/>
    </row>
    <row r="88" spans="1:18" x14ac:dyDescent="0.35">
      <c r="A88" s="146" t="s">
        <v>6538</v>
      </c>
      <c r="B88" s="3418" t="s">
        <v>3965</v>
      </c>
      <c r="H88" s="3415" t="str">
        <f>A30</f>
        <v>c4.30</v>
      </c>
      <c r="I88" s="3416"/>
      <c r="J88" s="3417" t="s">
        <v>3966</v>
      </c>
    </row>
    <row r="89" spans="1:18" x14ac:dyDescent="0.35">
      <c r="A89" s="146" t="s">
        <v>6539</v>
      </c>
    </row>
    <row r="90" spans="1:18" x14ac:dyDescent="0.35">
      <c r="M90" s="3413" t="str">
        <f>"from "&amp;PRO&amp;PRO!G36</f>
        <v>from PRO42</v>
      </c>
      <c r="P90" s="2873"/>
      <c r="Q90" s="3441" t="str">
        <f>"smaller of "&amp;D85&amp;" and "&amp;H88</f>
        <v>smaller of c4.29 and c4.30</v>
      </c>
    </row>
    <row r="91" spans="1:18" x14ac:dyDescent="0.35">
      <c r="B91" s="1549" t="s">
        <v>4462</v>
      </c>
      <c r="L91" s="790" t="str">
        <f>A31</f>
        <v>c4.31</v>
      </c>
      <c r="M91" s="1194">
        <f>TRUNC(ABS(PRO!H37)+0.99,0)</f>
        <v>0</v>
      </c>
      <c r="N91" s="3514" t="s">
        <v>3966</v>
      </c>
      <c r="P91" s="3415" t="str">
        <f>A32</f>
        <v>c4.32</v>
      </c>
      <c r="Q91" s="3416"/>
    </row>
    <row r="93" spans="1:18" x14ac:dyDescent="0.35">
      <c r="B93" s="1428" t="s">
        <v>1214</v>
      </c>
      <c r="O93" s="109"/>
      <c r="P93" s="109"/>
      <c r="Q93" s="109" t="str">
        <f>'NS income (c1)'!E91&amp;" minus ("&amp;'NS income (c1)'!E97&amp;" + "&amp;'NS income (c1)'!E100&amp;")"</f>
        <v>c1.36 minus (c1.38 + c1.39)</v>
      </c>
    </row>
    <row r="94" spans="1:18" x14ac:dyDescent="0.35">
      <c r="B94" s="784" t="s">
        <v>4502</v>
      </c>
      <c r="O94" s="1184" t="str">
        <f>FOR&amp;FOR!K9&amp;" minus ("&amp;FOR&amp;FOR!K17&amp;" + "&amp;FOR&amp;FOR!O17&amp;")"</f>
        <v>FOR26 minus (FOR31 + FOR32)</v>
      </c>
      <c r="P94" s="790" t="str">
        <f>A33</f>
        <v>c4.33</v>
      </c>
      <c r="Q94" s="1194">
        <f>MAX(0,TRUNC('NS income (c1)'!F91-('NS income (c1)'!F97+'NS income (c1)'!F100)+0.99,0))</f>
        <v>0</v>
      </c>
      <c r="R94" s="1079" t="s">
        <v>3966</v>
      </c>
    </row>
    <row r="96" spans="1:18" x14ac:dyDescent="0.35">
      <c r="M96" s="1184" t="str">
        <f>"from "&amp;FOR&amp;FOR!K17</f>
        <v>from FOR31</v>
      </c>
    </row>
    <row r="97" spans="2:17" x14ac:dyDescent="0.35">
      <c r="B97" s="759" t="s">
        <v>4501</v>
      </c>
      <c r="L97" s="790" t="str">
        <f>A34</f>
        <v>c4.34</v>
      </c>
      <c r="M97" s="1194">
        <f>TRUNC(ABS(FOR!L18)+0.99,0)</f>
        <v>0</v>
      </c>
      <c r="N97" s="1079" t="s">
        <v>3966</v>
      </c>
    </row>
    <row r="99" spans="2:17" x14ac:dyDescent="0.35">
      <c r="B99" s="1428" t="s">
        <v>589</v>
      </c>
    </row>
    <row r="100" spans="2:17" x14ac:dyDescent="0.35">
      <c r="B100" s="784" t="s">
        <v>4503</v>
      </c>
      <c r="Q100" s="109" t="str">
        <f>"from "&amp;'NS income (c1)'!E48</f>
        <v>from c1.18</v>
      </c>
    </row>
    <row r="101" spans="2:17" x14ac:dyDescent="0.35">
      <c r="B101" s="784" t="s">
        <v>4504</v>
      </c>
      <c r="O101" s="1184" t="str">
        <f>"from "&amp;LUN&amp;LUN!K4</f>
        <v>from LUN51</v>
      </c>
      <c r="P101" s="790" t="str">
        <f>A35</f>
        <v>c4.35</v>
      </c>
      <c r="Q101" s="1194">
        <f>'NS income (c1)'!F48</f>
        <v>0</v>
      </c>
    </row>
    <row r="103" spans="2:17" x14ac:dyDescent="0.35">
      <c r="M103" s="1184" t="str">
        <f>"from "&amp;LUN&amp;LUN!K10</f>
        <v>from LUN56</v>
      </c>
    </row>
    <row r="104" spans="2:17" x14ac:dyDescent="0.35">
      <c r="B104" s="759" t="s">
        <v>4463</v>
      </c>
      <c r="L104" s="790" t="str">
        <f>A36</f>
        <v>c4.36</v>
      </c>
      <c r="M104" s="1194">
        <f>TRUNC(ABS(LUN!L11)+0.99,0)</f>
        <v>0</v>
      </c>
      <c r="N104" s="1079" t="s">
        <v>3966</v>
      </c>
    </row>
    <row r="106" spans="2:17" x14ac:dyDescent="0.35">
      <c r="B106" s="1428" t="s">
        <v>4113</v>
      </c>
      <c r="M106" s="1184" t="str">
        <f>"from "&amp;AOR&amp;AOR!C20</f>
        <v>from AOR6</v>
      </c>
    </row>
    <row r="107" spans="2:17" x14ac:dyDescent="0.35">
      <c r="B107" s="759" t="s">
        <v>1988</v>
      </c>
      <c r="L107" s="790" t="str">
        <f>A37</f>
        <v>c4.37</v>
      </c>
      <c r="M107" s="1194">
        <f>TRUNC(ABS(AOR!D21)+0.99,0)</f>
        <v>0</v>
      </c>
      <c r="N107" s="1079" t="s">
        <v>3966</v>
      </c>
    </row>
    <row r="109" spans="2:17" x14ac:dyDescent="0.35">
      <c r="B109" s="1428" t="s">
        <v>4506</v>
      </c>
      <c r="M109" s="1184" t="str">
        <f>"from "&amp;AOR&amp;AOR!C17</f>
        <v>from AOR5</v>
      </c>
    </row>
    <row r="110" spans="2:17" x14ac:dyDescent="0.35">
      <c r="B110" s="759" t="s">
        <v>4505</v>
      </c>
      <c r="L110" s="790" t="str">
        <f>A38</f>
        <v>c4.38</v>
      </c>
      <c r="M110" s="1194">
        <f>TRUNC(AOR!D18+0.99,0)</f>
        <v>0</v>
      </c>
      <c r="N110" s="1079" t="s">
        <v>3966</v>
      </c>
    </row>
    <row r="111" spans="2:17" x14ac:dyDescent="0.35">
      <c r="E111" s="109" t="str">
        <f>D7&amp;" + "&amp;P19&amp;" + "&amp;P23&amp;" + "&amp;L26&amp;" + "&amp;P29&amp;" + "&amp;D32&amp;" + "&amp;P45&amp;" + "&amp;D48&amp;" + "&amp;P60&amp;" + "&amp;D63</f>
        <v>c4.1 + c4.4 + c4.5 + c4.6 + c4.7 + c4.8 + c4.13 + c4.14 + c4.19 + c4.20</v>
      </c>
    </row>
    <row r="112" spans="2:17" x14ac:dyDescent="0.35">
      <c r="C112" s="1462"/>
      <c r="E112" s="109" t="str">
        <f>" + "&amp;P79&amp;" + "&amp;P82&amp;" + "&amp;P94&amp;" + "&amp;L97&amp;" + "&amp;P101&amp;" + "&amp;L104&amp;" + "&amp;L107&amp;" + "&amp;L110</f>
        <v xml:space="preserve"> + c4.27 + c4.28 + c4.33 + c4.34 + c4.35 + c4.36 + c4.37 + c4.38</v>
      </c>
    </row>
    <row r="113" spans="2:17" x14ac:dyDescent="0.35">
      <c r="B113" s="1870" t="s">
        <v>4509</v>
      </c>
      <c r="D113" s="790" t="str">
        <f>A39</f>
        <v>c4.39</v>
      </c>
      <c r="E113" s="1194">
        <f>E7+Q19+Q23+M26+Q29+E32+Q45+E48+Q60+E63+Q79+Q82+Q94+M97+Q101+M104+M107+M110</f>
        <v>0</v>
      </c>
    </row>
    <row r="114" spans="2:17" x14ac:dyDescent="0.35">
      <c r="M114" s="109" t="str">
        <f>L13&amp;" + "&amp;L75&amp;" + "&amp;L91&amp;" + "&amp;L97&amp;" + "</f>
        <v xml:space="preserve">c4.3 + c4.25 + c4.31 + c4.34 + </v>
      </c>
    </row>
    <row r="115" spans="2:17" x14ac:dyDescent="0.35">
      <c r="B115" s="1138" t="s">
        <v>4656</v>
      </c>
      <c r="M115" s="109" t="str">
        <f>L104&amp;" + "&amp;L107&amp;" + "&amp;L110</f>
        <v>c4.36 + c4.37 + c4.38</v>
      </c>
    </row>
    <row r="116" spans="2:17" x14ac:dyDescent="0.35">
      <c r="B116" s="1138" t="s">
        <v>4560</v>
      </c>
      <c r="K116" s="1184" t="s">
        <v>4585</v>
      </c>
      <c r="L116" s="790" t="str">
        <f>A40</f>
        <v>c4.40</v>
      </c>
      <c r="M116" s="1194">
        <f>M13+M75+M91+M97+M104+M107+M110</f>
        <v>0</v>
      </c>
    </row>
    <row r="118" spans="2:17" x14ac:dyDescent="0.35">
      <c r="B118" s="448" t="s">
        <v>4476</v>
      </c>
      <c r="E118" s="44" t="str">
        <f>"from "&amp;'Divs (c3)'!G89</f>
        <v>from c3.26</v>
      </c>
    </row>
    <row r="119" spans="2:17" x14ac:dyDescent="0.35">
      <c r="B119" s="448" t="s">
        <v>4481</v>
      </c>
      <c r="D119" s="790" t="str">
        <f>A41</f>
        <v>c4.41</v>
      </c>
      <c r="E119" s="1194">
        <f>'Divs (c3)'!H89</f>
        <v>0</v>
      </c>
    </row>
    <row r="121" spans="2:17" x14ac:dyDescent="0.35">
      <c r="D121" s="781"/>
      <c r="E121" s="773" t="str">
        <f>D119&amp;" x Dedn_taper ("&amp;Dedn_taper*100&amp;"%)"</f>
        <v>c4.41 x Dedn_taper (25%)</v>
      </c>
      <c r="F121" s="1455"/>
    </row>
    <row r="122" spans="2:17" x14ac:dyDescent="0.35">
      <c r="D122" s="795" t="str">
        <f>A42</f>
        <v>c4.42</v>
      </c>
      <c r="E122" s="844">
        <f>TRUNC((E119*Dedn_taper)+0.99,0)</f>
        <v>0</v>
      </c>
      <c r="F122" s="1076" t="s">
        <v>3966</v>
      </c>
      <c r="G122" s="413"/>
      <c r="H122" s="413"/>
      <c r="I122" s="413"/>
    </row>
    <row r="123" spans="2:17" x14ac:dyDescent="0.35">
      <c r="H123" s="413"/>
      <c r="I123" s="781"/>
      <c r="J123" s="413"/>
      <c r="K123" s="413"/>
      <c r="L123" s="781"/>
      <c r="M123" s="413" t="s">
        <v>2250</v>
      </c>
    </row>
    <row r="124" spans="2:17" x14ac:dyDescent="0.35">
      <c r="B124" s="448" t="s">
        <v>4507</v>
      </c>
      <c r="H124" s="413"/>
      <c r="I124" s="1456" t="s">
        <v>734</v>
      </c>
      <c r="J124" s="413"/>
      <c r="K124" s="413"/>
      <c r="L124" s="781"/>
      <c r="M124" s="773" t="str">
        <f>D122&amp;" and "&amp;H125</f>
        <v>c4.42 and c4.43</v>
      </c>
    </row>
    <row r="125" spans="2:17" x14ac:dyDescent="0.35">
      <c r="B125" s="448" t="s">
        <v>4511</v>
      </c>
      <c r="H125" s="795" t="str">
        <f>A43</f>
        <v>c4.43</v>
      </c>
      <c r="I125" s="1195">
        <f>Dedn_cap</f>
        <v>50000</v>
      </c>
      <c r="J125" s="413"/>
      <c r="K125" s="413"/>
      <c r="L125" s="795" t="str">
        <f>A44</f>
        <v>c4.44</v>
      </c>
      <c r="M125" s="844">
        <f>MAX(I125,E122)</f>
        <v>50000</v>
      </c>
    </row>
    <row r="126" spans="2:17" x14ac:dyDescent="0.35">
      <c r="Q126" s="109" t="str">
        <f>P9&amp;" + "&amp;P19&amp;" + "&amp;P75&amp;" + "&amp;P79&amp;" + "</f>
        <v xml:space="preserve">c4.2 + c4.4 + c4.26 + c4.27 + </v>
      </c>
    </row>
    <row r="127" spans="2:17" x14ac:dyDescent="0.35">
      <c r="M127" s="109" t="str">
        <f>"lower of "&amp;L116&amp;" and "&amp;L125</f>
        <v>lower of c4.40 and c4.44</v>
      </c>
      <c r="Q127" s="3044" t="str">
        <f>P82&amp;" + "&amp;P94&amp;" + "&amp;P101</f>
        <v>c4.28 + c4.33 + c4.35</v>
      </c>
    </row>
    <row r="128" spans="2:17" x14ac:dyDescent="0.35">
      <c r="K128" s="1184" t="s">
        <v>4530</v>
      </c>
      <c r="L128" s="795" t="str">
        <f>A45</f>
        <v>c4.45</v>
      </c>
      <c r="M128" s="844">
        <f>MIN(M116,M125)</f>
        <v>0</v>
      </c>
      <c r="O128" s="1184" t="s">
        <v>4510</v>
      </c>
      <c r="P128" s="790" t="str">
        <f>A46</f>
        <v>c4.46</v>
      </c>
      <c r="Q128" s="1194">
        <f>Q9+Q19+Q75+Q79+Q82+Q94+Q101</f>
        <v>0</v>
      </c>
    </row>
    <row r="130" spans="2:18" x14ac:dyDescent="0.35">
      <c r="E130" s="109" t="str">
        <f>L128&amp;" + "&amp;P128</f>
        <v>c4.45 + c4.46</v>
      </c>
    </row>
    <row r="131" spans="2:18" x14ac:dyDescent="0.35">
      <c r="B131" s="448" t="s">
        <v>4586</v>
      </c>
      <c r="D131" s="790" t="str">
        <f>A47</f>
        <v>c4.47</v>
      </c>
      <c r="E131" s="1194">
        <f>M128+Q128</f>
        <v>0</v>
      </c>
    </row>
    <row r="132" spans="2:18" x14ac:dyDescent="0.35">
      <c r="B132" s="760"/>
      <c r="C132" s="760"/>
      <c r="D132" s="760"/>
      <c r="E132" s="760"/>
      <c r="F132" s="760"/>
      <c r="G132" s="760"/>
      <c r="H132" s="760"/>
      <c r="I132" s="760"/>
      <c r="J132" s="760"/>
      <c r="K132" s="760"/>
      <c r="L132" s="760"/>
      <c r="M132" s="760"/>
      <c r="N132" s="760"/>
      <c r="O132" s="760"/>
      <c r="P132" s="760"/>
      <c r="Q132" s="760"/>
      <c r="R132" s="760"/>
    </row>
    <row r="134" spans="2:18" x14ac:dyDescent="0.35">
      <c r="B134" s="784" t="s">
        <v>4512</v>
      </c>
      <c r="C134" s="43"/>
      <c r="D134" s="43"/>
      <c r="F134" s="43"/>
      <c r="G134" s="1184" t="str">
        <f>REL&amp;'REL(1)'!C9&amp;" + "&amp;REL&amp;'REL(1)'!H6&amp;" + "&amp;REL&amp;'REL(1)'!H9</f>
        <v>REL2 + REL3 + REL4</v>
      </c>
      <c r="H134" s="790" t="str">
        <f>A48</f>
        <v>c4.48</v>
      </c>
      <c r="I134" s="1194">
        <f>TRUNC('REL(1)'!D10+0.99,0)+TRUNC('REL(1)'!I7+0.99,0)+TRUNC('REL(1)'!I10+0.99,0)</f>
        <v>0</v>
      </c>
      <c r="J134" s="1076" t="s">
        <v>3966</v>
      </c>
    </row>
    <row r="136" spans="2:18" x14ac:dyDescent="0.35">
      <c r="H136" s="141"/>
      <c r="I136" s="1184" t="str">
        <f>REL&amp;'REL(1)'!H19&amp;" +"&amp;REL&amp;'REL(1)'!H22</f>
        <v>REL9 +REL10</v>
      </c>
    </row>
    <row r="137" spans="2:18" x14ac:dyDescent="0.35">
      <c r="B137" s="784" t="s">
        <v>1733</v>
      </c>
      <c r="H137" s="790" t="str">
        <f>A49</f>
        <v>c4.49</v>
      </c>
      <c r="I137" s="131">
        <f>TRUNC('REL(1)'!I20+'REL(1)'!I23+0.99,0)</f>
        <v>0</v>
      </c>
      <c r="J137" s="1156" t="s">
        <v>3966</v>
      </c>
    </row>
    <row r="138" spans="2:18" x14ac:dyDescent="0.35">
      <c r="J138" s="109" t="s">
        <v>4588</v>
      </c>
    </row>
    <row r="139" spans="2:18" x14ac:dyDescent="0.35">
      <c r="E139" s="1184" t="str">
        <f>"from "&amp;AOR&amp;AOR!C14</f>
        <v>from AOR4</v>
      </c>
      <c r="I139" s="109" t="str">
        <f>D140&amp;"  x NS_gross ("&amp;savings_gross_F&amp;")"</f>
        <v>c4.50  x NS_gross (100/80)</v>
      </c>
    </row>
    <row r="140" spans="2:18" x14ac:dyDescent="0.35">
      <c r="B140" s="791" t="s">
        <v>4529</v>
      </c>
      <c r="D140" s="790" t="str">
        <f>A50</f>
        <v>c4.50</v>
      </c>
      <c r="E140" s="131">
        <f>TRUNC(AOR!D15+0.99,0)</f>
        <v>0</v>
      </c>
      <c r="F140" s="1156" t="s">
        <v>3966</v>
      </c>
      <c r="H140" s="790" t="str">
        <f>A51</f>
        <v>c4.51</v>
      </c>
      <c r="I140" s="131">
        <f>TRUNC((E140*savings_gross)+0.99,0)</f>
        <v>0</v>
      </c>
      <c r="J140" s="1156" t="s">
        <v>3966</v>
      </c>
    </row>
    <row r="142" spans="2:18" x14ac:dyDescent="0.35">
      <c r="B142" s="791" t="s">
        <v>4533</v>
      </c>
      <c r="E142" s="1184" t="str">
        <f>"from "&amp;TRU&amp;TRU!K28</f>
        <v>from TRU24</v>
      </c>
    </row>
    <row r="143" spans="2:18" x14ac:dyDescent="0.35">
      <c r="B143" s="791" t="s">
        <v>4070</v>
      </c>
      <c r="D143" s="790" t="str">
        <f>A52</f>
        <v>c4.52</v>
      </c>
      <c r="E143" s="131">
        <f>TRUNC(TRU!L29+0.99,0)</f>
        <v>0</v>
      </c>
      <c r="F143" s="1156" t="s">
        <v>3966</v>
      </c>
    </row>
    <row r="145" spans="2:18" x14ac:dyDescent="0.35">
      <c r="E145" s="109" t="str">
        <f>'NS income (c1)'!I119&amp;" + "&amp;'Savings (c2)'!H53&amp;" + "&amp;'Divs (c3)'!G32&amp;" + "&amp;'Divs (c3)'!G62&amp;" + "&amp;'Divs (c3)'!G65</f>
        <v>c1.51 + c2.13 + c3.9 + c3.19 + c3.20</v>
      </c>
      <c r="I145" s="109" t="str">
        <f>"lower of "&amp;D143&amp;" and "&amp;D146</f>
        <v>lower of c4.52 and c4.53</v>
      </c>
    </row>
    <row r="146" spans="2:18" x14ac:dyDescent="0.35">
      <c r="B146" s="791" t="s">
        <v>5633</v>
      </c>
      <c r="D146" s="790" t="str">
        <f>A53</f>
        <v>c4.53</v>
      </c>
      <c r="E146" s="131">
        <f>'NS income (c1)'!J119+'Savings (c2)'!I53+'Divs (c3)'!H32+'Divs (c3)'!H62+'Divs (c3)'!H65</f>
        <v>0</v>
      </c>
      <c r="H146" s="790" t="str">
        <f>A54</f>
        <v>c4.54</v>
      </c>
      <c r="I146" s="131">
        <f>TRUNC(MIN(E143,E146)+0.99,0)</f>
        <v>0</v>
      </c>
      <c r="J146" s="1156" t="s">
        <v>3966</v>
      </c>
    </row>
    <row r="148" spans="2:18" x14ac:dyDescent="0.35">
      <c r="H148" s="781"/>
      <c r="I148" s="773" t="str">
        <f>'Divs (c3)'!G79&amp;" minus ("&amp;D131&amp;" + "&amp;H134&amp;" + "&amp;H137&amp;" + "&amp;H140&amp;" + "&amp;H146&amp;")"</f>
        <v>c3.23 minus (c4.47 + c4.48 + c4.49 + c4.51 + c4.54)</v>
      </c>
    </row>
    <row r="149" spans="2:18" x14ac:dyDescent="0.35">
      <c r="B149" s="448" t="s">
        <v>4513</v>
      </c>
      <c r="H149" s="790" t="str">
        <f>A55</f>
        <v>c4.55</v>
      </c>
      <c r="I149" s="1194">
        <f>MAX(0,'Divs (c3)'!H79-(E131+I134+I137+I140+I146))</f>
        <v>0</v>
      </c>
    </row>
    <row r="150" spans="2:18" x14ac:dyDescent="0.35">
      <c r="B150" s="448" t="s">
        <v>4581</v>
      </c>
    </row>
    <row r="151" spans="2:18" x14ac:dyDescent="0.35">
      <c r="B151" s="760"/>
      <c r="C151" s="760"/>
      <c r="D151" s="760"/>
      <c r="E151" s="760"/>
      <c r="F151" s="760"/>
      <c r="G151" s="760"/>
      <c r="H151" s="760"/>
      <c r="I151" s="760"/>
      <c r="J151" s="760"/>
      <c r="K151" s="760"/>
      <c r="L151" s="760"/>
      <c r="M151" s="760"/>
      <c r="N151" s="760"/>
      <c r="O151" s="760"/>
      <c r="P151" s="760"/>
      <c r="Q151" s="760"/>
      <c r="R151" s="760"/>
    </row>
    <row r="153" spans="2:18" x14ac:dyDescent="0.35">
      <c r="B153" s="60" t="s">
        <v>4532</v>
      </c>
    </row>
    <row r="154" spans="2:18" x14ac:dyDescent="0.35">
      <c r="B154" s="759" t="s">
        <v>549</v>
      </c>
      <c r="C154" s="139"/>
      <c r="D154" s="759"/>
      <c r="E154" s="1184" t="str">
        <f>"("&amp;REL&amp;'REL(1)'!C16&amp;" minus "&amp;REL&amp;'REL(1)'!C22&amp;") + "&amp;REL&amp;'REL(1)'!H16</f>
        <v>(REL5 minus REL7) + REL8</v>
      </c>
      <c r="F154" s="141"/>
      <c r="G154" s="141"/>
      <c r="H154" s="141"/>
      <c r="I154" s="143" t="str">
        <f>D155&amp;" x gift_aid ("&amp;gift_aid_F&amp;")"</f>
        <v>c4.56 x gift_aid (100/80)</v>
      </c>
      <c r="J154" s="141"/>
    </row>
    <row r="155" spans="2:18" x14ac:dyDescent="0.35">
      <c r="D155" s="790" t="str">
        <f>A56</f>
        <v>c4.56</v>
      </c>
      <c r="E155" s="131">
        <f>TRUNC((MAX(0,'REL(1)'!D17-'REL(1)'!D23)+'REL(1)'!I17)+0.99,0)</f>
        <v>0</v>
      </c>
      <c r="F155" s="1156" t="s">
        <v>3966</v>
      </c>
      <c r="H155" s="790" t="str">
        <f>A57</f>
        <v>c4.57</v>
      </c>
      <c r="I155" s="420">
        <f>TRUNC((E155*gift_aid)+0.99,0)</f>
        <v>0</v>
      </c>
      <c r="J155" s="1156" t="s">
        <v>3966</v>
      </c>
      <c r="K155" s="43"/>
    </row>
    <row r="156" spans="2:18" x14ac:dyDescent="0.35">
      <c r="E156" s="1457"/>
      <c r="I156" s="109" t="str">
        <f>"copy to "&amp;'Tax adj (c9)'!C112</f>
        <v>copy to c9.33</v>
      </c>
    </row>
    <row r="158" spans="2:18" x14ac:dyDescent="0.35">
      <c r="H158" s="141"/>
      <c r="I158" s="1184" t="str">
        <f>"from "&amp;REL&amp;'REL(1)'!C6</f>
        <v>from REL1</v>
      </c>
    </row>
    <row r="159" spans="2:18" x14ac:dyDescent="0.35">
      <c r="B159" s="759" t="s">
        <v>4515</v>
      </c>
      <c r="C159" s="139"/>
      <c r="D159" s="141"/>
      <c r="H159" s="790" t="str">
        <f>A58</f>
        <v>c4.58</v>
      </c>
      <c r="I159" s="131">
        <f>TRUNC('REL(1)'!D7+0.99,0)</f>
        <v>0</v>
      </c>
      <c r="J159" s="1156" t="s">
        <v>3966</v>
      </c>
    </row>
    <row r="160" spans="2:18" x14ac:dyDescent="0.35">
      <c r="B160" s="759"/>
      <c r="C160" s="141"/>
      <c r="D160" s="141"/>
      <c r="F160" s="141"/>
      <c r="G160" s="141"/>
      <c r="H160" s="141"/>
      <c r="I160" s="141"/>
      <c r="J160" s="141"/>
    </row>
    <row r="161" spans="2:18" x14ac:dyDescent="0.35">
      <c r="B161" s="759"/>
      <c r="C161" s="43"/>
      <c r="F161" s="43"/>
      <c r="G161" s="43"/>
      <c r="H161" s="43"/>
      <c r="I161" s="44" t="str">
        <f>H155&amp;" + "&amp;H159</f>
        <v>c4.57 + c4.58</v>
      </c>
      <c r="J161" s="43"/>
      <c r="K161" s="43"/>
    </row>
    <row r="162" spans="2:18" x14ac:dyDescent="0.35">
      <c r="B162" s="951" t="s">
        <v>4514</v>
      </c>
      <c r="C162" s="43"/>
      <c r="F162" s="43"/>
      <c r="G162" s="43"/>
      <c r="H162" s="790" t="str">
        <f>A59</f>
        <v>c4.59</v>
      </c>
      <c r="I162" s="131">
        <f>I155+I159</f>
        <v>0</v>
      </c>
      <c r="J162" s="1151"/>
      <c r="K162" s="43"/>
    </row>
    <row r="163" spans="2:18" x14ac:dyDescent="0.35">
      <c r="K163" s="43"/>
    </row>
    <row r="164" spans="2:18" x14ac:dyDescent="0.35">
      <c r="I164" s="109" t="s">
        <v>4934</v>
      </c>
    </row>
    <row r="165" spans="2:18" x14ac:dyDescent="0.35">
      <c r="B165" s="146" t="s">
        <v>4934</v>
      </c>
      <c r="H165" s="790" t="s">
        <v>4536</v>
      </c>
      <c r="I165" s="131"/>
    </row>
    <row r="167" spans="2:18" x14ac:dyDescent="0.35">
      <c r="B167" s="60" t="s">
        <v>4531</v>
      </c>
      <c r="H167" s="141"/>
      <c r="I167" s="1184" t="str">
        <f>"from "&amp;AOR&amp;AOR!G8</f>
        <v>from AOR8</v>
      </c>
    </row>
    <row r="168" spans="2:18" x14ac:dyDescent="0.35">
      <c r="B168" s="791" t="s">
        <v>980</v>
      </c>
      <c r="H168" s="790" t="str">
        <f>A61</f>
        <v>c4.61</v>
      </c>
      <c r="I168" s="131">
        <f>TRUNC(AOR!H9+0.99,0)</f>
        <v>0</v>
      </c>
      <c r="J168" s="1156" t="s">
        <v>3966</v>
      </c>
    </row>
    <row r="170" spans="2:18" x14ac:dyDescent="0.35">
      <c r="B170" s="60" t="s">
        <v>4543</v>
      </c>
      <c r="I170" s="109" t="str">
        <f>H162&amp;"  minus "&amp;H168</f>
        <v>c4.59  minus c4.61</v>
      </c>
    </row>
    <row r="171" spans="2:18" x14ac:dyDescent="0.35">
      <c r="B171" s="791"/>
      <c r="H171" s="790" t="str">
        <f>A62</f>
        <v>c4.62</v>
      </c>
      <c r="I171" s="131">
        <f>I162-I168</f>
        <v>0</v>
      </c>
      <c r="J171" s="1145" t="s">
        <v>1590</v>
      </c>
    </row>
    <row r="172" spans="2:18" x14ac:dyDescent="0.35">
      <c r="B172" s="760"/>
      <c r="C172" s="760"/>
      <c r="D172" s="760"/>
      <c r="E172" s="760"/>
      <c r="F172" s="760"/>
      <c r="G172" s="760"/>
      <c r="H172" s="760"/>
      <c r="I172" s="760"/>
      <c r="J172" s="760"/>
      <c r="K172" s="760"/>
      <c r="L172" s="760"/>
      <c r="M172" s="760"/>
      <c r="N172" s="760"/>
      <c r="O172" s="760"/>
      <c r="P172" s="760"/>
      <c r="Q172" s="760"/>
      <c r="R172" s="760"/>
    </row>
    <row r="174" spans="2:18" x14ac:dyDescent="0.35">
      <c r="B174" s="712" t="s">
        <v>4475</v>
      </c>
      <c r="C174" s="712"/>
    </row>
    <row r="175" spans="2:18" x14ac:dyDescent="0.35">
      <c r="I175" s="109" t="str">
        <f>H149&amp;" minus "&amp;H171</f>
        <v>c4.55 minus c4.62</v>
      </c>
    </row>
    <row r="176" spans="2:18" x14ac:dyDescent="0.35">
      <c r="B176" s="146" t="s">
        <v>4534</v>
      </c>
      <c r="H176" s="790" t="str">
        <f>A63</f>
        <v>c4.63</v>
      </c>
      <c r="I176" s="131">
        <f>MAX(0,I149-I171)</f>
        <v>0</v>
      </c>
    </row>
    <row r="177" spans="2:18" x14ac:dyDescent="0.35">
      <c r="I177" s="109" t="str">
        <f>"Copy to "&amp;'allowances (c14c15)'!K6&amp;", and"</f>
        <v>Copy to c14.1, and</v>
      </c>
    </row>
    <row r="178" spans="2:18" x14ac:dyDescent="0.35">
      <c r="I178" s="109" t="str">
        <f>"Copy to "&amp;'allowances (c14c15)'!H44&amp;", and"</f>
        <v>Copy to c15.2, and</v>
      </c>
    </row>
    <row r="179" spans="2:18" x14ac:dyDescent="0.35">
      <c r="B179" s="760"/>
      <c r="C179" s="760"/>
      <c r="D179" s="760"/>
      <c r="E179" s="760"/>
      <c r="F179" s="760"/>
      <c r="G179" s="760"/>
      <c r="H179" s="760"/>
      <c r="I179" s="1115" t="str">
        <f>"copy to box "&amp;'CBC(c28)'!I8</f>
        <v>copy to box c28.7</v>
      </c>
      <c r="J179" s="760"/>
      <c r="K179" s="760"/>
      <c r="L179" s="760"/>
      <c r="M179" s="760"/>
      <c r="N179" s="760"/>
      <c r="O179" s="760"/>
      <c r="P179" s="760"/>
      <c r="Q179" s="760"/>
      <c r="R179" s="760"/>
    </row>
    <row r="182" spans="2:18" x14ac:dyDescent="0.35">
      <c r="F182" s="1462"/>
      <c r="G182" s="1462"/>
      <c r="H182" s="1462"/>
      <c r="I182" s="1463" t="str">
        <f>P23&amp;" + "&amp;P29&amp;" + "&amp;P45&amp;" + "&amp;P60&amp;" + "</f>
        <v xml:space="preserve">c4.5 + c4.7 + c4.13 + c4.19 + </v>
      </c>
    </row>
    <row r="183" spans="2:18" x14ac:dyDescent="0.35">
      <c r="E183" s="1463" t="str">
        <f>"from "&amp;'NS income (c1)'!I131</f>
        <v>from c1.57</v>
      </c>
      <c r="F183" s="1462"/>
      <c r="G183" s="1462"/>
      <c r="H183" s="1462"/>
      <c r="I183" s="1463" t="str">
        <f>P79&amp;" + "&amp;P82&amp;" + "&amp;P94&amp;" + "&amp;P101</f>
        <v>c4.27 + c4.28 + c4.33 + c4.35</v>
      </c>
      <c r="L183" s="1462"/>
      <c r="M183" s="1463" t="str">
        <f>D184&amp;" minus "&amp;H184</f>
        <v>c4.63a minus c4.63b</v>
      </c>
    </row>
    <row r="184" spans="2:18" x14ac:dyDescent="0.35">
      <c r="B184" s="1462" t="s">
        <v>4697</v>
      </c>
      <c r="D184" s="1662" t="str">
        <f>A64</f>
        <v>c4.63a</v>
      </c>
      <c r="E184" s="844">
        <f>'NS income (c1)'!J131</f>
        <v>0</v>
      </c>
      <c r="H184" s="1662" t="str">
        <f>A65</f>
        <v>c4.63b</v>
      </c>
      <c r="I184" s="844">
        <f>Q23+Q29+Q45+Q60+Q79+Q82+Q94+Q101</f>
        <v>0</v>
      </c>
      <c r="L184" s="1662" t="str">
        <f>A66</f>
        <v>c4.63c</v>
      </c>
      <c r="M184" s="844">
        <f>MAX(0,E184-I184)</f>
        <v>0</v>
      </c>
    </row>
    <row r="185" spans="2:18" x14ac:dyDescent="0.35">
      <c r="M185" s="2855" t="str">
        <f>"copy to box "&amp;'Taxable (c5)'!E17</f>
        <v>copy to box c5.3</v>
      </c>
    </row>
    <row r="186" spans="2:18" x14ac:dyDescent="0.35">
      <c r="B186" s="760"/>
      <c r="C186" s="760"/>
      <c r="D186" s="760"/>
      <c r="E186" s="760"/>
      <c r="F186" s="760"/>
      <c r="G186" s="760"/>
      <c r="H186" s="760"/>
      <c r="I186" s="760"/>
      <c r="J186" s="760"/>
      <c r="K186" s="760"/>
      <c r="L186" s="760"/>
      <c r="M186" s="2853"/>
      <c r="N186" s="760"/>
      <c r="O186" s="760"/>
      <c r="P186" s="760"/>
      <c r="Q186" s="760"/>
      <c r="R186" s="760"/>
    </row>
    <row r="189" spans="2:18" x14ac:dyDescent="0.35">
      <c r="B189" s="712" t="s">
        <v>2834</v>
      </c>
    </row>
    <row r="190" spans="2:18" x14ac:dyDescent="0.35">
      <c r="B190" s="146" t="str">
        <f>"if ("&amp;NRD!P10&amp;" = Y and "&amp;NRD!P11&amp;" = N and "&amp;NRD!P9&amp;" = N)"</f>
        <v>if (box_NRD28 = Y and box_NRD29 = N and box_NRD16 = N)</v>
      </c>
    </row>
    <row r="191" spans="2:18" x14ac:dyDescent="0.35">
      <c r="B191" s="146" t="str">
        <f>"or ("&amp;NRD!P4&amp;" = Y and "&amp;NRD!P8&amp;" = N and "&amp;NRD!P9&amp;" = N)"</f>
        <v>or (box_NRD1 = Y and box_NRD15 = N and box_NRD16 = N)</v>
      </c>
    </row>
    <row r="192" spans="2:18" x14ac:dyDescent="0.35">
      <c r="B192" s="42" t="str">
        <f>"or (Calculation type = non-resident)"</f>
        <v>or (Calculation type = non-resident)</v>
      </c>
    </row>
    <row r="193" spans="2:13" x14ac:dyDescent="0.35">
      <c r="B193" s="986" t="str">
        <f>"set boxes "&amp;H196&amp;" to "&amp;L235&amp;" to 0 (zero)"</f>
        <v>set boxes c4.64 to c4.69 to 0 (zero)</v>
      </c>
    </row>
    <row r="194" spans="2:13" x14ac:dyDescent="0.35">
      <c r="B194" s="1077" t="s">
        <v>2520</v>
      </c>
    </row>
    <row r="195" spans="2:13" x14ac:dyDescent="0.35">
      <c r="C195" s="986"/>
      <c r="I195" s="109" t="str">
        <f>"from "&amp;'allowances (c14c15)'!K26</f>
        <v>from c14.6</v>
      </c>
    </row>
    <row r="196" spans="2:13" x14ac:dyDescent="0.35">
      <c r="B196" s="42" t="s">
        <v>1473</v>
      </c>
      <c r="C196" s="42"/>
      <c r="H196" s="790" t="str">
        <f>A67</f>
        <v>c4.64</v>
      </c>
      <c r="I196" s="844">
        <f>IF(non_resident,0,IF(UK_allowance_claim,'allowances (c14c15)'!L26,0))</f>
        <v>11500</v>
      </c>
      <c r="J196" s="1137"/>
      <c r="L196" s="43"/>
    </row>
    <row r="197" spans="2:13" x14ac:dyDescent="0.35">
      <c r="B197" s="110"/>
      <c r="C197" s="110"/>
      <c r="E197" s="43"/>
      <c r="J197" s="402"/>
    </row>
    <row r="198" spans="2:13" x14ac:dyDescent="0.35">
      <c r="H198" s="110" t="str">
        <f>"if "&amp;REL&amp;'REL(2)'!C4&amp;" = Y"</f>
        <v>if REL13 = Y</v>
      </c>
    </row>
    <row r="199" spans="2:13" x14ac:dyDescent="0.35">
      <c r="H199" s="42" t="str">
        <f>H203&amp;" = BPA ("&amp;DOLLAR(BPA,0)&amp;")"</f>
        <v>c4.65 = BPA (£2,320)</v>
      </c>
      <c r="I199" s="1462"/>
    </row>
    <row r="200" spans="2:13" x14ac:dyDescent="0.35">
      <c r="H200" s="110" t="s">
        <v>2520</v>
      </c>
    </row>
    <row r="201" spans="2:13" x14ac:dyDescent="0.35">
      <c r="H201" s="146" t="str">
        <f>H203&amp;" = 0 (zero)"</f>
        <v>c4.65 = 0 (zero)</v>
      </c>
    </row>
    <row r="202" spans="2:13" x14ac:dyDescent="0.35">
      <c r="C202" s="110"/>
      <c r="H202" s="110" t="s">
        <v>2638</v>
      </c>
    </row>
    <row r="203" spans="2:13" x14ac:dyDescent="0.35">
      <c r="B203" s="146" t="s">
        <v>3662</v>
      </c>
      <c r="C203" s="42"/>
      <c r="E203" s="43"/>
      <c r="F203" s="43"/>
      <c r="H203" s="790" t="str">
        <f>A68</f>
        <v>c4.65</v>
      </c>
      <c r="I203" s="844">
        <f>IF(non_resident,0,IF(BPA_claimed,IF(UK_allowance_claim,BPA,0),0))</f>
        <v>0</v>
      </c>
      <c r="J203" s="1136"/>
    </row>
    <row r="204" spans="2:13" x14ac:dyDescent="0.35">
      <c r="C204" s="110"/>
      <c r="H204" s="759"/>
      <c r="I204" s="402"/>
      <c r="J204" s="402"/>
    </row>
    <row r="205" spans="2:13" x14ac:dyDescent="0.35">
      <c r="B205" s="110"/>
      <c r="C205" s="110"/>
      <c r="H205" s="759"/>
      <c r="I205" s="1184" t="str">
        <f>"from "&amp;CAL&amp;CAL!C19</f>
        <v>from CAL12</v>
      </c>
      <c r="J205" s="109"/>
    </row>
    <row r="206" spans="2:13" x14ac:dyDescent="0.35">
      <c r="B206" s="42" t="s">
        <v>652</v>
      </c>
      <c r="C206" s="42"/>
      <c r="E206" s="43"/>
      <c r="H206" s="790" t="str">
        <f>A69</f>
        <v>c4.66</v>
      </c>
      <c r="I206" s="844">
        <f>IF(non_resident,0,IF(UK_allowance_claim,TRUNC(CAL!D20+0.99,0),0))</f>
        <v>0</v>
      </c>
      <c r="J206" s="1079" t="s">
        <v>3966</v>
      </c>
    </row>
    <row r="208" spans="2:13" x14ac:dyDescent="0.35">
      <c r="M208" s="44" t="str">
        <f>"Total boxes "&amp;H196&amp;" to "&amp;H206</f>
        <v>Total boxes c4.64 to c4.66</v>
      </c>
    </row>
    <row r="209" spans="2:18" x14ac:dyDescent="0.35">
      <c r="B209" s="60" t="s">
        <v>2962</v>
      </c>
      <c r="C209" s="60"/>
      <c r="L209" s="790" t="str">
        <f>A70</f>
        <v>c4.67</v>
      </c>
      <c r="M209" s="844">
        <f>IF(non_resident,0,IF(UK_allowance_claim,I196+I203+I206,0))</f>
        <v>11500</v>
      </c>
    </row>
    <row r="212" spans="2:18" x14ac:dyDescent="0.35">
      <c r="B212" s="760"/>
      <c r="C212" s="760"/>
      <c r="D212" s="760"/>
      <c r="E212" s="760"/>
      <c r="F212" s="760"/>
      <c r="G212" s="760"/>
      <c r="H212" s="760"/>
      <c r="I212" s="760"/>
      <c r="J212" s="760"/>
      <c r="K212" s="760"/>
      <c r="L212" s="760"/>
      <c r="M212" s="760"/>
      <c r="N212" s="760"/>
      <c r="O212" s="760"/>
      <c r="P212" s="760"/>
      <c r="Q212" s="760"/>
      <c r="R212" s="760"/>
    </row>
    <row r="214" spans="2:18" x14ac:dyDescent="0.35">
      <c r="B214" s="786" t="s">
        <v>4718</v>
      </c>
    </row>
    <row r="216" spans="2:18" x14ac:dyDescent="0.35">
      <c r="B216" s="1228"/>
      <c r="C216" s="1229"/>
      <c r="D216" s="1243"/>
    </row>
    <row r="217" spans="2:18" x14ac:dyDescent="0.35">
      <c r="B217" s="1230"/>
      <c r="C217" s="1231"/>
    </row>
    <row r="218" spans="2:18" x14ac:dyDescent="0.35">
      <c r="B218" s="1232"/>
      <c r="C218" s="1234"/>
    </row>
    <row r="220" spans="2:18" x14ac:dyDescent="0.35">
      <c r="B220" s="146" t="str">
        <f>"if ("&amp;NRD!P4&amp;" = Y and "&amp;NRD!P8&amp;" = Y and "&amp;NRD!P9&amp;" = N)"</f>
        <v>if (box_NRD1 = Y and box_NRD15 = Y and box_NRD16 = N)</v>
      </c>
    </row>
    <row r="221" spans="2:18" x14ac:dyDescent="0.35">
      <c r="B221" s="986" t="str">
        <f>H232&amp;" = 0 (zero)"</f>
        <v>c4.68 = 0 (zero)</v>
      </c>
    </row>
    <row r="222" spans="2:18" x14ac:dyDescent="0.35">
      <c r="B222" s="1077" t="s">
        <v>2520</v>
      </c>
    </row>
    <row r="223" spans="2:18" x14ac:dyDescent="0.35">
      <c r="H223" s="146" t="s">
        <v>5375</v>
      </c>
      <c r="I223" s="1203"/>
      <c r="N223" s="43"/>
    </row>
    <row r="224" spans="2:18" x14ac:dyDescent="0.35">
      <c r="H224" s="1458" t="str">
        <f>"OR (("&amp;'Tax adj (c9)'!I50&amp;" + "&amp;'Tax adj (c9)'!I53&amp;") &gt; 0 (zero))"</f>
        <v>OR ((c9.16 + c9.17) &gt; 0 (zero))</v>
      </c>
      <c r="I224" s="1203"/>
      <c r="J224" s="1459"/>
    </row>
    <row r="225" spans="1:18" x14ac:dyDescent="0.35">
      <c r="H225" s="1458" t="str">
        <f>"     OR ("&amp;NRD!P9&amp;" = Y and "&amp;H196&amp;" &lt;= "&amp;H149&amp;")"</f>
        <v xml:space="preserve">     OR (box_NRD16 = Y and c4.64 &lt;= c4.55)</v>
      </c>
    </row>
    <row r="226" spans="1:18" x14ac:dyDescent="0.35">
      <c r="H226" s="1458" t="str">
        <f>"       then "&amp;H232&amp;" = 0 (zero)"</f>
        <v xml:space="preserve">       then c4.68 = 0 (zero)</v>
      </c>
    </row>
    <row r="227" spans="1:18" x14ac:dyDescent="0.35">
      <c r="H227" s="1460" t="s">
        <v>2520</v>
      </c>
    </row>
    <row r="228" spans="1:18" x14ac:dyDescent="0.35">
      <c r="H228" s="1458" t="s">
        <v>5376</v>
      </c>
    </row>
    <row r="229" spans="1:18" x14ac:dyDescent="0.35">
      <c r="H229" s="2854" t="str">
        <f>H232&amp;" = T_P_A ("&amp;DOLLAR(T_P_A,0)&amp;")"</f>
        <v>c4.68 = T_P_A (£1,150)</v>
      </c>
      <c r="I229" s="1462"/>
      <c r="J229" s="1462"/>
    </row>
    <row r="230" spans="1:18" x14ac:dyDescent="0.35">
      <c r="H230" s="109" t="s">
        <v>2638</v>
      </c>
    </row>
    <row r="231" spans="1:18" x14ac:dyDescent="0.35">
      <c r="H231" s="107" t="s">
        <v>2638</v>
      </c>
    </row>
    <row r="232" spans="1:18" x14ac:dyDescent="0.35">
      <c r="B232" s="759" t="s">
        <v>4735</v>
      </c>
      <c r="H232" s="790" t="str">
        <f>A71</f>
        <v>c4.68</v>
      </c>
      <c r="I232" s="844">
        <f>IF(OR(non_resident,AND(box_NRD1=TRUE,box_NRD15=TRUE,box_NRD16=FALSE),('Tax adj (c9)'!J50+'Tax adj (c9)'!J53&gt;0),AND(box_NRD16=TRUE,I196&lt;=I149)),0,IF(OR(MAT_OUT,MA_transfer),T_P_A,0))</f>
        <v>0</v>
      </c>
    </row>
    <row r="234" spans="1:18" x14ac:dyDescent="0.35">
      <c r="M234" s="109" t="str">
        <f>L209&amp;" minus "&amp;H232</f>
        <v>c4.67 minus c4.68</v>
      </c>
    </row>
    <row r="235" spans="1:18" x14ac:dyDescent="0.35">
      <c r="B235" s="759" t="s">
        <v>4177</v>
      </c>
      <c r="L235" s="790" t="str">
        <f>A72</f>
        <v>c4.69</v>
      </c>
      <c r="M235" s="844">
        <f>IF(non_resident,0,MAX(0,M209-I232))</f>
        <v>11500</v>
      </c>
    </row>
    <row r="236" spans="1:18" x14ac:dyDescent="0.35">
      <c r="B236" s="986" t="s">
        <v>2638</v>
      </c>
    </row>
    <row r="237" spans="1:18" x14ac:dyDescent="0.35">
      <c r="A237" s="1141"/>
      <c r="B237" s="146" t="s">
        <v>2638</v>
      </c>
    </row>
    <row r="238" spans="1:18" x14ac:dyDescent="0.35">
      <c r="A238" s="1141"/>
      <c r="B238" s="760"/>
      <c r="C238" s="760"/>
      <c r="D238" s="760"/>
      <c r="E238" s="760"/>
      <c r="F238" s="760"/>
      <c r="G238" s="760"/>
      <c r="H238" s="760"/>
      <c r="I238" s="760"/>
      <c r="J238" s="760"/>
      <c r="K238" s="760"/>
      <c r="L238" s="760"/>
      <c r="M238" s="760"/>
      <c r="N238" s="760"/>
      <c r="O238" s="760"/>
      <c r="P238" s="760"/>
      <c r="Q238" s="760"/>
      <c r="R238" s="760"/>
    </row>
    <row r="240" spans="1:18" x14ac:dyDescent="0.35">
      <c r="B240" s="398"/>
      <c r="C240" s="398"/>
      <c r="D240" s="407"/>
      <c r="E240" s="43"/>
      <c r="F240" s="43"/>
      <c r="M240" s="109" t="str">
        <f>D131&amp;" + "&amp;H134&amp;" + "&amp;H137&amp;" + "&amp;H140&amp;" + "&amp;H146&amp;" + "&amp;L235</f>
        <v>c4.47 + c4.48 + c4.49 + c4.51 + c4.54 + c4.69</v>
      </c>
    </row>
    <row r="241" spans="2:13" x14ac:dyDescent="0.35">
      <c r="B241" s="712" t="s">
        <v>4206</v>
      </c>
      <c r="C241" s="712"/>
      <c r="D241" s="398"/>
      <c r="E241" s="43"/>
      <c r="G241" s="43"/>
      <c r="H241" s="43"/>
      <c r="I241" s="43"/>
      <c r="J241" s="43"/>
      <c r="L241" s="790" t="str">
        <f>A73</f>
        <v>c4.70</v>
      </c>
      <c r="M241" s="844">
        <f>E131+I134+I137+I140+I146+M235</f>
        <v>11500</v>
      </c>
    </row>
    <row r="242" spans="2:13" x14ac:dyDescent="0.35">
      <c r="B242" s="398"/>
      <c r="C242" s="398"/>
      <c r="D242" s="398"/>
      <c r="E242" s="43"/>
      <c r="F242" s="43"/>
      <c r="G242" s="43"/>
      <c r="H242" s="43"/>
      <c r="I242" s="43"/>
      <c r="J242" s="43"/>
      <c r="K242" s="43"/>
      <c r="L242" s="43"/>
      <c r="M242" s="717" t="str">
        <f>"Copy to "&amp;'Taxable (c5)'!E8</f>
        <v>Copy to c5.1</v>
      </c>
    </row>
    <row r="243" spans="2:13" x14ac:dyDescent="0.35">
      <c r="B243" s="1143"/>
      <c r="C243" s="1143"/>
      <c r="D243" s="1143"/>
      <c r="E243" s="1134"/>
      <c r="F243" s="1134"/>
      <c r="G243" s="1141"/>
      <c r="H243" s="1141"/>
      <c r="J243" s="1158" t="s">
        <v>4334</v>
      </c>
      <c r="K243" s="1158"/>
      <c r="L243" s="1159"/>
      <c r="M243" s="1141"/>
    </row>
    <row r="244" spans="2:13" x14ac:dyDescent="0.35">
      <c r="B244" s="1143"/>
      <c r="C244" s="1143"/>
      <c r="D244" s="1143"/>
      <c r="E244" s="1134"/>
      <c r="F244" s="1134"/>
      <c r="G244" s="1141"/>
      <c r="H244" s="1141"/>
      <c r="J244" s="917"/>
      <c r="K244" s="917"/>
      <c r="L244" s="1159" t="str">
        <f>L248&amp;" = "&amp;'non-res (c91)'!H118</f>
        <v>c4.71 = c91.27</v>
      </c>
      <c r="M244" s="917"/>
    </row>
    <row r="245" spans="2:13" x14ac:dyDescent="0.35">
      <c r="K245" s="917"/>
      <c r="L245" s="1043" t="s">
        <v>2520</v>
      </c>
    </row>
    <row r="246" spans="2:13" x14ac:dyDescent="0.35">
      <c r="L246" s="1159" t="str">
        <f>L248&amp;" = 0 (zero)"</f>
        <v>c4.71 = 0 (zero)</v>
      </c>
    </row>
    <row r="247" spans="2:13" x14ac:dyDescent="0.35">
      <c r="K247" s="917"/>
      <c r="L247" s="1043" t="s">
        <v>2638</v>
      </c>
    </row>
    <row r="248" spans="2:13" x14ac:dyDescent="0.35">
      <c r="B248" s="398" t="s">
        <v>4466</v>
      </c>
      <c r="C248" s="1143"/>
      <c r="D248" s="1143"/>
      <c r="E248" s="1144"/>
      <c r="F248" s="1134"/>
      <c r="G248" s="1134"/>
      <c r="H248" s="1141"/>
      <c r="I248" s="917"/>
      <c r="L248" s="1070" t="str">
        <f>A74</f>
        <v>c4.71</v>
      </c>
      <c r="M248" s="1160">
        <f>IF(non_resident,'non-res (c91)'!I118,0)</f>
        <v>0</v>
      </c>
    </row>
    <row r="249" spans="2:13" x14ac:dyDescent="0.35">
      <c r="B249" s="1143"/>
      <c r="C249" s="1143"/>
      <c r="D249" s="1143"/>
      <c r="E249" s="1143"/>
      <c r="F249" s="1143"/>
      <c r="G249" s="1143"/>
      <c r="H249" s="1141"/>
    </row>
    <row r="250" spans="2:13" x14ac:dyDescent="0.35">
      <c r="B250" s="1143"/>
      <c r="C250" s="1143"/>
      <c r="D250" s="1143"/>
      <c r="E250" s="1143"/>
      <c r="F250" s="1143"/>
      <c r="G250" s="1143"/>
      <c r="H250" s="1143"/>
      <c r="I250" s="917"/>
      <c r="J250" s="1158" t="s">
        <v>4334</v>
      </c>
      <c r="M250" s="1158"/>
    </row>
    <row r="251" spans="2:13" x14ac:dyDescent="0.35">
      <c r="B251" s="1143"/>
      <c r="C251" s="1143"/>
      <c r="D251" s="1143"/>
      <c r="E251" s="1144"/>
      <c r="F251" s="1143"/>
      <c r="G251" s="1143"/>
      <c r="H251" s="1143"/>
      <c r="L251" s="2971" t="str">
        <f>L255&amp;" = "&amp;L241&amp;" +"&amp;L248</f>
        <v>c4.72 = c4.70 +c4.71</v>
      </c>
    </row>
    <row r="252" spans="2:13" x14ac:dyDescent="0.35">
      <c r="B252" s="1141"/>
      <c r="C252" s="1141"/>
      <c r="D252" s="1141"/>
      <c r="E252" s="1141"/>
      <c r="F252" s="1141"/>
      <c r="G252" s="1141"/>
      <c r="H252" s="1141"/>
      <c r="L252" s="1043" t="s">
        <v>2520</v>
      </c>
    </row>
    <row r="253" spans="2:13" x14ac:dyDescent="0.35">
      <c r="B253" s="1141"/>
      <c r="C253" s="1141"/>
      <c r="D253" s="1141"/>
      <c r="E253" s="1141"/>
      <c r="F253" s="1141"/>
      <c r="G253" s="1141"/>
      <c r="H253" s="1141"/>
      <c r="L253" s="1159" t="str">
        <f>L255&amp;" = "&amp;L241</f>
        <v>c4.72 = c4.70</v>
      </c>
    </row>
    <row r="254" spans="2:13" x14ac:dyDescent="0.35">
      <c r="B254" s="1141"/>
      <c r="C254" s="1141"/>
      <c r="D254" s="1141"/>
      <c r="E254" s="1141"/>
      <c r="F254" s="1141"/>
      <c r="G254" s="1141"/>
      <c r="H254" s="1141"/>
      <c r="L254" s="1043" t="s">
        <v>2638</v>
      </c>
    </row>
    <row r="255" spans="2:13" x14ac:dyDescent="0.35">
      <c r="B255" s="1141"/>
      <c r="C255" s="1141"/>
      <c r="D255" s="1141"/>
      <c r="E255" s="1141"/>
      <c r="F255" s="1141"/>
      <c r="G255" s="1141"/>
      <c r="H255" s="1141"/>
      <c r="L255" s="1070" t="str">
        <f>A75</f>
        <v>c4.72</v>
      </c>
      <c r="M255" s="1160">
        <f>IF(non_resident,M241+M248,M241)</f>
        <v>11500</v>
      </c>
    </row>
    <row r="257" spans="2:15" x14ac:dyDescent="0.35">
      <c r="B257" s="798"/>
      <c r="C257" s="413"/>
      <c r="D257" s="413"/>
      <c r="E257" s="44" t="s">
        <v>4334</v>
      </c>
      <c r="H257" s="413"/>
      <c r="I257" s="413"/>
      <c r="J257" s="413"/>
      <c r="K257" s="413"/>
      <c r="L257" s="413"/>
      <c r="M257" s="413"/>
    </row>
    <row r="258" spans="2:15" x14ac:dyDescent="0.35">
      <c r="B258" s="798"/>
      <c r="C258" s="413"/>
      <c r="D258" s="413"/>
      <c r="E258" s="413" t="str">
        <f>D262&amp;" = "&amp;'non-res (c91)'!M118</f>
        <v>c4.73 = c91.28</v>
      </c>
      <c r="H258" s="413"/>
      <c r="I258" s="413"/>
      <c r="J258" s="413"/>
      <c r="K258" s="413"/>
      <c r="L258" s="413"/>
      <c r="M258" s="413"/>
    </row>
    <row r="259" spans="2:15" x14ac:dyDescent="0.35">
      <c r="B259" s="798"/>
      <c r="C259" s="413"/>
      <c r="D259" s="44"/>
      <c r="E259" s="42" t="s">
        <v>2520</v>
      </c>
      <c r="H259" s="413"/>
      <c r="I259" s="413"/>
      <c r="J259" s="413"/>
      <c r="K259" s="413"/>
      <c r="L259" s="413"/>
      <c r="M259" s="413"/>
    </row>
    <row r="260" spans="2:15" x14ac:dyDescent="0.35">
      <c r="C260" s="413"/>
      <c r="D260" s="413"/>
      <c r="E260" s="413" t="str">
        <f>D262&amp;" = "&amp;'Divs (c3)'!G69</f>
        <v>c4.73 = c3.21</v>
      </c>
      <c r="H260" s="413"/>
      <c r="I260" s="413"/>
      <c r="J260" s="413"/>
      <c r="K260" s="413"/>
      <c r="L260" s="413"/>
      <c r="M260" s="413"/>
    </row>
    <row r="261" spans="2:15" x14ac:dyDescent="0.35">
      <c r="B261" s="798"/>
      <c r="C261" s="413"/>
      <c r="D261" s="413"/>
      <c r="E261" s="146" t="s">
        <v>3508</v>
      </c>
      <c r="H261" s="413"/>
      <c r="I261" s="413"/>
      <c r="J261" s="413"/>
      <c r="K261" s="413"/>
      <c r="L261" s="413"/>
      <c r="M261" s="753" t="str">
        <f>D262&amp;" minus "&amp;L241</f>
        <v>c4.73 minus c4.70</v>
      </c>
    </row>
    <row r="262" spans="2:15" x14ac:dyDescent="0.35">
      <c r="B262" s="712" t="s">
        <v>6310</v>
      </c>
      <c r="C262" s="413"/>
      <c r="D262" s="795" t="str">
        <f>A76</f>
        <v>c4.73</v>
      </c>
      <c r="E262" s="412">
        <f>IF(non_resident,'non-res (c91)'!N118,'Divs (c3)'!H69)</f>
        <v>0</v>
      </c>
      <c r="H262" s="413"/>
      <c r="I262" s="413"/>
      <c r="J262" s="413"/>
      <c r="K262" s="796" t="s">
        <v>4304</v>
      </c>
      <c r="L262" s="795" t="str">
        <f>A77</f>
        <v>c4.74</v>
      </c>
      <c r="M262" s="415">
        <f>MAX(0,E262-M241)</f>
        <v>0</v>
      </c>
    </row>
    <row r="264" spans="2:15" x14ac:dyDescent="0.35">
      <c r="C264" s="759"/>
      <c r="D264" s="43"/>
      <c r="G264" s="43"/>
      <c r="H264" s="43"/>
      <c r="I264" s="413"/>
      <c r="J264" s="413"/>
      <c r="K264" s="413"/>
      <c r="L264" s="43"/>
      <c r="M264" s="44" t="str">
        <f>"from "&amp;H162</f>
        <v>from c4.59</v>
      </c>
    </row>
    <row r="265" spans="2:15" x14ac:dyDescent="0.35">
      <c r="B265" s="712" t="s">
        <v>4514</v>
      </c>
      <c r="D265" s="43"/>
      <c r="G265" s="43"/>
      <c r="H265" s="43"/>
      <c r="I265" s="413"/>
      <c r="J265" s="413"/>
      <c r="K265" s="413"/>
      <c r="L265" s="790" t="str">
        <f>A78</f>
        <v>c4.75</v>
      </c>
      <c r="M265" s="131">
        <f>I162</f>
        <v>0</v>
      </c>
    </row>
    <row r="266" spans="2:15" s="402" customFormat="1" x14ac:dyDescent="0.35">
      <c r="O266" s="146"/>
    </row>
    <row r="267" spans="2:15" x14ac:dyDescent="0.35">
      <c r="B267" s="951" t="s">
        <v>6540</v>
      </c>
      <c r="C267" s="951"/>
      <c r="D267" s="413"/>
      <c r="E267" s="413"/>
      <c r="F267" s="413"/>
      <c r="G267" s="413"/>
      <c r="H267" s="413"/>
      <c r="I267" s="413"/>
      <c r="J267" s="413"/>
      <c r="K267" s="413"/>
      <c r="L267" s="3041"/>
      <c r="M267" s="3042" t="str">
        <f>"("&amp;'NS income (c1)'!I131&amp;" + "&amp;'NS income (c1)'!I135&amp;") minus "&amp;L241</f>
        <v>(c1.57 + c1.58) minus c4.70</v>
      </c>
    </row>
    <row r="268" spans="2:15" x14ac:dyDescent="0.35">
      <c r="B268" s="759" t="s">
        <v>6989</v>
      </c>
      <c r="C268" s="951"/>
      <c r="D268" s="413"/>
      <c r="E268" s="413"/>
      <c r="F268" s="413"/>
      <c r="G268" s="413"/>
      <c r="H268" s="413"/>
      <c r="J268" s="413"/>
      <c r="K268" s="109" t="s">
        <v>8135</v>
      </c>
      <c r="L268" s="3046" t="s">
        <v>8133</v>
      </c>
      <c r="M268" s="131">
        <f>MAX(0,('NS income (c1)'!J131+'NS income (c1)'!J135)-'Deductions (c4)'!M241)</f>
        <v>0</v>
      </c>
    </row>
    <row r="269" spans="2:15" x14ac:dyDescent="0.35">
      <c r="B269" s="3061" t="s">
        <v>6910</v>
      </c>
      <c r="C269" s="951"/>
      <c r="D269" s="413"/>
      <c r="E269" s="413"/>
      <c r="F269" s="413"/>
      <c r="G269" s="413"/>
      <c r="H269" s="413"/>
      <c r="J269" s="413"/>
      <c r="K269" s="413"/>
    </row>
    <row r="270" spans="2:15" x14ac:dyDescent="0.35">
      <c r="B270" s="759" t="s">
        <v>6542</v>
      </c>
      <c r="C270" s="951"/>
      <c r="D270" s="413"/>
      <c r="E270" s="413"/>
      <c r="F270" s="413"/>
      <c r="G270" s="413"/>
      <c r="H270" s="413"/>
      <c r="J270" s="413"/>
      <c r="K270" s="413"/>
      <c r="L270" s="3045"/>
      <c r="M270" s="3044" t="str">
        <f>"lower of "&amp;'Savings (c2)'!H75&amp;" and PSA_HR ("&amp;DOLLAR(PSA_HR,0)&amp;")"</f>
        <v>lower of c2.19 and PSA_HR (£500)</v>
      </c>
    </row>
    <row r="271" spans="2:15" x14ac:dyDescent="0.35">
      <c r="B271" s="759" t="s">
        <v>6543</v>
      </c>
      <c r="C271" s="951"/>
      <c r="D271" s="413"/>
      <c r="E271" s="413"/>
      <c r="F271" s="413"/>
      <c r="G271" s="413"/>
      <c r="H271" s="413"/>
      <c r="J271" s="413"/>
      <c r="K271" s="413"/>
      <c r="L271" s="3046" t="s">
        <v>8134</v>
      </c>
      <c r="M271" s="131">
        <f>MIN('Savings (c2)'!I75,PSA_HR)</f>
        <v>0</v>
      </c>
    </row>
    <row r="272" spans="2:15" x14ac:dyDescent="0.35">
      <c r="B272" s="759" t="s">
        <v>6541</v>
      </c>
      <c r="C272" s="951"/>
    </row>
    <row r="273" spans="2:17" x14ac:dyDescent="0.35">
      <c r="B273" s="951" t="s">
        <v>4925</v>
      </c>
      <c r="C273" s="3045"/>
      <c r="D273" s="3045"/>
      <c r="E273" s="3059" t="s">
        <v>7316</v>
      </c>
      <c r="F273" s="3045"/>
      <c r="G273" s="3045"/>
      <c r="H273" s="3045"/>
      <c r="I273" s="3059" t="s">
        <v>7548</v>
      </c>
      <c r="J273" s="413"/>
      <c r="K273" s="3045"/>
      <c r="L273" s="3045"/>
      <c r="M273" s="3059" t="s">
        <v>8132</v>
      </c>
    </row>
    <row r="274" spans="2:17" x14ac:dyDescent="0.35">
      <c r="B274" s="951"/>
      <c r="F274" s="3045"/>
      <c r="G274" s="3045"/>
      <c r="H274" s="3045"/>
      <c r="I274" s="3044" t="str">
        <f>"if "&amp;'Savings (c2)'!H75&amp;" &gt; ("&amp;L241&amp;" + PSA_HR ("&amp;DOLLAR(PSA_HR,0)&amp;")) and"</f>
        <v>if c2.19 &gt; (c4.70 + PSA_HR (£500)) and</v>
      </c>
      <c r="K274" s="3045"/>
      <c r="L274" s="3045"/>
      <c r="M274" s="3044" t="str">
        <f>"if "&amp;'Savings (c2)'!H75&amp;" &lt;= ("&amp;L241&amp;" + PSA_HR ("&amp;DOLLAR(PSA_HR,0)&amp;")) and"</f>
        <v>if c2.19 &lt;= (c4.70 + PSA_HR (£500)) and</v>
      </c>
    </row>
    <row r="275" spans="2:17" x14ac:dyDescent="0.35">
      <c r="B275" s="951"/>
      <c r="C275" s="3045"/>
      <c r="D275" s="3045"/>
      <c r="E275" s="3045"/>
      <c r="F275" s="3045"/>
      <c r="G275" s="3045"/>
      <c r="H275" s="3045"/>
      <c r="I275" s="3044" t="str">
        <f>""&amp;L262&amp;" &gt; (BR_band ("&amp;DOLLAR(BR_band,0)&amp;") + "&amp;L265&amp;")"</f>
        <v>c4.74 &gt; (BR_band (£33,500) + c4.75)</v>
      </c>
      <c r="K275" s="3045"/>
      <c r="L275" s="3045"/>
      <c r="M275" s="3044" t="str">
        <f>"("&amp;L262&amp;" minus "&amp;L271&amp;") &gt; (BR_band ("&amp;DOLLAR(BR_band,0)&amp;") + "&amp;L265&amp;")"</f>
        <v>(c4.74 minus c4.75b) &gt; (BR_band (£33,500) + c4.75)</v>
      </c>
    </row>
    <row r="276" spans="2:17" x14ac:dyDescent="0.35">
      <c r="C276" s="3045"/>
      <c r="D276" s="3045"/>
      <c r="E276" s="3044" t="str">
        <f>"if "&amp;L268&amp;" &gt; ("&amp;'Status (c3a)'!H21&amp;" + "&amp;L265&amp;")"</f>
        <v>if c4.75a &gt; (c3a.2 + c4.75)</v>
      </c>
      <c r="F276" s="3045"/>
      <c r="G276" s="3045"/>
      <c r="H276" s="3045"/>
      <c r="I276" s="3044" t="str">
        <f>H281&amp;" = 1 (HR_case? 'Y')"</f>
        <v>c4.76b = 1 (HR_case? 'Y')</v>
      </c>
      <c r="K276" s="3045"/>
      <c r="L276" s="3045"/>
      <c r="M276" s="3044" t="str">
        <f>L281&amp;" = 1 (HR_case? 'Y')"</f>
        <v>c4.76b1 = 1 (HR_case? 'Y')</v>
      </c>
      <c r="N276" s="431"/>
      <c r="O276" s="3045"/>
      <c r="P276" s="3045"/>
      <c r="Q276" s="3044" t="str">
        <f>"if "&amp;D281&amp;" + "&amp;H281&amp;" + "&amp;L281&amp;" &gt; 0 (zero)"</f>
        <v>if c4.76a + c4.76b + c4.76b1 &gt; 0 (zero)</v>
      </c>
    </row>
    <row r="277" spans="2:17" x14ac:dyDescent="0.35">
      <c r="C277" s="3045"/>
      <c r="D277" s="3045"/>
      <c r="E277" s="3044" t="str">
        <f>D281&amp;" = 1 (HR_case? 'Y')"</f>
        <v>c4.76a = 1 (HR_case? 'Y')</v>
      </c>
      <c r="F277" s="3045"/>
      <c r="G277" s="3045"/>
      <c r="H277" s="3045"/>
      <c r="I277" s="3044" t="s">
        <v>2520</v>
      </c>
      <c r="K277" s="3045"/>
      <c r="L277" s="3045"/>
      <c r="M277" s="3044" t="s">
        <v>2520</v>
      </c>
      <c r="O277" s="3045"/>
      <c r="P277" s="3045"/>
      <c r="Q277" s="3044" t="str">
        <f>P281&amp;" = 1 (HR_case? 'Y')"</f>
        <v>c4.76c = 1 (HR_case? 'Y')</v>
      </c>
    </row>
    <row r="278" spans="2:17" x14ac:dyDescent="0.35">
      <c r="B278" s="792"/>
      <c r="C278" s="3045"/>
      <c r="D278" s="3045"/>
      <c r="E278" s="3044" t="s">
        <v>2520</v>
      </c>
      <c r="F278" s="3045"/>
      <c r="G278" s="3045"/>
      <c r="H278" s="3045"/>
      <c r="I278" s="3044" t="str">
        <f>H281&amp;" = 0 (HR_case? 'N')"</f>
        <v>c4.76b = 0 (HR_case? 'N')</v>
      </c>
      <c r="K278" s="3045"/>
      <c r="L278" s="3045"/>
      <c r="M278" s="3044" t="str">
        <f>L281&amp;" = 0 (HR_case? 'N')"</f>
        <v>c4.76b1 = 0 (HR_case? 'N')</v>
      </c>
      <c r="O278" s="3045"/>
      <c r="P278" s="3045"/>
      <c r="Q278" s="3044" t="s">
        <v>2520</v>
      </c>
    </row>
    <row r="279" spans="2:17" x14ac:dyDescent="0.35">
      <c r="C279" s="3045"/>
      <c r="D279" s="3045"/>
      <c r="E279" s="3044" t="str">
        <f>D281&amp;" = 0 (HR_case? 'N')"</f>
        <v>c4.76a = 0 (HR_case? 'N')</v>
      </c>
      <c r="F279" s="3045"/>
      <c r="G279" s="3045"/>
      <c r="H279" s="3045"/>
      <c r="I279" s="3044" t="s">
        <v>3508</v>
      </c>
      <c r="K279" s="3045"/>
      <c r="L279" s="3045"/>
      <c r="M279" s="3044" t="s">
        <v>3508</v>
      </c>
      <c r="O279" s="3045"/>
      <c r="P279" s="3045"/>
      <c r="Q279" s="3044" t="str">
        <f>P281&amp;" = 0 (HR_case? 'N')"</f>
        <v>c4.76c = 0 (HR_case? 'N')</v>
      </c>
    </row>
    <row r="280" spans="2:17" x14ac:dyDescent="0.35">
      <c r="C280" s="3045"/>
      <c r="D280" s="3045"/>
      <c r="E280" s="3044" t="s">
        <v>3508</v>
      </c>
      <c r="F280" s="3045"/>
      <c r="G280" s="3045"/>
      <c r="H280" s="3045"/>
      <c r="I280" s="3044" t="s">
        <v>3508</v>
      </c>
      <c r="K280" s="3045"/>
      <c r="L280" s="3045"/>
      <c r="M280" s="3044" t="s">
        <v>3508</v>
      </c>
      <c r="O280" s="3045"/>
      <c r="P280" s="3045"/>
      <c r="Q280" s="3044" t="s">
        <v>3508</v>
      </c>
    </row>
    <row r="281" spans="2:17" x14ac:dyDescent="0.35">
      <c r="D281" s="3060" t="str">
        <f>A79</f>
        <v>c4.76a</v>
      </c>
      <c r="E281" s="125">
        <f>IF(M268&gt;'Status (c3a)'!I21+M265,1,0)</f>
        <v>0</v>
      </c>
      <c r="G281" s="3045" t="s">
        <v>8137</v>
      </c>
      <c r="H281" s="3060" t="str">
        <f>A80</f>
        <v>c4.76b</v>
      </c>
      <c r="I281" s="122">
        <f>IF('Savings (c2)'!I75&gt;(M241+PSA_HR),IF(M262&gt;(BR_band+M265),1,0),0)</f>
        <v>0</v>
      </c>
      <c r="K281" s="3045" t="s">
        <v>8138</v>
      </c>
      <c r="L281" s="3060" t="s">
        <v>8136</v>
      </c>
      <c r="M281" s="122">
        <f>IF('Savings (c2)'!I75&lt;=(M241+PSA_HR),IF(M262-M271&gt;(BR_band+M265),1,0),0)</f>
        <v>0</v>
      </c>
      <c r="O281" s="109" t="s">
        <v>6544</v>
      </c>
      <c r="P281" s="3060" t="str">
        <f>A81</f>
        <v>c4.76c</v>
      </c>
      <c r="Q281" s="122">
        <f>IF(E281+I281+M281&gt;0,1,0)</f>
        <v>0</v>
      </c>
    </row>
    <row r="282" spans="2:17" x14ac:dyDescent="0.35">
      <c r="B282" s="2771" t="str">
        <f>"if "&amp;'Deductions (c4)'!H232&amp;" = T_P_A "&amp;DOLLAR(T_P_A,0)&amp;" and "&amp;'Deductions (c4)'!P281&amp;" = 1 (HR_case? YES)"</f>
        <v>if c4.68 = T_P_A £1,150 and c4.76c = 1 (HR_case? YES)</v>
      </c>
      <c r="C282" s="798"/>
      <c r="D282" s="413"/>
      <c r="E282" s="413"/>
      <c r="F282" s="413"/>
      <c r="G282" s="413"/>
      <c r="J282" s="413"/>
      <c r="K282" s="413"/>
    </row>
    <row r="283" spans="2:17" x14ac:dyDescent="0.35">
      <c r="B283" s="110" t="str">
        <f>'Deductions (c4)'!H232&amp;" = 0 (zero)"</f>
        <v>c4.68 = 0 (zero)</v>
      </c>
      <c r="C283" s="798"/>
      <c r="D283" s="413"/>
      <c r="E283" s="413"/>
      <c r="F283" s="413"/>
      <c r="G283" s="413"/>
      <c r="H283" s="413"/>
      <c r="J283" s="413"/>
      <c r="K283" s="413"/>
      <c r="M283" s="413"/>
    </row>
    <row r="284" spans="2:17" x14ac:dyDescent="0.35">
      <c r="B284" s="3091" t="str">
        <f>"Calculate boxes "&amp;'Deductions (c4)'!L235&amp;" through "&amp;'Deductions (c4)'!P281</f>
        <v>Calculate boxes c4.69 through c4.76c</v>
      </c>
      <c r="C284" s="798"/>
      <c r="D284" s="413"/>
      <c r="E284" s="413"/>
      <c r="F284" s="413"/>
      <c r="G284" s="413"/>
      <c r="H284" s="413"/>
      <c r="J284" s="413"/>
      <c r="K284" s="413"/>
      <c r="L284" s="413"/>
    </row>
    <row r="285" spans="2:17" x14ac:dyDescent="0.35">
      <c r="B285" s="110" t="s">
        <v>2520</v>
      </c>
      <c r="C285" s="798"/>
      <c r="D285" s="413"/>
      <c r="E285" s="413"/>
      <c r="F285" s="413"/>
      <c r="G285" s="413"/>
      <c r="H285" s="413"/>
      <c r="J285" s="413"/>
      <c r="K285" s="413"/>
      <c r="L285" s="413"/>
    </row>
    <row r="286" spans="2:17" x14ac:dyDescent="0.35">
      <c r="B286" s="3091" t="str">
        <f>"Retain calculation from "&amp;'Deductions (c4)'!H232&amp;" to "&amp;'Deductions (c4)'!P281</f>
        <v>Retain calculation from c4.68 to c4.76c</v>
      </c>
      <c r="C286" s="798"/>
      <c r="D286" s="413"/>
      <c r="E286" s="413"/>
      <c r="F286" s="413"/>
      <c r="G286" s="413"/>
      <c r="H286" s="413"/>
      <c r="J286" s="413"/>
      <c r="K286" s="413"/>
      <c r="L286" s="413"/>
      <c r="M286" s="413"/>
    </row>
    <row r="287" spans="2:17" x14ac:dyDescent="0.35">
      <c r="B287" s="110" t="s">
        <v>2638</v>
      </c>
      <c r="C287" s="798"/>
      <c r="D287" s="413"/>
      <c r="E287" s="413"/>
      <c r="F287" s="413"/>
      <c r="G287" s="413"/>
      <c r="H287" s="413"/>
      <c r="J287" s="413"/>
      <c r="K287" s="413"/>
      <c r="L287" s="413"/>
      <c r="M287" s="413"/>
    </row>
    <row r="288" spans="2:17" x14ac:dyDescent="0.35">
      <c r="B288" s="413"/>
      <c r="C288" s="798"/>
      <c r="D288" s="413"/>
      <c r="E288" s="413"/>
      <c r="F288" s="413"/>
      <c r="G288" s="413"/>
      <c r="H288" s="413"/>
      <c r="J288" s="413"/>
      <c r="K288" s="413"/>
      <c r="L288" s="413"/>
      <c r="M288" s="413"/>
    </row>
    <row r="289" spans="2:15" x14ac:dyDescent="0.35">
      <c r="B289" s="951" t="s">
        <v>5467</v>
      </c>
      <c r="C289" s="798"/>
      <c r="D289" s="413"/>
      <c r="E289" s="413"/>
      <c r="F289" s="413"/>
      <c r="G289" s="413"/>
      <c r="H289" s="413"/>
      <c r="J289" s="413"/>
      <c r="K289" s="413"/>
      <c r="L289" s="413"/>
      <c r="M289" s="413"/>
    </row>
    <row r="290" spans="2:15" x14ac:dyDescent="0.35">
      <c r="B290" s="759" t="str">
        <f>"Boxes "&amp;L303&amp;" and "&amp;L315&amp;" are used to calculate the amount of personal savings allowance"</f>
        <v>Boxes c4.77 and c4.78 are used to calculate the amount of personal savings allowance</v>
      </c>
      <c r="C290" s="96"/>
      <c r="D290" s="413"/>
      <c r="E290" s="413"/>
      <c r="F290" s="413"/>
      <c r="G290" s="413"/>
      <c r="H290" s="413"/>
      <c r="J290" s="413"/>
      <c r="K290" s="413"/>
      <c r="L290" s="413"/>
      <c r="M290" s="413"/>
    </row>
    <row r="291" spans="2:15" x14ac:dyDescent="0.35">
      <c r="C291" s="96"/>
      <c r="D291" s="413"/>
      <c r="E291" s="413"/>
      <c r="F291" s="413"/>
      <c r="G291" s="413"/>
      <c r="H291" s="413"/>
      <c r="J291" s="413"/>
      <c r="K291" s="413"/>
      <c r="L291" s="413"/>
      <c r="M291" s="413"/>
    </row>
    <row r="292" spans="2:15" x14ac:dyDescent="0.35">
      <c r="B292" s="951" t="s">
        <v>4925</v>
      </c>
      <c r="C292" s="96"/>
      <c r="D292" s="413"/>
      <c r="E292" s="413"/>
      <c r="F292" s="413"/>
      <c r="G292" s="413"/>
      <c r="H292" s="413"/>
      <c r="J292" s="413"/>
      <c r="K292" s="413"/>
      <c r="L292" s="413"/>
      <c r="M292" s="413"/>
    </row>
    <row r="293" spans="2:15" x14ac:dyDescent="0.35">
      <c r="B293" s="1548" t="s">
        <v>6909</v>
      </c>
      <c r="C293" s="2679"/>
      <c r="D293" s="1506"/>
      <c r="E293" s="1506"/>
      <c r="F293" s="1506"/>
      <c r="G293" s="1506"/>
      <c r="H293" s="1506"/>
      <c r="I293" s="1462"/>
      <c r="J293" s="1462"/>
      <c r="K293" s="1462"/>
      <c r="L293" s="1462"/>
      <c r="M293" s="1462"/>
      <c r="N293" s="1462"/>
      <c r="O293" s="1462"/>
    </row>
    <row r="294" spans="2:15" x14ac:dyDescent="0.35">
      <c r="B294" s="2680" t="s">
        <v>6902</v>
      </c>
      <c r="C294" s="2679"/>
      <c r="D294" s="1506"/>
      <c r="E294" s="1506"/>
      <c r="F294" s="1506"/>
      <c r="G294" s="1506"/>
      <c r="H294" s="1506"/>
      <c r="I294" s="1462"/>
      <c r="J294" s="1506"/>
      <c r="K294" s="1506"/>
      <c r="L294" s="1506"/>
      <c r="M294" s="1506"/>
      <c r="N294" s="1462"/>
      <c r="O294" s="1462"/>
    </row>
    <row r="295" spans="2:15" x14ac:dyDescent="0.35">
      <c r="B295" s="2680" t="s">
        <v>6903</v>
      </c>
      <c r="C295" s="2679"/>
      <c r="D295" s="1506"/>
      <c r="E295" s="1506"/>
      <c r="F295" s="1506"/>
      <c r="G295" s="1506"/>
      <c r="H295" s="1506"/>
      <c r="I295" s="1462"/>
      <c r="J295" s="1506"/>
      <c r="K295" s="1506"/>
      <c r="L295" s="1506"/>
      <c r="M295" s="1506"/>
      <c r="N295" s="1462"/>
      <c r="O295" s="1462"/>
    </row>
    <row r="296" spans="2:15" x14ac:dyDescent="0.35">
      <c r="B296" s="2680" t="s">
        <v>6904</v>
      </c>
      <c r="C296" s="2679"/>
      <c r="D296" s="1506"/>
      <c r="E296" s="1506"/>
      <c r="F296" s="1506"/>
      <c r="G296" s="1506"/>
      <c r="H296" s="1506"/>
      <c r="I296" s="1462"/>
      <c r="J296" s="1506"/>
      <c r="K296" s="1506"/>
      <c r="L296" s="1506"/>
      <c r="M296" s="1506"/>
      <c r="N296" s="1462"/>
      <c r="O296" s="1462"/>
    </row>
    <row r="297" spans="2:15" x14ac:dyDescent="0.35">
      <c r="B297" s="2680" t="s">
        <v>6905</v>
      </c>
      <c r="C297" s="2679"/>
      <c r="D297" s="1506"/>
      <c r="E297" s="1506"/>
      <c r="F297" s="1506"/>
      <c r="G297" s="1506"/>
      <c r="H297" s="1506"/>
      <c r="I297" s="1462"/>
      <c r="J297" s="1506"/>
      <c r="K297" s="1462"/>
      <c r="L297" s="1462"/>
      <c r="M297" s="1462"/>
      <c r="N297" s="1462"/>
      <c r="O297" s="1462"/>
    </row>
    <row r="298" spans="2:15" x14ac:dyDescent="0.35">
      <c r="B298" s="413"/>
      <c r="C298" s="798"/>
      <c r="D298" s="413"/>
      <c r="E298" s="413"/>
      <c r="F298" s="413"/>
      <c r="G298" s="413"/>
      <c r="H298" s="413"/>
      <c r="J298" s="1506"/>
      <c r="K298" s="1506"/>
      <c r="L298" s="1506"/>
      <c r="M298" s="1507" t="str">
        <f>"If "&amp;L262&amp;" &gt; (BR_band ("&amp;DOLLAR(BR_band,0)&amp;") + "&amp;L265&amp;")"</f>
        <v>If c4.74 &gt; (BR_band (£33,500) + c4.75)</v>
      </c>
    </row>
    <row r="299" spans="2:15" x14ac:dyDescent="0.35">
      <c r="B299" s="792"/>
      <c r="C299" s="798"/>
      <c r="D299" s="413"/>
      <c r="E299" s="413"/>
      <c r="F299" s="413"/>
      <c r="G299" s="413"/>
      <c r="H299" s="413"/>
      <c r="J299" s="413"/>
      <c r="K299" s="413"/>
      <c r="L299" s="413"/>
      <c r="M299" s="773" t="str">
        <f>L303&amp;" = 1 (HR_case? 'Y')"</f>
        <v>c4.77 = 1 (HR_case? 'Y')</v>
      </c>
    </row>
    <row r="300" spans="2:15" x14ac:dyDescent="0.35">
      <c r="B300" s="413"/>
      <c r="C300" s="798"/>
      <c r="D300" s="413"/>
      <c r="E300" s="413"/>
      <c r="F300" s="413"/>
      <c r="G300" s="413"/>
      <c r="H300" s="413"/>
      <c r="J300" s="413"/>
      <c r="K300" s="413"/>
      <c r="L300" s="413"/>
      <c r="M300" s="109" t="s">
        <v>2520</v>
      </c>
    </row>
    <row r="301" spans="2:15" x14ac:dyDescent="0.35">
      <c r="B301" s="413"/>
      <c r="C301" s="798"/>
      <c r="D301" s="413"/>
      <c r="E301" s="413"/>
      <c r="F301" s="413"/>
      <c r="G301" s="413"/>
      <c r="H301" s="413"/>
      <c r="J301" s="413"/>
      <c r="K301" s="413"/>
      <c r="L301" s="413"/>
      <c r="M301" s="773" t="str">
        <f>L303&amp;" = 0 (HR_case? 'N')"</f>
        <v>c4.77 = 0 (HR_case? 'N')</v>
      </c>
    </row>
    <row r="302" spans="2:15" x14ac:dyDescent="0.35">
      <c r="B302" s="413"/>
      <c r="C302" s="798"/>
      <c r="D302" s="413"/>
      <c r="E302" s="413"/>
      <c r="F302" s="413"/>
      <c r="G302" s="413"/>
      <c r="H302" s="413"/>
      <c r="J302" s="413"/>
      <c r="K302" s="413"/>
      <c r="L302" s="413"/>
      <c r="M302" s="109" t="s">
        <v>3508</v>
      </c>
    </row>
    <row r="303" spans="2:15" x14ac:dyDescent="0.35">
      <c r="B303" s="413"/>
      <c r="C303" s="798"/>
      <c r="D303" s="413"/>
      <c r="E303" s="413"/>
      <c r="F303" s="413"/>
      <c r="G303" s="413"/>
      <c r="H303" s="413"/>
      <c r="J303" s="413"/>
      <c r="K303" s="919" t="s">
        <v>6545</v>
      </c>
      <c r="L303" s="144" t="str">
        <f>A82</f>
        <v>c4.77</v>
      </c>
      <c r="M303" s="922">
        <f>IF(M262&gt;BR_band+M265,1,0)</f>
        <v>0</v>
      </c>
    </row>
    <row r="304" spans="2:15" x14ac:dyDescent="0.35">
      <c r="C304" s="951"/>
      <c r="D304" s="413"/>
      <c r="E304" s="413"/>
      <c r="F304" s="413"/>
      <c r="G304" s="413"/>
      <c r="H304" s="413"/>
      <c r="J304" s="413"/>
      <c r="K304" s="413"/>
      <c r="L304" s="413"/>
      <c r="M304" s="413"/>
    </row>
    <row r="305" spans="2:16" x14ac:dyDescent="0.35">
      <c r="B305" s="951" t="s">
        <v>5466</v>
      </c>
    </row>
    <row r="306" spans="2:16" x14ac:dyDescent="0.35">
      <c r="B306" s="1548" t="s">
        <v>6906</v>
      </c>
      <c r="C306" s="1462"/>
      <c r="D306" s="1462"/>
      <c r="E306" s="1462"/>
      <c r="F306" s="1462"/>
      <c r="G306" s="1462"/>
      <c r="H306" s="1462"/>
      <c r="I306" s="1462"/>
      <c r="J306" s="1462"/>
      <c r="K306" s="1462"/>
      <c r="L306" s="1462"/>
      <c r="M306" s="1462"/>
      <c r="N306" s="1462"/>
      <c r="O306" s="1462"/>
      <c r="P306" s="1462"/>
    </row>
    <row r="307" spans="2:16" x14ac:dyDescent="0.35">
      <c r="B307" s="2680" t="s">
        <v>6907</v>
      </c>
      <c r="C307" s="1462"/>
      <c r="D307" s="1462"/>
      <c r="E307" s="1462"/>
      <c r="F307" s="1462"/>
      <c r="G307" s="1462"/>
      <c r="H307" s="1462"/>
      <c r="I307" s="1462"/>
      <c r="J307" s="1462"/>
      <c r="K307" s="1462"/>
      <c r="L307" s="1462"/>
      <c r="M307" s="1462"/>
      <c r="N307" s="1462"/>
      <c r="O307" s="1462"/>
      <c r="P307" s="1462"/>
    </row>
    <row r="308" spans="2:16" x14ac:dyDescent="0.35">
      <c r="B308" s="2680" t="s">
        <v>6908</v>
      </c>
      <c r="C308" s="1462"/>
      <c r="D308" s="1462"/>
      <c r="E308" s="1462"/>
      <c r="F308" s="1462"/>
      <c r="G308" s="1462"/>
      <c r="H308" s="1462"/>
      <c r="I308" s="1462"/>
      <c r="J308" s="1462"/>
      <c r="K308" s="1462"/>
      <c r="L308" s="1462"/>
      <c r="M308" s="1462"/>
      <c r="N308" s="1462"/>
      <c r="O308" s="1462"/>
      <c r="P308" s="1462"/>
    </row>
    <row r="309" spans="2:16" x14ac:dyDescent="0.35">
      <c r="B309" s="2680" t="s">
        <v>6911</v>
      </c>
      <c r="C309" s="2681"/>
      <c r="D309" s="1506"/>
      <c r="E309" s="1506"/>
      <c r="F309" s="1506"/>
      <c r="G309" s="1506"/>
      <c r="H309" s="1506"/>
      <c r="I309" s="1462"/>
      <c r="J309" s="1506"/>
      <c r="K309" s="1506"/>
      <c r="L309" s="1462"/>
      <c r="M309" s="1462"/>
      <c r="N309" s="1462"/>
      <c r="O309" s="1462"/>
      <c r="P309" s="1462"/>
    </row>
    <row r="310" spans="2:16" x14ac:dyDescent="0.35">
      <c r="C310" s="798"/>
      <c r="D310" s="413"/>
      <c r="E310" s="413"/>
      <c r="F310" s="413"/>
      <c r="G310" s="413"/>
      <c r="H310" s="413"/>
      <c r="J310" s="413"/>
      <c r="K310" s="413"/>
      <c r="L310" s="413"/>
      <c r="M310" s="773" t="str">
        <f>"If "&amp;L262&amp;" &gt; (AHR_band ("&amp;DOLLAR(AHR_band,0)&amp;") + "&amp;L265&amp;")"</f>
        <v>If c4.74 &gt; (AHR_band (£150,000) + c4.75)</v>
      </c>
    </row>
    <row r="311" spans="2:16" x14ac:dyDescent="0.35">
      <c r="B311" s="413"/>
      <c r="C311" s="798"/>
      <c r="D311" s="413"/>
      <c r="E311" s="413"/>
      <c r="F311" s="413"/>
      <c r="G311" s="413"/>
      <c r="H311" s="413"/>
      <c r="J311" s="413"/>
      <c r="K311" s="413"/>
      <c r="L311" s="413"/>
      <c r="M311" s="773" t="str">
        <f>L315&amp;" = 1 (AHR_case? 'Y')"</f>
        <v>c4.78 = 1 (AHR_case? 'Y')</v>
      </c>
    </row>
    <row r="312" spans="2:16" x14ac:dyDescent="0.35">
      <c r="B312" s="413"/>
      <c r="C312" s="798"/>
      <c r="D312" s="413"/>
      <c r="E312" s="413"/>
      <c r="F312" s="413"/>
      <c r="G312" s="413"/>
      <c r="H312" s="413"/>
      <c r="J312" s="413"/>
      <c r="K312" s="413"/>
      <c r="L312" s="413"/>
      <c r="M312" s="109" t="s">
        <v>2520</v>
      </c>
    </row>
    <row r="313" spans="2:16" x14ac:dyDescent="0.35">
      <c r="B313" s="413"/>
      <c r="C313" s="798"/>
      <c r="D313" s="413"/>
      <c r="E313" s="413"/>
      <c r="F313" s="413"/>
      <c r="G313" s="413"/>
      <c r="H313" s="413"/>
      <c r="J313" s="413"/>
      <c r="K313" s="413"/>
      <c r="L313" s="413"/>
      <c r="M313" s="773" t="str">
        <f>L315&amp;" = 0 (AHR_case? 'N')"</f>
        <v>c4.78 = 0 (AHR_case? 'N')</v>
      </c>
    </row>
    <row r="314" spans="2:16" x14ac:dyDescent="0.35">
      <c r="B314" s="413"/>
      <c r="C314" s="798"/>
      <c r="D314" s="413"/>
      <c r="E314" s="413"/>
      <c r="F314" s="413"/>
      <c r="G314" s="413"/>
      <c r="H314" s="413"/>
      <c r="J314" s="413"/>
      <c r="L314" s="413"/>
      <c r="M314" s="109" t="s">
        <v>3508</v>
      </c>
    </row>
    <row r="315" spans="2:16" x14ac:dyDescent="0.35">
      <c r="B315" s="413"/>
      <c r="C315" s="798"/>
      <c r="D315" s="413"/>
      <c r="E315" s="413"/>
      <c r="F315" s="413"/>
      <c r="G315" s="413"/>
      <c r="H315" s="413"/>
      <c r="J315" s="413"/>
      <c r="K315" s="919" t="s">
        <v>6546</v>
      </c>
      <c r="L315" s="816" t="str">
        <f>A83</f>
        <v>c4.78</v>
      </c>
      <c r="M315" s="922">
        <f>IF(M262&gt;AHR_band+M265,1,0)</f>
        <v>0</v>
      </c>
    </row>
    <row r="316" spans="2:16" x14ac:dyDescent="0.35">
      <c r="B316" s="413"/>
      <c r="C316" s="798"/>
      <c r="D316" s="413"/>
      <c r="E316" s="413"/>
      <c r="F316" s="413"/>
      <c r="G316" s="413"/>
      <c r="H316" s="413"/>
      <c r="J316" s="413"/>
      <c r="K316" s="413"/>
      <c r="L316" s="413"/>
      <c r="M316" s="413"/>
    </row>
    <row r="317" spans="2:16" x14ac:dyDescent="0.35">
      <c r="B317" s="413"/>
      <c r="C317" s="798"/>
      <c r="D317" s="413"/>
      <c r="E317" s="413"/>
      <c r="F317" s="413"/>
      <c r="G317" s="413"/>
      <c r="H317" s="413"/>
      <c r="J317" s="413"/>
      <c r="K317" s="413"/>
      <c r="L317" s="413"/>
      <c r="M317" s="773" t="str">
        <f>"if "&amp;L315&amp;" = 1 (Y)"</f>
        <v>if c4.78 = 1 (Y)</v>
      </c>
    </row>
    <row r="318" spans="2:16" x14ac:dyDescent="0.35">
      <c r="B318" s="413"/>
      <c r="C318" s="798"/>
      <c r="D318" s="413"/>
      <c r="E318" s="413"/>
      <c r="F318" s="413"/>
      <c r="G318" s="413"/>
      <c r="H318" s="413"/>
      <c r="J318" s="413"/>
      <c r="K318" s="413"/>
      <c r="L318" s="413"/>
      <c r="M318" s="773" t="str">
        <f>L326&amp;" = PSA_AHR ("&amp;DOLLAR(PSA_AHR,0)&amp;")"</f>
        <v>c4.79 = PSA_AHR (£0)</v>
      </c>
    </row>
    <row r="319" spans="2:16" x14ac:dyDescent="0.35">
      <c r="B319" s="413"/>
      <c r="C319" s="798"/>
      <c r="D319" s="413"/>
      <c r="E319" s="413"/>
      <c r="F319" s="413"/>
      <c r="G319" s="413"/>
      <c r="H319" s="413"/>
      <c r="J319" s="413"/>
      <c r="K319" s="413"/>
      <c r="L319" s="413"/>
      <c r="M319" s="109" t="s">
        <v>2520</v>
      </c>
    </row>
    <row r="320" spans="2:16" x14ac:dyDescent="0.35">
      <c r="B320" s="413"/>
      <c r="C320" s="798"/>
      <c r="D320" s="413"/>
      <c r="E320" s="413"/>
      <c r="F320" s="413"/>
      <c r="G320" s="413"/>
      <c r="H320" s="413"/>
      <c r="J320" s="413"/>
      <c r="K320" s="413"/>
      <c r="L320" s="413"/>
      <c r="M320" s="773" t="str">
        <f>"if "&amp;L303&amp;" = 1 (Y)"</f>
        <v>if c4.77 = 1 (Y)</v>
      </c>
    </row>
    <row r="321" spans="2:13" x14ac:dyDescent="0.35">
      <c r="B321" s="413"/>
      <c r="C321" s="798"/>
      <c r="D321" s="413"/>
      <c r="E321" s="413"/>
      <c r="F321" s="413"/>
      <c r="G321" s="413"/>
      <c r="H321" s="413"/>
      <c r="J321" s="413"/>
      <c r="K321" s="413"/>
      <c r="L321" s="413"/>
      <c r="M321" s="773" t="str">
        <f>L326&amp;" = PSA_HR ("&amp;DOLLAR(PSA_HR,0)&amp;")"</f>
        <v>c4.79 = PSA_HR (£500)</v>
      </c>
    </row>
    <row r="322" spans="2:13" x14ac:dyDescent="0.35">
      <c r="B322" s="413"/>
      <c r="C322" s="798"/>
      <c r="D322" s="413"/>
      <c r="E322" s="413"/>
      <c r="F322" s="413"/>
      <c r="G322" s="413"/>
      <c r="H322" s="413"/>
      <c r="J322" s="413"/>
      <c r="K322" s="413"/>
      <c r="L322" s="413"/>
      <c r="M322" s="109" t="s">
        <v>2520</v>
      </c>
    </row>
    <row r="323" spans="2:13" x14ac:dyDescent="0.35">
      <c r="B323" s="413"/>
      <c r="C323" s="798"/>
      <c r="D323" s="413"/>
      <c r="E323" s="413"/>
      <c r="F323" s="413"/>
      <c r="G323" s="413"/>
      <c r="H323" s="413"/>
      <c r="J323" s="413"/>
      <c r="K323" s="413"/>
      <c r="L323" s="413"/>
      <c r="M323" s="773" t="str">
        <f>L326&amp;" = PSA_BR ("&amp;DOLLAR(PSA_BR,0)&amp;")"</f>
        <v>c4.79 = PSA_BR (£1,000)</v>
      </c>
    </row>
    <row r="324" spans="2:13" x14ac:dyDescent="0.35">
      <c r="B324" s="413"/>
      <c r="C324" s="798"/>
      <c r="D324" s="413"/>
      <c r="E324" s="413"/>
      <c r="F324" s="413"/>
      <c r="G324" s="413"/>
      <c r="H324" s="413"/>
      <c r="J324" s="413"/>
      <c r="K324" s="413"/>
      <c r="L324" s="413"/>
      <c r="M324" s="109" t="s">
        <v>3508</v>
      </c>
    </row>
    <row r="325" spans="2:13" x14ac:dyDescent="0.35">
      <c r="B325" s="413"/>
      <c r="C325" s="798"/>
      <c r="D325" s="413"/>
      <c r="E325" s="413"/>
      <c r="F325" s="413"/>
      <c r="G325" s="413"/>
      <c r="H325" s="413"/>
      <c r="J325" s="413"/>
      <c r="K325" s="413"/>
      <c r="L325" s="413"/>
      <c r="M325" s="109" t="s">
        <v>3508</v>
      </c>
    </row>
    <row r="326" spans="2:13" x14ac:dyDescent="0.35">
      <c r="B326" s="951" t="s">
        <v>5465</v>
      </c>
      <c r="C326" s="798"/>
      <c r="D326" s="413"/>
      <c r="E326" s="413"/>
      <c r="F326" s="413"/>
      <c r="G326" s="413"/>
      <c r="H326" s="413"/>
      <c r="J326" s="413"/>
      <c r="K326" s="413"/>
      <c r="L326" s="816" t="str">
        <f>A84</f>
        <v>c4.79</v>
      </c>
      <c r="M326" s="922">
        <f>IF(AHR_case_PSA=1,PSA_AHR,IF(HR_case_PSA=1,PSA_HR,PSA_BR))</f>
        <v>1000</v>
      </c>
    </row>
    <row r="328" spans="2:13" x14ac:dyDescent="0.35">
      <c r="M328" s="44" t="s">
        <v>4334</v>
      </c>
    </row>
    <row r="329" spans="2:13" x14ac:dyDescent="0.35">
      <c r="M329" s="109" t="str">
        <f>L333&amp;" = 0 (zero)"</f>
        <v>c4.80 = 0 (zero)</v>
      </c>
    </row>
    <row r="330" spans="2:13" x14ac:dyDescent="0.35">
      <c r="M330" s="146" t="s">
        <v>2520</v>
      </c>
    </row>
    <row r="331" spans="2:13" x14ac:dyDescent="0.35">
      <c r="M331" s="109" t="str">
        <f>L333&amp;" = DA ("&amp;DOLLAR(DTA,0)&amp;")"</f>
        <v>c4.80 = DA (£5,000)</v>
      </c>
    </row>
    <row r="332" spans="2:13" x14ac:dyDescent="0.35">
      <c r="M332" s="146" t="s">
        <v>3508</v>
      </c>
    </row>
    <row r="333" spans="2:13" x14ac:dyDescent="0.35">
      <c r="B333" s="951" t="s">
        <v>5474</v>
      </c>
      <c r="L333" s="816" t="str">
        <f>A85</f>
        <v>c4.80</v>
      </c>
      <c r="M333" s="922">
        <f>IF(non_resident,0,DTA)</f>
        <v>5000</v>
      </c>
    </row>
  </sheetData>
  <phoneticPr fontId="68" type="noConversion"/>
  <pageMargins left="0.15748031496062992" right="0.15748031496062992" top="0.19685039370078741" bottom="0.19685039370078741" header="0.19685039370078741" footer="0.19685039370078741"/>
  <pageSetup paperSize="9" orientation="portrait"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pageSetUpPr fitToPage="1"/>
  </sheetPr>
  <dimension ref="A1:AN165"/>
  <sheetViews>
    <sheetView showGridLines="0" topLeftCell="K83" zoomScale="98" zoomScaleNormal="98" workbookViewId="0">
      <selection activeCell="R89" sqref="R89"/>
    </sheetView>
  </sheetViews>
  <sheetFormatPr defaultColWidth="9.1328125" defaultRowHeight="11.65" x14ac:dyDescent="0.35"/>
  <cols>
    <col min="1" max="1" width="4.1328125" style="413" hidden="1" customWidth="1"/>
    <col min="2" max="2" width="2.59765625" style="413" customWidth="1"/>
    <col min="3" max="3" width="17.86328125" style="798" customWidth="1"/>
    <col min="4" max="4" width="14.73046875" style="413" customWidth="1"/>
    <col min="5" max="5" width="6.265625" style="413" customWidth="1"/>
    <col min="6" max="6" width="31.86328125" style="413" customWidth="1"/>
    <col min="7" max="8" width="9.265625" style="413" customWidth="1"/>
    <col min="9" max="9" width="6.3984375" style="413" customWidth="1"/>
    <col min="10" max="10" width="31.86328125" style="413" customWidth="1"/>
    <col min="11" max="12" width="9.265625" style="413" customWidth="1"/>
    <col min="13" max="13" width="7.1328125" style="413" customWidth="1"/>
    <col min="14" max="14" width="31.86328125" style="413" customWidth="1"/>
    <col min="15" max="16" width="9.265625" style="413" customWidth="1"/>
    <col min="17" max="17" width="6.86328125" style="413" customWidth="1"/>
    <col min="18" max="18" width="31.86328125" style="413" customWidth="1"/>
    <col min="19" max="20" width="9.265625" style="413" customWidth="1"/>
    <col min="21" max="21" width="6.265625" style="413" customWidth="1"/>
    <col min="22" max="22" width="31.86328125" style="413" customWidth="1"/>
    <col min="23" max="24" width="9.265625" style="413" customWidth="1"/>
    <col min="25" max="25" width="6" style="413" customWidth="1"/>
    <col min="26" max="26" width="31.86328125" style="413" customWidth="1"/>
    <col min="27" max="27" width="8.1328125" style="413" customWidth="1"/>
    <col min="28" max="28" width="9.265625" style="413" customWidth="1"/>
    <col min="29" max="29" width="6.3984375" style="413" customWidth="1"/>
    <col min="30" max="30" width="31.86328125" style="413" customWidth="1"/>
    <col min="31" max="31" width="9" style="413" customWidth="1"/>
    <col min="32" max="32" width="9.265625" style="413" customWidth="1"/>
    <col min="33" max="33" width="6.86328125" style="413" customWidth="1"/>
    <col min="34" max="34" width="31.86328125" style="413" customWidth="1"/>
    <col min="35" max="35" width="9.265625" style="413" customWidth="1"/>
    <col min="36" max="36" width="18.73046875" style="413" bestFit="1" customWidth="1"/>
    <col min="37" max="37" width="5.59765625" style="413" customWidth="1"/>
    <col min="38" max="38" width="31.86328125" style="413" customWidth="1"/>
    <col min="39" max="39" width="5.59765625" style="413" customWidth="1"/>
    <col min="40" max="40" width="18.265625" style="413" bestFit="1" customWidth="1"/>
    <col min="41" max="41" width="5.59765625" style="413" customWidth="1"/>
    <col min="42" max="42" width="22.265625" style="413" customWidth="1"/>
    <col min="43" max="45" width="5.59765625" style="413" customWidth="1"/>
    <col min="46" max="46" width="22.265625" style="413" customWidth="1"/>
    <col min="47" max="49" width="5.59765625" style="413" customWidth="1"/>
    <col min="50" max="50" width="22.265625" style="413" customWidth="1"/>
    <col min="51" max="51" width="18.59765625" style="413" customWidth="1"/>
    <col min="52" max="52" width="4.73046875" style="413" customWidth="1"/>
    <col min="53" max="16384" width="9.1328125" style="413"/>
  </cols>
  <sheetData>
    <row r="1" spans="1:40" ht="17.649999999999999" x14ac:dyDescent="0.5">
      <c r="A1" s="146" t="s">
        <v>2508</v>
      </c>
      <c r="B1" s="2489" t="s">
        <v>1226</v>
      </c>
      <c r="C1" s="797"/>
      <c r="G1" s="756" t="s">
        <v>1955</v>
      </c>
      <c r="H1" s="2501"/>
      <c r="I1" s="754"/>
      <c r="J1" s="754"/>
      <c r="K1" s="754"/>
      <c r="L1" s="755"/>
      <c r="M1" s="416"/>
      <c r="N1" s="416"/>
      <c r="O1" s="416"/>
      <c r="P1" s="416"/>
    </row>
    <row r="2" spans="1:40" ht="17.649999999999999" x14ac:dyDescent="0.5">
      <c r="A2" s="146" t="s">
        <v>2509</v>
      </c>
      <c r="C2" s="2489" t="s">
        <v>6788</v>
      </c>
    </row>
    <row r="3" spans="1:40" ht="12" customHeight="1" x14ac:dyDescent="0.5">
      <c r="A3" s="146" t="s">
        <v>2510</v>
      </c>
      <c r="C3" s="2489"/>
      <c r="E3" s="1506"/>
      <c r="F3" s="2958" t="s">
        <v>4334</v>
      </c>
      <c r="G3" s="1931"/>
    </row>
    <row r="4" spans="1:40" ht="12" customHeight="1" x14ac:dyDescent="0.5">
      <c r="A4" s="146" t="s">
        <v>2511</v>
      </c>
      <c r="C4" s="2489"/>
      <c r="E4" s="1506"/>
      <c r="F4" s="2873" t="str">
        <f>E8&amp;" = "&amp;'[4]Deductions (c4)'!L241&amp;" minus "&amp;'[4]Deductions (c4)'!P19</f>
        <v>c5.1 = c4.70 minus c4.4</v>
      </c>
      <c r="G4" s="1931"/>
    </row>
    <row r="5" spans="1:40" ht="12" customHeight="1" x14ac:dyDescent="0.5">
      <c r="A5" s="146" t="s">
        <v>2512</v>
      </c>
      <c r="C5" s="2489"/>
      <c r="E5" s="1506"/>
      <c r="F5" s="2873" t="s">
        <v>2520</v>
      </c>
      <c r="G5" s="1931"/>
    </row>
    <row r="6" spans="1:40" ht="12" customHeight="1" x14ac:dyDescent="0.5">
      <c r="A6" s="146" t="s">
        <v>2513</v>
      </c>
      <c r="C6" s="2489"/>
      <c r="E6" s="1506"/>
      <c r="F6" s="2958" t="str">
        <f>E8&amp;" = "&amp;'[4]Deductions (c4)'!L241&amp;" minus "&amp;'[4]Deductions (c4)'!H184</f>
        <v>c5.1 = c4.70 minus c4.63b</v>
      </c>
      <c r="G6" s="1931"/>
    </row>
    <row r="7" spans="1:40" ht="12" customHeight="1" x14ac:dyDescent="0.35">
      <c r="A7" s="146" t="s">
        <v>3271</v>
      </c>
      <c r="E7" s="1506"/>
      <c r="F7" s="1463" t="str">
        <f>'Deductions (c4)'!L241&amp;" minus "&amp;'Deductions (c4)'!H184</f>
        <v>c4.70 minus c4.63b</v>
      </c>
      <c r="G7" s="1931"/>
      <c r="R7" s="1507" t="str">
        <f>'Status (c3a)'!H21&amp;" + "&amp;'Deductions (c4)'!H162</f>
        <v>c3a.2 + c4.59</v>
      </c>
      <c r="S7" s="773"/>
      <c r="Z7" s="2662" t="str">
        <f>"BR_band ("&amp;DOLLAR(BR_band,0)&amp;") + "&amp;'Deductions (c4)'!H162&amp;""</f>
        <v>BR_band (£33,500) + c4.59</v>
      </c>
      <c r="AA7" s="815"/>
    </row>
    <row r="8" spans="1:40" ht="12" customHeight="1" x14ac:dyDescent="0.35">
      <c r="A8" s="146" t="s">
        <v>2514</v>
      </c>
      <c r="D8" s="44" t="s">
        <v>6780</v>
      </c>
      <c r="E8" s="2569" t="str">
        <f>A1</f>
        <v>c5.1</v>
      </c>
      <c r="F8" s="2979">
        <f>'Deductions (c4)'!M241-'Deductions (c4)'!I184</f>
        <v>11500</v>
      </c>
      <c r="G8" s="1931"/>
      <c r="N8" s="1506"/>
      <c r="O8" s="1506"/>
      <c r="P8" s="1463" t="s">
        <v>7151</v>
      </c>
      <c r="Q8" s="2569" t="str">
        <f>A2</f>
        <v>c5.2</v>
      </c>
      <c r="R8" s="844">
        <f>'Status (c3a)'!I21+'Deductions (c4)'!I162</f>
        <v>33500</v>
      </c>
      <c r="S8" s="881"/>
      <c r="U8" s="1506"/>
      <c r="V8" s="1506"/>
      <c r="W8" s="2814"/>
      <c r="X8" s="1463" t="s">
        <v>7155</v>
      </c>
      <c r="Y8" s="1662" t="s">
        <v>7348</v>
      </c>
      <c r="Z8" s="420">
        <f>BR_band+'Deductions (c4)'!I162</f>
        <v>33500</v>
      </c>
    </row>
    <row r="9" spans="1:40" ht="12" customHeight="1" x14ac:dyDescent="0.35">
      <c r="A9" s="146" t="s">
        <v>2515</v>
      </c>
      <c r="B9" s="789"/>
      <c r="C9" s="799"/>
      <c r="D9" s="789"/>
      <c r="E9" s="789"/>
      <c r="F9" s="789"/>
      <c r="G9" s="789"/>
      <c r="H9" s="789"/>
      <c r="I9" s="789"/>
      <c r="J9" s="789"/>
      <c r="K9" s="789"/>
      <c r="L9" s="789"/>
      <c r="M9" s="789"/>
      <c r="N9" s="789"/>
      <c r="O9" s="789"/>
      <c r="P9" s="789"/>
      <c r="Q9" s="789"/>
      <c r="R9" s="789"/>
      <c r="S9" s="789"/>
      <c r="T9" s="789"/>
      <c r="U9" s="789"/>
      <c r="V9" s="789"/>
      <c r="W9" s="789"/>
      <c r="X9" s="789"/>
      <c r="Y9" s="789"/>
      <c r="Z9" s="789"/>
      <c r="AA9" s="789"/>
      <c r="AB9" s="789"/>
      <c r="AC9" s="789"/>
      <c r="AD9" s="789"/>
      <c r="AE9" s="789"/>
      <c r="AF9" s="789"/>
      <c r="AG9" s="789"/>
      <c r="AH9" s="789"/>
      <c r="AI9" s="789"/>
      <c r="AJ9" s="799"/>
      <c r="AK9" s="789"/>
      <c r="AL9" s="789"/>
      <c r="AM9" s="789"/>
      <c r="AN9" s="789"/>
    </row>
    <row r="10" spans="1:40" ht="12" customHeight="1" x14ac:dyDescent="0.35">
      <c r="A10" s="146" t="s">
        <v>2516</v>
      </c>
      <c r="C10" s="797"/>
      <c r="AJ10" s="797"/>
    </row>
    <row r="11" spans="1:40" ht="12" customHeight="1" x14ac:dyDescent="0.35">
      <c r="A11" s="146" t="s">
        <v>2163</v>
      </c>
      <c r="G11" s="1931"/>
      <c r="J11" s="757"/>
      <c r="R11" s="757" t="str">
        <f>"BR_rate ("&amp;BR_rate*100&amp;"%)"</f>
        <v>BR_rate (20%)</v>
      </c>
      <c r="S11" s="757"/>
      <c r="Z11" s="757" t="str">
        <f>"HR_rate ("&amp;HR_rate*100&amp;"%)"</f>
        <v>HR_rate (40%)</v>
      </c>
      <c r="AD11" s="757"/>
      <c r="AH11" s="757" t="str">
        <f>"AHR_rate ("&amp;AHR_rate*100&amp;"%)"</f>
        <v>AHR_rate (45%)</v>
      </c>
      <c r="AJ11" s="798"/>
    </row>
    <row r="12" spans="1:40" ht="12" customHeight="1" x14ac:dyDescent="0.35">
      <c r="A12" s="146" t="s">
        <v>2164</v>
      </c>
      <c r="F12" s="44" t="s">
        <v>4334</v>
      </c>
      <c r="G12" s="1931"/>
      <c r="AJ12" s="798"/>
    </row>
    <row r="13" spans="1:40" ht="12" customHeight="1" x14ac:dyDescent="0.35">
      <c r="A13" s="146" t="s">
        <v>2165</v>
      </c>
      <c r="F13" s="3045" t="str">
        <f>E17&amp;" = "&amp;'[5]non-res (c91)'!M32&amp;" minus "&amp;'[5]Deductions (c4)'!H184</f>
        <v>c5.3 = c91.6 minus c4.63b</v>
      </c>
      <c r="G13" s="1931"/>
      <c r="AJ13" s="798"/>
    </row>
    <row r="14" spans="1:40" ht="12" customHeight="1" x14ac:dyDescent="0.35">
      <c r="A14" s="146" t="s">
        <v>2166</v>
      </c>
      <c r="F14" s="146" t="s">
        <v>2520</v>
      </c>
      <c r="G14" s="1931"/>
      <c r="AJ14" s="798"/>
    </row>
    <row r="15" spans="1:40" ht="12" customHeight="1" x14ac:dyDescent="0.35">
      <c r="A15" s="146" t="s">
        <v>2167</v>
      </c>
      <c r="F15" s="1462" t="str">
        <f>E17&amp;" = "&amp;'Deductions (c4)'!L184</f>
        <v>c5.3 = c4.63c</v>
      </c>
      <c r="G15" s="1931"/>
      <c r="Z15" s="773" t="str">
        <f>"lower of ("&amp;E17&amp;" minus "&amp;Q17&amp;") and"</f>
        <v>lower of (c5.3 minus c5.4) and</v>
      </c>
      <c r="AJ15" s="798"/>
    </row>
    <row r="16" spans="1:40" ht="12" customHeight="1" x14ac:dyDescent="0.35">
      <c r="A16" s="146" t="s">
        <v>2168</v>
      </c>
      <c r="F16" s="146" t="s">
        <v>3508</v>
      </c>
      <c r="G16" s="1931"/>
      <c r="R16" s="773" t="str">
        <f>"lower of "&amp;E17&amp;" and "&amp;Q8</f>
        <v>lower of c5.3 and c5.2</v>
      </c>
      <c r="S16" s="773"/>
      <c r="Z16" s="1507" t="str">
        <f>'Status (c3a)'!L21</f>
        <v>c3a.3</v>
      </c>
      <c r="AH16" s="773" t="str">
        <f>E17&amp;" minus ("&amp;Q17&amp;" + "&amp;Y17&amp;")"</f>
        <v>c5.3 minus (c5.4 + c5.5)</v>
      </c>
      <c r="AJ16" s="798"/>
    </row>
    <row r="17" spans="1:40" ht="12" customHeight="1" x14ac:dyDescent="0.35">
      <c r="A17" s="146" t="s">
        <v>2169</v>
      </c>
      <c r="C17" s="834" t="s">
        <v>2835</v>
      </c>
      <c r="E17" s="2569" t="str">
        <f>A3</f>
        <v>c5.3</v>
      </c>
      <c r="F17" s="844">
        <f>IF(non_resident,MAX(0,'non-res (c91)'!N32-'Deductions (c4)'!I184),'Deductions (c4)'!M184)</f>
        <v>0</v>
      </c>
      <c r="G17" s="1931"/>
      <c r="Q17" s="2569" t="str">
        <f>A4</f>
        <v>c5.4</v>
      </c>
      <c r="R17" s="844">
        <f>MIN(F17,R8)</f>
        <v>0</v>
      </c>
      <c r="S17" s="881"/>
      <c r="Y17" s="2569" t="str">
        <f>A5</f>
        <v>c5.5</v>
      </c>
      <c r="Z17" s="844">
        <f>MAX(0,MIN((F17-R17),'Status (c3a)'!M21))</f>
        <v>0</v>
      </c>
      <c r="AG17" s="2810" t="str">
        <f>A6</f>
        <v>c5.6</v>
      </c>
      <c r="AH17" s="415">
        <f>MAX(0,F17-(R17+Z17))</f>
        <v>0</v>
      </c>
      <c r="AJ17" s="834" t="s">
        <v>2835</v>
      </c>
    </row>
    <row r="18" spans="1:40" ht="12" customHeight="1" x14ac:dyDescent="0.35">
      <c r="A18" s="146" t="s">
        <v>1008</v>
      </c>
      <c r="B18" s="789"/>
      <c r="C18" s="799"/>
      <c r="D18" s="789"/>
      <c r="E18" s="789"/>
      <c r="F18" s="789"/>
      <c r="G18" s="789"/>
      <c r="H18" s="789"/>
      <c r="I18" s="789"/>
      <c r="J18" s="789"/>
      <c r="K18" s="789"/>
      <c r="L18" s="789"/>
      <c r="M18" s="789"/>
      <c r="N18" s="789"/>
      <c r="O18" s="789"/>
      <c r="P18" s="789"/>
      <c r="Q18" s="789"/>
      <c r="R18" s="789"/>
      <c r="S18" s="789"/>
      <c r="T18" s="789"/>
      <c r="U18" s="789"/>
      <c r="V18" s="789"/>
      <c r="W18" s="789"/>
      <c r="X18" s="789"/>
      <c r="Y18" s="789"/>
      <c r="Z18" s="789"/>
      <c r="AA18" s="789"/>
      <c r="AB18" s="789"/>
      <c r="AC18" s="789"/>
      <c r="AD18" s="789"/>
      <c r="AE18" s="789"/>
      <c r="AF18" s="789"/>
      <c r="AG18" s="789"/>
      <c r="AH18" s="789"/>
      <c r="AI18" s="789"/>
      <c r="AJ18" s="799"/>
      <c r="AK18" s="789"/>
      <c r="AL18" s="789"/>
      <c r="AM18" s="789"/>
      <c r="AN18" s="789"/>
    </row>
    <row r="19" spans="1:40" ht="12" customHeight="1" x14ac:dyDescent="0.35">
      <c r="A19" s="146" t="s">
        <v>3030</v>
      </c>
      <c r="C19" s="797"/>
      <c r="AJ19" s="797"/>
    </row>
    <row r="20" spans="1:40" ht="12" customHeight="1" x14ac:dyDescent="0.35">
      <c r="A20" s="146" t="s">
        <v>1411</v>
      </c>
      <c r="C20" s="797"/>
      <c r="G20" s="1931"/>
      <c r="R20" s="757" t="str">
        <f>"BR_rate ("&amp;BR_rate*100&amp;"%)"</f>
        <v>BR_rate (20%)</v>
      </c>
      <c r="S20" s="757"/>
      <c r="Z20" s="757" t="str">
        <f>"HR_rate ("&amp;HR_rate*100&amp;"%)"</f>
        <v>HR_rate (40%)</v>
      </c>
      <c r="AH20" s="757" t="str">
        <f>"AHR_rate ("&amp;AHR_rate*100&amp;"%)"</f>
        <v>AHR_rate (45%)</v>
      </c>
      <c r="AJ20" s="797"/>
    </row>
    <row r="21" spans="1:40" x14ac:dyDescent="0.35">
      <c r="A21" s="146" t="s">
        <v>3272</v>
      </c>
      <c r="C21" s="797"/>
      <c r="G21" s="1931"/>
      <c r="AJ21" s="797"/>
    </row>
    <row r="22" spans="1:40" x14ac:dyDescent="0.35">
      <c r="A22" s="146" t="s">
        <v>3273</v>
      </c>
      <c r="G22" s="1931"/>
      <c r="R22" s="773"/>
      <c r="S22" s="773"/>
      <c r="Z22" s="2958" t="str">
        <f>"lower of ("&amp;E24&amp;" minus "&amp;Q24&amp;") and"</f>
        <v>lower of (c5.7 minus c5.8) and</v>
      </c>
      <c r="AJ22" s="798"/>
    </row>
    <row r="23" spans="1:40" ht="12" customHeight="1" x14ac:dyDescent="0.35">
      <c r="A23" s="146" t="s">
        <v>3274</v>
      </c>
      <c r="F23" s="1463" t="s">
        <v>7349</v>
      </c>
      <c r="G23" s="1931"/>
      <c r="R23" s="1463" t="s">
        <v>7349</v>
      </c>
      <c r="S23" s="773"/>
      <c r="Z23" s="1463" t="s">
        <v>7349</v>
      </c>
      <c r="AH23" s="1463" t="s">
        <v>7349</v>
      </c>
      <c r="AJ23" s="798"/>
    </row>
    <row r="24" spans="1:40" ht="12" customHeight="1" x14ac:dyDescent="0.35">
      <c r="A24" s="146" t="s">
        <v>4072</v>
      </c>
      <c r="C24" s="834" t="s">
        <v>1897</v>
      </c>
      <c r="E24" s="795" t="str">
        <f>A7</f>
        <v>c5.7</v>
      </c>
      <c r="F24" s="414">
        <v>0</v>
      </c>
      <c r="G24" s="1931"/>
      <c r="Q24" s="795" t="str">
        <f>A8</f>
        <v>c5.8</v>
      </c>
      <c r="R24" s="414">
        <v>0</v>
      </c>
      <c r="S24" s="2502"/>
      <c r="Y24" s="795" t="str">
        <f>A9</f>
        <v>c5.9</v>
      </c>
      <c r="Z24" s="415">
        <v>0</v>
      </c>
      <c r="AG24" s="795" t="str">
        <f>A10</f>
        <v>c5.10</v>
      </c>
      <c r="AH24" s="415">
        <v>0</v>
      </c>
      <c r="AJ24" s="834" t="s">
        <v>1897</v>
      </c>
    </row>
    <row r="25" spans="1:40" ht="12" customHeight="1" x14ac:dyDescent="0.35">
      <c r="A25" s="146" t="s">
        <v>4073</v>
      </c>
      <c r="B25" s="789"/>
      <c r="C25" s="799"/>
      <c r="D25" s="789"/>
      <c r="E25" s="789"/>
      <c r="F25" s="789"/>
      <c r="G25" s="789"/>
      <c r="H25" s="789"/>
      <c r="I25" s="789"/>
      <c r="J25" s="789"/>
      <c r="K25" s="789"/>
      <c r="L25" s="789"/>
      <c r="M25" s="789"/>
      <c r="N25" s="789"/>
      <c r="O25" s="789"/>
      <c r="P25" s="789"/>
      <c r="Q25" s="789"/>
      <c r="R25" s="789"/>
      <c r="S25" s="789"/>
      <c r="T25" s="789"/>
      <c r="U25" s="789"/>
      <c r="V25" s="789"/>
      <c r="W25" s="789"/>
      <c r="X25" s="789"/>
      <c r="Y25" s="789"/>
      <c r="Z25" s="789"/>
      <c r="AA25" s="789"/>
      <c r="AB25" s="789"/>
      <c r="AC25" s="789"/>
      <c r="AD25" s="789"/>
      <c r="AE25" s="789"/>
      <c r="AF25" s="789"/>
      <c r="AG25" s="789"/>
      <c r="AH25" s="789"/>
      <c r="AI25" s="789"/>
      <c r="AJ25" s="799"/>
      <c r="AK25" s="789"/>
      <c r="AL25" s="789"/>
      <c r="AM25" s="789"/>
      <c r="AN25" s="789"/>
    </row>
    <row r="26" spans="1:40" ht="12" customHeight="1" x14ac:dyDescent="0.35">
      <c r="A26" s="146" t="s">
        <v>4074</v>
      </c>
      <c r="C26" s="797"/>
      <c r="AJ26" s="797"/>
    </row>
    <row r="27" spans="1:40" ht="12" customHeight="1" x14ac:dyDescent="0.35">
      <c r="A27" s="146" t="s">
        <v>3195</v>
      </c>
      <c r="C27" s="797"/>
      <c r="G27" s="1931"/>
      <c r="J27" s="3490" t="s">
        <v>8106</v>
      </c>
      <c r="N27" s="3490" t="s">
        <v>6805</v>
      </c>
      <c r="R27" s="757" t="str">
        <f>"BR_rate ("&amp;BR_rate*100&amp;"%)"</f>
        <v>BR_rate (20%)</v>
      </c>
      <c r="S27" s="757"/>
      <c r="V27" s="757" t="s">
        <v>6781</v>
      </c>
      <c r="Z27" s="757" t="str">
        <f>"HR_rate ("&amp;HR_rate*100&amp;"%)"</f>
        <v>HR_rate (40%)</v>
      </c>
      <c r="AD27" s="2809" t="s">
        <v>6782</v>
      </c>
      <c r="AH27" s="757" t="str">
        <f>"AHR_rate ("&amp;AHR_rate*100&amp;"%)"</f>
        <v>AHR_rate (45%)</v>
      </c>
      <c r="AJ27" s="797"/>
    </row>
    <row r="28" spans="1:40" ht="12" customHeight="1" x14ac:dyDescent="0.35">
      <c r="A28" s="146" t="s">
        <v>3196</v>
      </c>
      <c r="C28" s="797"/>
      <c r="G28" s="1931"/>
      <c r="H28" s="1930"/>
      <c r="R28" s="757"/>
      <c r="S28" s="757"/>
      <c r="V28" s="757"/>
      <c r="Z28" s="757"/>
      <c r="AH28" s="757"/>
      <c r="AJ28" s="797"/>
    </row>
    <row r="29" spans="1:40" ht="12" customHeight="1" x14ac:dyDescent="0.35">
      <c r="A29" s="146" t="s">
        <v>3197</v>
      </c>
      <c r="G29" s="1931"/>
      <c r="H29" s="1930"/>
      <c r="M29" s="3041"/>
      <c r="N29" s="3044" t="str">
        <f>"lower of ("&amp;E36&amp;" minus "&amp;I36&amp;") and "&amp;'Deductions (c4)'!L326</f>
        <v>lower of (c5.11 minus c5.12) and c4.79</v>
      </c>
      <c r="U29" s="3098"/>
      <c r="V29" s="3099" t="str">
        <f>"HR_band ("&amp;DOLLAR(HR_band,0)&amp;") minus "&amp;Y17&amp;""</f>
        <v>HR_band (£116,500) minus c5.5</v>
      </c>
      <c r="AB29" s="3041"/>
      <c r="AC29" s="3041"/>
      <c r="AD29" s="3042" t="str">
        <f>"HR_band ("&amp;DOLLAR(HR_band,0)&amp;") minus "&amp;AG17&amp;""</f>
        <v>HR_band (£116,500) minus c5.6</v>
      </c>
      <c r="AJ29" s="798"/>
    </row>
    <row r="30" spans="1:40" ht="12" customHeight="1" x14ac:dyDescent="0.35">
      <c r="A30" s="146" t="s">
        <v>4775</v>
      </c>
      <c r="G30" s="1931"/>
      <c r="K30" s="1636"/>
      <c r="M30" s="795" t="str">
        <f>A13</f>
        <v>c5.13</v>
      </c>
      <c r="N30" s="3316">
        <f>MIN(MAX(0,F36-J36),'Deductions (c4)'!M326)</f>
        <v>0</v>
      </c>
      <c r="U30" s="2569" t="str">
        <f>A17</f>
        <v>c5.17</v>
      </c>
      <c r="V30" s="844">
        <f>MAX(0,HR_band-Z17)</f>
        <v>116500</v>
      </c>
      <c r="AC30" s="1662" t="s">
        <v>7350</v>
      </c>
      <c r="AD30" s="844">
        <f>MAX(0,HR_band-AH17)</f>
        <v>116500</v>
      </c>
      <c r="AJ30" s="798"/>
    </row>
    <row r="31" spans="1:40" ht="12" customHeight="1" x14ac:dyDescent="0.35">
      <c r="A31" s="146" t="s">
        <v>4776</v>
      </c>
      <c r="F31" s="44" t="s">
        <v>4334</v>
      </c>
      <c r="G31" s="1931"/>
      <c r="N31" s="146"/>
      <c r="R31" s="879"/>
      <c r="S31" s="879"/>
      <c r="U31" s="773"/>
      <c r="V31" s="146" t="s">
        <v>6786</v>
      </c>
      <c r="AC31" s="1506"/>
      <c r="AD31" s="1506" t="str">
        <f>"lower of "&amp;E36&amp;" minus"</f>
        <v>lower of c5.11 minus</v>
      </c>
      <c r="AJ31" s="798"/>
    </row>
    <row r="32" spans="1:40" ht="12" customHeight="1" x14ac:dyDescent="0.35">
      <c r="A32" s="146" t="s">
        <v>4777</v>
      </c>
      <c r="F32" s="413" t="str">
        <f>E36&amp;" = "&amp;'non-res (c91)'!M58</f>
        <v>c5.11 = c91.14</v>
      </c>
      <c r="G32" s="1931"/>
      <c r="M32" s="3041"/>
      <c r="N32" s="3044" t="str">
        <f>"lower of "&amp;M30&amp;" and ("&amp;Q8&amp;" minus "&amp;Q17&amp;")"</f>
        <v>lower of c5.13 and (c5.2 minus c5.4)</v>
      </c>
      <c r="U32" s="773"/>
      <c r="V32" s="773" t="str">
        <f>"("&amp;U30&amp;" and ("&amp;'Deductions (c4)'!L326&amp;" minus "&amp;M36&amp;"))"</f>
        <v>(c5.17 and (c4.79 minus c5.15))</v>
      </c>
      <c r="Z32" s="773"/>
      <c r="AC32" s="1506"/>
      <c r="AD32" s="1507" t="str">
        <f>"("&amp;M36&amp;" + "&amp;Q36&amp;" + "&amp;U36&amp;" + "&amp;Y36&amp;") and"</f>
        <v>(c5.15 + c5.16 + c5.19 + c5.20) and</v>
      </c>
      <c r="AJ32" s="798"/>
    </row>
    <row r="33" spans="1:40" ht="12" customHeight="1" x14ac:dyDescent="0.35">
      <c r="A33" s="146" t="s">
        <v>4778</v>
      </c>
      <c r="F33" s="146" t="s">
        <v>2520</v>
      </c>
      <c r="G33" s="1931"/>
      <c r="M33" s="795" t="str">
        <f>A14</f>
        <v>c5.14</v>
      </c>
      <c r="N33" s="3316">
        <f>MAX(0,MIN(N30,R8-R17))</f>
        <v>0</v>
      </c>
      <c r="R33" s="146" t="s">
        <v>6786</v>
      </c>
      <c r="S33" s="146"/>
      <c r="U33" s="2569" t="str">
        <f>A18</f>
        <v>c5.18</v>
      </c>
      <c r="V33" s="844">
        <f>MAX(0,MIN(PSA-N36,V30))</f>
        <v>0</v>
      </c>
      <c r="Z33" s="146" t="s">
        <v>6786</v>
      </c>
      <c r="AC33" s="1506"/>
      <c r="AD33" s="1507" t="str">
        <f>'Deductions (c4)'!L326&amp;" minus ("&amp;M36&amp;" + "&amp;U36&amp;")"</f>
        <v>c4.79 minus (c5.15 + c5.19)</v>
      </c>
      <c r="AJ33" s="798"/>
    </row>
    <row r="34" spans="1:40" ht="12" customHeight="1" x14ac:dyDescent="0.35">
      <c r="A34" s="146" t="s">
        <v>4779</v>
      </c>
      <c r="F34" s="413" t="str">
        <f>E36&amp;" = "&amp;'Savings (c2)'!H75</f>
        <v>c5.11 = c2.19</v>
      </c>
      <c r="G34" s="1931"/>
      <c r="J34" s="3044" t="str">
        <f>"lower of SR_band ("&amp;DOLLAR(SR_band,0)&amp;") and"</f>
        <v>lower of SR_band (£5,000) and</v>
      </c>
      <c r="N34" s="146"/>
      <c r="R34" s="773" t="str">
        <f>"("&amp;E36&amp;" minus "&amp;M36&amp;") and"</f>
        <v>(c5.11 minus c5.15) and</v>
      </c>
      <c r="S34" s="773"/>
      <c r="U34" s="773"/>
      <c r="V34" s="146" t="str">
        <f>"lower of "&amp;U33&amp;" and"</f>
        <v>lower of c5.18 and</v>
      </c>
      <c r="Z34" s="773" t="str">
        <f>"("&amp;E36&amp;" minus ("&amp;M36&amp;" + "&amp;Q36&amp;" + "&amp;U36&amp;") and"</f>
        <v>(c5.11 minus (c5.15 + c5.16 + c5.19) and</v>
      </c>
      <c r="AC34" s="1662" t="s">
        <v>7351</v>
      </c>
      <c r="AD34" s="844">
        <f>MAX(0,MIN(F36-(N36+R36+V36+Z36),PSA-N36-V36))</f>
        <v>0</v>
      </c>
      <c r="AH34" s="413" t="str">
        <f>E36&amp;" minus"</f>
        <v>c5.11 minus</v>
      </c>
      <c r="AJ34" s="798"/>
    </row>
    <row r="35" spans="1:40" ht="12" customHeight="1" x14ac:dyDescent="0.35">
      <c r="A35" s="146" t="s">
        <v>7353</v>
      </c>
      <c r="F35" s="146" t="s">
        <v>3508</v>
      </c>
      <c r="G35" s="1931"/>
      <c r="J35" s="3044" t="str">
        <f>"(("&amp;E8&amp;" + SR_band ("&amp;DOLLAR(SR_band,0)&amp;")) minus "&amp;E17&amp;")"</f>
        <v>((c5.1 + SR_band (£5,000)) minus c5.3)</v>
      </c>
      <c r="N35" s="3044" t="str">
        <f>I36&amp;" + "&amp;M33</f>
        <v>c5.12 + c5.14</v>
      </c>
      <c r="Q35" s="3041"/>
      <c r="R35" s="3042" t="str">
        <f>"("&amp;Y8&amp;" minus ("&amp;Q17&amp;" + "&amp;M36&amp;"))"</f>
        <v>(c5.2a minus (c5.4 + c5.15))</v>
      </c>
      <c r="S35" s="773"/>
      <c r="V35" s="773" t="str">
        <f>"("&amp;E36&amp;" minus ("&amp;M36&amp;" + "&amp;Q36&amp;"))"</f>
        <v>(c5.11 minus (c5.15 + c5.16))</v>
      </c>
      <c r="Z35" s="773" t="str">
        <f>U30&amp;")"</f>
        <v>c5.17)</v>
      </c>
      <c r="AD35" s="1507" t="str">
        <f>"lower of "&amp;AC30&amp;" and "&amp;AC34</f>
        <v>lower of c5.20a and c5.20b</v>
      </c>
      <c r="AG35" s="1506"/>
      <c r="AH35" s="1507" t="str">
        <f>"("&amp;M36&amp;" + "&amp;Q36&amp;" + "&amp;U36&amp;" + "&amp;Y36&amp;" + "&amp;AC36&amp;")"</f>
        <v>(c5.15 + c5.16 + c5.19 + c5.20 + c5.20c)</v>
      </c>
      <c r="AJ35" s="798"/>
    </row>
    <row r="36" spans="1:40" ht="12" customHeight="1" x14ac:dyDescent="0.35">
      <c r="A36" s="146" t="s">
        <v>7354</v>
      </c>
      <c r="C36" s="834" t="s">
        <v>3912</v>
      </c>
      <c r="E36" s="795" t="str">
        <f>A11</f>
        <v>c5.11</v>
      </c>
      <c r="F36" s="844">
        <f>IF(non_resident,'non-res (c91)'!N58,'Savings (c2)'!I75)</f>
        <v>0</v>
      </c>
      <c r="G36" s="1931"/>
      <c r="I36" s="795" t="str">
        <f>A12</f>
        <v>c5.12</v>
      </c>
      <c r="J36" s="3316">
        <f>MIN(SR_band,MAX(0,(F8+SR_band)-F17))</f>
        <v>5000</v>
      </c>
      <c r="M36" s="2569" t="str">
        <f>A15</f>
        <v>c5.15</v>
      </c>
      <c r="N36" s="3316">
        <f>J36+N33</f>
        <v>5000</v>
      </c>
      <c r="Q36" s="2569" t="str">
        <f>A16</f>
        <v>c5.16</v>
      </c>
      <c r="R36" s="415">
        <f>MAX(0,MIN(F36-N36,Z8-(R17+N36)))</f>
        <v>0</v>
      </c>
      <c r="S36" s="772"/>
      <c r="U36" s="795" t="str">
        <f>A19</f>
        <v>c5.19</v>
      </c>
      <c r="V36" s="415">
        <f>MAX(0,MIN(V33,F36-(N36+R36)))</f>
        <v>0</v>
      </c>
      <c r="W36" s="417"/>
      <c r="Y36" s="795" t="str">
        <f>A20</f>
        <v>c5.20</v>
      </c>
      <c r="Z36" s="844">
        <f>MAX(0,MIN(F36-(N36+R36+V36),V30))</f>
        <v>0</v>
      </c>
      <c r="AC36" s="1662" t="s">
        <v>7352</v>
      </c>
      <c r="AD36" s="1779">
        <f>MAX(0,MIN(AD30,AD34))</f>
        <v>0</v>
      </c>
      <c r="AG36" s="795" t="str">
        <f>A21</f>
        <v>c5.21</v>
      </c>
      <c r="AH36" s="125">
        <f>MAX(0,F36-(N36+R36+V36+Z36+AD36))</f>
        <v>0</v>
      </c>
      <c r="AJ36" s="834" t="s">
        <v>3912</v>
      </c>
    </row>
    <row r="37" spans="1:40" ht="12" customHeight="1" x14ac:dyDescent="0.35">
      <c r="A37" s="146" t="s">
        <v>7355</v>
      </c>
      <c r="B37" s="789"/>
      <c r="C37" s="799"/>
      <c r="D37" s="789"/>
      <c r="E37" s="789"/>
      <c r="F37" s="789"/>
      <c r="G37" s="789"/>
      <c r="H37" s="789"/>
      <c r="I37" s="789"/>
      <c r="J37" s="789"/>
      <c r="K37" s="789"/>
      <c r="L37" s="789"/>
      <c r="M37" s="789"/>
      <c r="N37" s="789"/>
      <c r="O37" s="789"/>
      <c r="P37" s="789"/>
      <c r="Q37" s="789"/>
      <c r="R37" s="789"/>
      <c r="S37" s="789"/>
      <c r="T37" s="789"/>
      <c r="U37" s="789"/>
      <c r="V37" s="789"/>
      <c r="W37" s="789"/>
      <c r="X37" s="789"/>
      <c r="Y37" s="789"/>
      <c r="Z37" s="789"/>
      <c r="AA37" s="789"/>
      <c r="AB37" s="789"/>
      <c r="AC37" s="789"/>
      <c r="AD37" s="789"/>
      <c r="AE37" s="789"/>
      <c r="AF37" s="789"/>
      <c r="AG37" s="789"/>
      <c r="AH37" s="789"/>
      <c r="AI37" s="789"/>
      <c r="AJ37" s="799"/>
      <c r="AK37" s="789"/>
      <c r="AL37" s="789"/>
      <c r="AM37" s="789"/>
      <c r="AN37" s="789"/>
    </row>
    <row r="38" spans="1:40" ht="12" customHeight="1" x14ac:dyDescent="0.35">
      <c r="A38" s="146" t="s">
        <v>7356</v>
      </c>
      <c r="C38" s="797"/>
      <c r="AJ38" s="797"/>
    </row>
    <row r="39" spans="1:40" ht="12" customHeight="1" x14ac:dyDescent="0.35">
      <c r="A39" s="146" t="s">
        <v>4780</v>
      </c>
      <c r="C39" s="797"/>
      <c r="G39" s="1931"/>
      <c r="N39" s="757" t="s">
        <v>6806</v>
      </c>
      <c r="R39" s="757" t="str">
        <f>"DivBR_rate ("&amp;DivBR_rate*100&amp;"%)"</f>
        <v>DivBR_rate (7.5%)</v>
      </c>
      <c r="V39" s="757" t="s">
        <v>6781</v>
      </c>
      <c r="Z39" s="757" t="str">
        <f>"DivHR_rate ("&amp;DivHR_rate*100&amp;"%)"</f>
        <v>DivHR_rate (32.5%)</v>
      </c>
      <c r="AD39" s="757" t="s">
        <v>6782</v>
      </c>
      <c r="AH39" s="757" t="str">
        <f>"DivAR_rate ("&amp;DivAR_rate*100&amp;"%)"</f>
        <v>DivAR_rate (38.1%)</v>
      </c>
      <c r="AJ39" s="797"/>
    </row>
    <row r="40" spans="1:40" ht="12" customHeight="1" x14ac:dyDescent="0.35">
      <c r="A40" s="146" t="s">
        <v>4781</v>
      </c>
      <c r="C40" s="797"/>
      <c r="G40" s="1931"/>
      <c r="T40" s="3041"/>
      <c r="U40" s="3098"/>
      <c r="V40" s="3099" t="str">
        <f>"HR_band ("&amp;DOLLAR(HR_band,0)&amp;") minus ("&amp;Y17&amp;" + "&amp;Y36&amp;")"</f>
        <v>HR_band (£116,500) minus (c5.5 + c5.20)</v>
      </c>
      <c r="AJ40" s="797"/>
    </row>
    <row r="41" spans="1:40" x14ac:dyDescent="0.35">
      <c r="A41" s="146" t="s">
        <v>6783</v>
      </c>
      <c r="G41" s="1931"/>
      <c r="S41" s="757"/>
      <c r="U41" s="795" t="str">
        <f>A26</f>
        <v>c5.26</v>
      </c>
      <c r="V41" s="844">
        <f>MAX(0,HR_band-(Z17+Z36))</f>
        <v>116500</v>
      </c>
      <c r="AB41" s="3041"/>
      <c r="AC41" s="3098"/>
      <c r="AD41" s="3099" t="str">
        <f>"HR_band ("&amp;DOLLAR(HR_band,0)&amp;") minus ("&amp;AG17&amp;"  + "&amp;AG36&amp;")"</f>
        <v>HR_band (£116,500) minus (c5.6  + c5.21)</v>
      </c>
      <c r="AJ41" s="798"/>
    </row>
    <row r="42" spans="1:40" x14ac:dyDescent="0.35">
      <c r="A42" s="146" t="s">
        <v>6784</v>
      </c>
      <c r="G42" s="1931"/>
      <c r="N42" s="757"/>
      <c r="S42" s="757"/>
      <c r="U42" s="773"/>
      <c r="V42" s="773" t="str">
        <f>"lower of ("&amp;'Deductions (c4)'!L333&amp;" and "&amp;U41&amp;")"</f>
        <v>lower of (c4.80 and c5.26)</v>
      </c>
      <c r="Z42" s="757"/>
      <c r="AC42" s="795" t="str">
        <f>A31</f>
        <v>c5.31</v>
      </c>
      <c r="AD42" s="844">
        <f>MAX(0,HR_band-(AH17+AH36))</f>
        <v>116500</v>
      </c>
      <c r="AH42" s="757"/>
      <c r="AJ42" s="798"/>
    </row>
    <row r="43" spans="1:40" x14ac:dyDescent="0.35">
      <c r="A43" s="146" t="s">
        <v>6785</v>
      </c>
      <c r="F43" s="44" t="s">
        <v>4334</v>
      </c>
      <c r="G43" s="1931"/>
      <c r="N43" s="773" t="str">
        <f>"lower of ("&amp;E48&amp;" and "&amp;'Deductions (c4)'!L333&amp;")"</f>
        <v>lower of (c5.22 and c4.80)</v>
      </c>
      <c r="U43" s="795" t="str">
        <f>A27</f>
        <v>c5.27</v>
      </c>
      <c r="V43" s="844">
        <f>MAX(0,MIN('Deductions (c4)'!M333,V41))</f>
        <v>5000</v>
      </c>
      <c r="Z43" s="757"/>
      <c r="AD43" s="413" t="str">
        <f>"lower of "&amp;E48&amp;" minus"</f>
        <v>lower of c5.22 minus</v>
      </c>
      <c r="AJ43" s="798"/>
    </row>
    <row r="44" spans="1:40" x14ac:dyDescent="0.35">
      <c r="A44" s="146" t="s">
        <v>6791</v>
      </c>
      <c r="F44" s="793" t="str">
        <f>E48&amp;" = "&amp;'non-res (c91)'!M92</f>
        <v>c5.22 = c91.23</v>
      </c>
      <c r="G44" s="1931"/>
      <c r="M44" s="795" t="str">
        <f>A23</f>
        <v>c5.23</v>
      </c>
      <c r="N44" s="412">
        <f>MIN(F48,'Deductions (c4)'!M333)</f>
        <v>0</v>
      </c>
      <c r="Q44" s="752"/>
      <c r="R44" s="110" t="s">
        <v>6786</v>
      </c>
      <c r="S44" s="110"/>
      <c r="U44" s="773"/>
      <c r="V44" s="773" t="str">
        <f>"lower of ("&amp;U43&amp;" and ("&amp;'Deductions (c4)'!L333&amp;" minus "&amp;M48&amp;"))"</f>
        <v>lower of (c5.27 and (c4.80 minus c5.24))</v>
      </c>
      <c r="AD44" s="773" t="str">
        <f>"("&amp;M48&amp;" + "&amp;Q48&amp;" + "&amp;U48&amp;" + "&amp;Y48&amp;") and"</f>
        <v>(c5.24 + c5.25 + c5.29 + c5.30) and</v>
      </c>
      <c r="AJ44" s="798"/>
    </row>
    <row r="45" spans="1:40" x14ac:dyDescent="0.35">
      <c r="A45" s="146" t="s">
        <v>6792</v>
      </c>
      <c r="F45" s="146" t="s">
        <v>2520</v>
      </c>
      <c r="G45" s="1931"/>
      <c r="N45" s="413" t="str">
        <f>"lower of ("&amp;M44&amp;" and"</f>
        <v>lower of (c5.23 and</v>
      </c>
      <c r="R45" s="773" t="str">
        <f>"(("&amp;E48&amp;" minus "&amp;M48&amp;") and"</f>
        <v>((c5.22 minus c5.24) and</v>
      </c>
      <c r="S45" s="773"/>
      <c r="U45" s="795" t="str">
        <f>A28</f>
        <v>c5.28</v>
      </c>
      <c r="V45" s="844">
        <f>MAX(0,MIN(V43,'Deductions (c4)'!M333-N48))</f>
        <v>5000</v>
      </c>
      <c r="Z45" s="146" t="s">
        <v>6786</v>
      </c>
      <c r="AD45" s="963" t="str">
        <f>'Deductions (c4)'!L333&amp;" minus ("&amp;M48&amp;" + "&amp;U48&amp;")"</f>
        <v>c4.80 minus (c5.24 + c5.29)</v>
      </c>
      <c r="AJ45" s="798"/>
    </row>
    <row r="46" spans="1:40" x14ac:dyDescent="0.35">
      <c r="A46" s="146" t="s">
        <v>6793</v>
      </c>
      <c r="F46" s="413" t="str">
        <f>E48&amp;" = "&amp;'Divs (c3)'!G46</f>
        <v>c5.22 = c3.15</v>
      </c>
      <c r="G46" s="1931"/>
      <c r="M46" s="1506"/>
      <c r="N46" s="1507" t="str">
        <f>"("&amp;Y8&amp;" minus"</f>
        <v>(c5.2a minus</v>
      </c>
      <c r="Q46" s="1506"/>
      <c r="R46" s="1507" t="str">
        <f>"("&amp;Y8&amp;" minus"</f>
        <v>(c5.2a minus</v>
      </c>
      <c r="V46" s="773" t="str">
        <f>"lower of "&amp;U45&amp;" and"</f>
        <v>lower of c5.28 and</v>
      </c>
      <c r="Y46" s="3041"/>
      <c r="Z46" s="3042" t="str">
        <f>E48&amp;" minus ("&amp;M48&amp;" + "&amp;Q48&amp;" + "&amp;U48&amp;") and"</f>
        <v>c5.22 minus (c5.24 + c5.25 + c5.29) and</v>
      </c>
      <c r="AC46" s="795" t="str">
        <f>A32</f>
        <v>c5.32</v>
      </c>
      <c r="AD46" s="844">
        <f>MAX(0,MIN(F48-(N48+R48+V48+Z48),'Deductions (c4)'!M333-N48-V48))</f>
        <v>0</v>
      </c>
      <c r="AH46" s="146" t="str">
        <f>E48&amp;" minus "</f>
        <v xml:space="preserve">c5.22 minus </v>
      </c>
      <c r="AJ46" s="798"/>
    </row>
    <row r="47" spans="1:40" x14ac:dyDescent="0.35">
      <c r="A47" s="146" t="s">
        <v>6794</v>
      </c>
      <c r="F47" s="146" t="s">
        <v>3508</v>
      </c>
      <c r="G47" s="1931"/>
      <c r="N47" s="3042" t="str">
        <f>"("&amp;Q17&amp;" + "&amp;M36&amp;" + "&amp;Q36&amp;")))"</f>
        <v>(c5.4 + c5.15 + c5.16)))</v>
      </c>
      <c r="Q47" s="3041"/>
      <c r="R47" s="3042" t="str">
        <f>"("&amp;Q17&amp;" + "&amp;M36&amp;" + "&amp;Q36&amp;" + "&amp;M48&amp;")))"</f>
        <v>(c5.4 + c5.15 + c5.16 + c5.24)))</v>
      </c>
      <c r="S47" s="773"/>
      <c r="V47" s="773" t="str">
        <f>"("&amp;E48&amp;" minus ("&amp;M48&amp;" + "&amp;Q48&amp;"))"</f>
        <v>(c5.22 minus (c5.24 + c5.25))</v>
      </c>
      <c r="Y47" s="3041"/>
      <c r="Z47" s="3042" t="str">
        <f>"("&amp;U41&amp;" minus "&amp;U48&amp;")"</f>
        <v>(c5.26 minus c5.29)</v>
      </c>
      <c r="AD47" s="413" t="str">
        <f>"lower of "&amp;AC42&amp;" and "&amp;AC46</f>
        <v>lower of c5.31 and c5.32</v>
      </c>
      <c r="AH47" s="773" t="str">
        <f>"("&amp;M48&amp;" + "&amp;Q48&amp;" + "&amp;U48&amp;" + "&amp;Y48&amp;" + "&amp;AC48&amp;")"</f>
        <v>(c5.24 + c5.25 + c5.29 + c5.30 + c5.33)</v>
      </c>
      <c r="AJ47" s="798"/>
    </row>
    <row r="48" spans="1:40" x14ac:dyDescent="0.35">
      <c r="A48" s="146" t="s">
        <v>6795</v>
      </c>
      <c r="C48" s="834" t="s">
        <v>6789</v>
      </c>
      <c r="E48" s="795" t="str">
        <f>A22</f>
        <v>c5.22</v>
      </c>
      <c r="F48" s="412">
        <f>IF(non_resident,'non-res (c91)'!N92,'Divs (c3)'!H46)</f>
        <v>0</v>
      </c>
      <c r="G48" s="1931"/>
      <c r="M48" s="795" t="str">
        <f>A24</f>
        <v>c5.24</v>
      </c>
      <c r="N48" s="415">
        <f>MAX(0,MIN(N44,Z8-(R17+N36+R36)))</f>
        <v>0</v>
      </c>
      <c r="Q48" s="795" t="str">
        <f>A25</f>
        <v>c5.25</v>
      </c>
      <c r="R48" s="415">
        <f>MAX(0,MIN(MAX(0,F48-N48),Z8-(R17+R36+N36+N48)))</f>
        <v>0</v>
      </c>
      <c r="S48" s="772"/>
      <c r="U48" s="795" t="str">
        <f>A29</f>
        <v>c5.29</v>
      </c>
      <c r="V48" s="844">
        <f>MAX(0,MIN(V45,F48-(N48+R48)))</f>
        <v>0</v>
      </c>
      <c r="Y48" s="795" t="str">
        <f>A30</f>
        <v>c5.30</v>
      </c>
      <c r="Z48" s="844">
        <f>MAX(0,MIN((F48-(N48+R48+V48)),MAX(0,V41-V48)))</f>
        <v>0</v>
      </c>
      <c r="AC48" s="795" t="str">
        <f>A33</f>
        <v>c5.33</v>
      </c>
      <c r="AD48" s="415">
        <f>MAX(0,MIN(AD42,AD46))</f>
        <v>0</v>
      </c>
      <c r="AG48" s="795" t="str">
        <f>A34</f>
        <v>c5.34</v>
      </c>
      <c r="AH48" s="125">
        <f>MAX(0,F48-(N48+R48+V48+Z48+AD48))</f>
        <v>0</v>
      </c>
      <c r="AJ48" s="834" t="s">
        <v>6789</v>
      </c>
    </row>
    <row r="49" spans="1:40" x14ac:dyDescent="0.35">
      <c r="A49" s="146" t="s">
        <v>6796</v>
      </c>
      <c r="B49" s="789"/>
      <c r="C49" s="799"/>
      <c r="D49" s="789"/>
      <c r="E49" s="789"/>
      <c r="F49" s="789"/>
      <c r="G49" s="789"/>
      <c r="H49" s="789"/>
      <c r="I49" s="789"/>
      <c r="J49" s="789"/>
      <c r="K49" s="789"/>
      <c r="L49" s="789"/>
      <c r="M49" s="789"/>
      <c r="N49" s="789"/>
      <c r="O49" s="789"/>
      <c r="P49" s="789"/>
      <c r="Q49" s="789"/>
      <c r="R49" s="789"/>
      <c r="S49" s="789"/>
      <c r="T49" s="789"/>
      <c r="U49" s="789"/>
      <c r="V49" s="789"/>
      <c r="W49" s="789"/>
      <c r="X49" s="789"/>
      <c r="Y49" s="789"/>
      <c r="Z49" s="789"/>
      <c r="AA49" s="789"/>
      <c r="AB49" s="789"/>
      <c r="AC49" s="789"/>
      <c r="AD49" s="789"/>
      <c r="AE49" s="789"/>
      <c r="AF49" s="789"/>
      <c r="AG49" s="789"/>
      <c r="AH49" s="789"/>
      <c r="AI49" s="789"/>
      <c r="AJ49" s="799"/>
      <c r="AK49" s="789"/>
      <c r="AL49" s="789"/>
      <c r="AM49" s="789"/>
      <c r="AN49" s="789"/>
    </row>
    <row r="50" spans="1:40" ht="12" customHeight="1" x14ac:dyDescent="0.35">
      <c r="A50" s="146" t="s">
        <v>7357</v>
      </c>
    </row>
    <row r="51" spans="1:40" x14ac:dyDescent="0.35">
      <c r="A51" s="146" t="s">
        <v>7358</v>
      </c>
      <c r="B51" s="146"/>
      <c r="C51" s="107"/>
      <c r="D51" s="146"/>
      <c r="E51" s="146"/>
      <c r="F51" s="146"/>
      <c r="G51" s="1931"/>
      <c r="H51" s="146"/>
      <c r="I51" s="146"/>
      <c r="J51" s="146"/>
      <c r="K51" s="146"/>
      <c r="L51" s="146"/>
      <c r="M51" s="146"/>
      <c r="N51" s="146"/>
      <c r="O51" s="146"/>
      <c r="P51" s="146"/>
      <c r="Q51" s="1462"/>
      <c r="R51" s="2809" t="str">
        <f>"BR_rate ("&amp;BR_rate*100&amp;"%)"</f>
        <v>BR_rate (20%)</v>
      </c>
      <c r="S51" s="757"/>
      <c r="T51" s="146"/>
      <c r="U51" s="146"/>
      <c r="V51" s="146"/>
      <c r="W51" s="146"/>
      <c r="X51" s="146"/>
      <c r="Y51" s="1462"/>
      <c r="Z51" s="2809" t="str">
        <f>"HR_rate ("&amp;HR_rate*100&amp;"%)"</f>
        <v>HR_rate (40%)</v>
      </c>
      <c r="AA51" s="146"/>
      <c r="AB51" s="146"/>
      <c r="AC51" s="146"/>
      <c r="AD51" s="146"/>
      <c r="AE51" s="146"/>
      <c r="AF51" s="146"/>
      <c r="AG51" s="146"/>
      <c r="AH51" s="2809" t="str">
        <f>"AHR_rate ("&amp;AHR_rate*100&amp;"%)"</f>
        <v>AHR_rate (45%)</v>
      </c>
      <c r="AI51" s="146"/>
      <c r="AJ51" s="107"/>
      <c r="AK51" s="146"/>
    </row>
    <row r="52" spans="1:40" x14ac:dyDescent="0.35">
      <c r="A52" s="146" t="s">
        <v>7525</v>
      </c>
      <c r="B52" s="146"/>
      <c r="C52" s="107"/>
      <c r="D52" s="146"/>
      <c r="E52" s="146"/>
      <c r="F52" s="146"/>
      <c r="G52" s="1931"/>
      <c r="H52" s="146"/>
      <c r="I52" s="146"/>
      <c r="J52" s="146"/>
      <c r="K52" s="146"/>
      <c r="L52" s="146"/>
      <c r="M52" s="146"/>
      <c r="N52" s="146"/>
      <c r="O52" s="146"/>
      <c r="P52" s="146"/>
      <c r="Q52" s="1462"/>
      <c r="R52" s="1463" t="str">
        <f>"lower of "&amp;E55&amp;" and"</f>
        <v>lower of c5.34a and</v>
      </c>
      <c r="S52" s="146"/>
      <c r="T52" s="146"/>
      <c r="U52" s="146"/>
      <c r="V52" s="146"/>
      <c r="W52" s="146"/>
      <c r="X52" s="146"/>
      <c r="Y52" s="146"/>
      <c r="Z52" s="146"/>
      <c r="AA52" s="146"/>
      <c r="AB52" s="146"/>
      <c r="AC52" s="146"/>
      <c r="AD52" s="146"/>
      <c r="AE52" s="146"/>
      <c r="AF52" s="146"/>
      <c r="AG52" s="146"/>
      <c r="AH52" s="146"/>
      <c r="AI52" s="146"/>
      <c r="AJ52" s="107"/>
      <c r="AK52" s="146"/>
    </row>
    <row r="53" spans="1:40" x14ac:dyDescent="0.35">
      <c r="A53" s="146" t="s">
        <v>6797</v>
      </c>
      <c r="B53" s="146"/>
      <c r="C53" s="96"/>
      <c r="D53" s="146"/>
      <c r="E53" s="146"/>
      <c r="F53" s="146"/>
      <c r="G53" s="1931"/>
      <c r="H53" s="146"/>
      <c r="I53" s="146"/>
      <c r="J53" s="146"/>
      <c r="K53" s="146"/>
      <c r="L53" s="146"/>
      <c r="M53" s="146"/>
      <c r="N53" s="146"/>
      <c r="O53" s="146"/>
      <c r="P53" s="146"/>
      <c r="Q53" s="1462"/>
      <c r="R53" s="1463" t="str">
        <f>"("&amp;Q8&amp;" minus ("&amp;Q17&amp;" + "</f>
        <v xml:space="preserve">(c5.2 minus (c5.4 + </v>
      </c>
      <c r="S53" s="109"/>
      <c r="T53" s="146"/>
      <c r="U53" s="146"/>
      <c r="V53" s="146"/>
      <c r="W53" s="146"/>
      <c r="X53" s="146"/>
      <c r="Y53" s="1462"/>
      <c r="Z53" s="1463" t="str">
        <f>"lower of ("&amp;E55&amp;" minus "&amp;Q55&amp;") and"</f>
        <v>lower of (c5.34a minus c5.34b) and</v>
      </c>
      <c r="AA53" s="146"/>
      <c r="AB53" s="146"/>
      <c r="AC53" s="146"/>
      <c r="AD53" s="146"/>
      <c r="AE53" s="146"/>
      <c r="AF53" s="146"/>
      <c r="AG53" s="146"/>
      <c r="AH53" s="146"/>
      <c r="AI53" s="146"/>
      <c r="AJ53" s="96"/>
      <c r="AK53" s="146"/>
    </row>
    <row r="54" spans="1:40" ht="12" customHeight="1" x14ac:dyDescent="0.35">
      <c r="A54" s="146" t="s">
        <v>6798</v>
      </c>
      <c r="B54" s="146"/>
      <c r="C54" s="96"/>
      <c r="D54" s="146"/>
      <c r="E54" s="146"/>
      <c r="F54" s="1463" t="str">
        <f>"from "&amp;'[6]NS income (c1)'!I136</f>
        <v>from c1.58</v>
      </c>
      <c r="G54" s="1931"/>
      <c r="H54" s="146"/>
      <c r="I54" s="146"/>
      <c r="J54" s="146"/>
      <c r="K54" s="146"/>
      <c r="L54" s="146"/>
      <c r="M54" s="146"/>
      <c r="N54" s="146"/>
      <c r="O54" s="146"/>
      <c r="P54" s="146"/>
      <c r="Q54" s="1462"/>
      <c r="R54" s="1463" t="str">
        <f>M36&amp;" + "&amp;Q36&amp;" + "&amp;M48&amp;" + "&amp;Q48&amp;"))"</f>
        <v>c5.15 + c5.16 + c5.24 + c5.25))</v>
      </c>
      <c r="S54" s="109"/>
      <c r="T54" s="146"/>
      <c r="U54" s="146"/>
      <c r="V54" s="146"/>
      <c r="W54" s="146"/>
      <c r="X54" s="146"/>
      <c r="Y54" s="1462"/>
      <c r="Z54" s="3044" t="str">
        <f>"("&amp;'Status (c3a)'!L21&amp;" minus ("&amp;Y17&amp;" + "&amp;Y36&amp;" + "&amp;Y48&amp;"))"</f>
        <v>(c3a.3 minus (c5.5 + c5.20 + c5.30))</v>
      </c>
      <c r="AA54" s="146"/>
      <c r="AB54" s="146"/>
      <c r="AC54" s="146"/>
      <c r="AD54" s="146"/>
      <c r="AE54" s="146"/>
      <c r="AF54" s="146"/>
      <c r="AG54" s="1462"/>
      <c r="AH54" s="1463" t="str">
        <f>E55&amp;" minus ("&amp;Q55&amp;" + "&amp;Y55&amp;")"</f>
        <v>c5.34a minus (c5.34b + c5.34c)</v>
      </c>
      <c r="AI54" s="146"/>
      <c r="AJ54" s="96"/>
      <c r="AK54" s="146"/>
    </row>
    <row r="55" spans="1:40" x14ac:dyDescent="0.35">
      <c r="A55" s="146" t="s">
        <v>6799</v>
      </c>
      <c r="B55" s="146"/>
      <c r="C55" s="2976" t="s">
        <v>1897</v>
      </c>
      <c r="D55" s="146"/>
      <c r="E55" s="2977" t="str">
        <f>A35</f>
        <v>c5.34a</v>
      </c>
      <c r="F55" s="2972">
        <f>'NS income (c1)'!J135</f>
        <v>0</v>
      </c>
      <c r="G55" s="1931"/>
      <c r="H55" s="146"/>
      <c r="I55" s="146"/>
      <c r="J55" s="146"/>
      <c r="K55" s="146"/>
      <c r="L55" s="146"/>
      <c r="M55" s="146"/>
      <c r="N55" s="146"/>
      <c r="O55" s="146"/>
      <c r="P55" s="146"/>
      <c r="Q55" s="2977" t="str">
        <f>A36</f>
        <v>c5.34b</v>
      </c>
      <c r="R55" s="2972">
        <f>MAX(0,MIN(F55,R8-(R17+N36+R36+N48+R48)))</f>
        <v>0</v>
      </c>
      <c r="S55" s="2973"/>
      <c r="T55" s="146"/>
      <c r="U55" s="146"/>
      <c r="V55" s="146"/>
      <c r="W55" s="146"/>
      <c r="X55" s="146"/>
      <c r="Y55" s="2977" t="str">
        <f>A37</f>
        <v>c5.34c</v>
      </c>
      <c r="Z55" s="2974">
        <f>MAX(0,MIN((F55-R55),'Status (c3a)'!M21-(Z17+Z36+Z48)))</f>
        <v>0</v>
      </c>
      <c r="AA55" s="146"/>
      <c r="AB55" s="146"/>
      <c r="AC55" s="146"/>
      <c r="AD55" s="146"/>
      <c r="AE55" s="146"/>
      <c r="AF55" s="146"/>
      <c r="AG55" s="2977" t="str">
        <f>A38</f>
        <v>c5.34d</v>
      </c>
      <c r="AH55" s="2974">
        <f>MAX(0,F55-(R55+Z55))</f>
        <v>0</v>
      </c>
      <c r="AI55" s="146"/>
      <c r="AJ55" s="2976" t="s">
        <v>1897</v>
      </c>
      <c r="AK55" s="146"/>
    </row>
    <row r="56" spans="1:40" x14ac:dyDescent="0.35">
      <c r="A56" s="146" t="s">
        <v>6800</v>
      </c>
      <c r="B56" s="2853"/>
      <c r="C56" s="2975"/>
      <c r="D56" s="2853"/>
      <c r="E56" s="2853"/>
      <c r="F56" s="2853"/>
      <c r="G56" s="2853"/>
      <c r="H56" s="2853"/>
      <c r="I56" s="2853"/>
      <c r="J56" s="2853"/>
      <c r="K56" s="2853"/>
      <c r="L56" s="2853"/>
      <c r="M56" s="2853"/>
      <c r="N56" s="2853"/>
      <c r="O56" s="2853"/>
      <c r="P56" s="2853"/>
      <c r="Q56" s="2853"/>
      <c r="R56" s="2853"/>
      <c r="S56" s="2853"/>
      <c r="T56" s="2853"/>
      <c r="U56" s="2853"/>
      <c r="V56" s="2853"/>
      <c r="W56" s="2853"/>
      <c r="X56" s="2853"/>
      <c r="Y56" s="2853"/>
      <c r="Z56" s="2853"/>
      <c r="AA56" s="2853"/>
      <c r="AB56" s="2853"/>
      <c r="AC56" s="2853"/>
      <c r="AD56" s="2853"/>
      <c r="AE56" s="2853"/>
      <c r="AF56" s="2853"/>
      <c r="AG56" s="2853"/>
      <c r="AH56" s="2853"/>
      <c r="AI56" s="2853"/>
      <c r="AJ56" s="789"/>
      <c r="AK56" s="789"/>
      <c r="AL56" s="789"/>
      <c r="AM56" s="789"/>
      <c r="AN56" s="789"/>
    </row>
    <row r="57" spans="1:40" x14ac:dyDescent="0.35">
      <c r="A57" s="146" t="s">
        <v>6801</v>
      </c>
      <c r="C57" s="797"/>
    </row>
    <row r="58" spans="1:40" ht="17.649999999999999" x14ac:dyDescent="0.5">
      <c r="A58" s="146" t="s">
        <v>7361</v>
      </c>
      <c r="B58" s="2489" t="s">
        <v>1226</v>
      </c>
      <c r="C58" s="797"/>
      <c r="G58" s="803"/>
      <c r="H58" s="142"/>
      <c r="J58" s="757" t="s">
        <v>5591</v>
      </c>
      <c r="M58" s="1462"/>
      <c r="N58" s="2809" t="s">
        <v>7527</v>
      </c>
      <c r="R58" s="2809"/>
      <c r="S58" s="2809" t="s">
        <v>5590</v>
      </c>
      <c r="T58" s="1462"/>
      <c r="U58" s="1462"/>
      <c r="V58" s="1462"/>
      <c r="Z58" s="757" t="s">
        <v>5589</v>
      </c>
      <c r="AA58" s="1243"/>
      <c r="AB58" s="1243"/>
      <c r="AD58" s="2809" t="s">
        <v>7534</v>
      </c>
      <c r="AG58" s="1243"/>
      <c r="AH58" s="757" t="s">
        <v>6790</v>
      </c>
      <c r="AL58" s="757" t="s">
        <v>3064</v>
      </c>
    </row>
    <row r="59" spans="1:40" ht="17.649999999999999" x14ac:dyDescent="0.5">
      <c r="A59" s="146" t="s">
        <v>7362</v>
      </c>
      <c r="C59" s="2489" t="s">
        <v>6787</v>
      </c>
      <c r="G59" s="803"/>
      <c r="H59" s="142"/>
      <c r="P59" s="1243"/>
      <c r="Q59" s="3045"/>
      <c r="R59" s="3044" t="str">
        <f>"if "&amp;M156&amp;" &gt; "&amp;M142</f>
        <v>if c5.56d &gt; c5.56a</v>
      </c>
    </row>
    <row r="60" spans="1:40" ht="17.649999999999999" x14ac:dyDescent="0.5">
      <c r="A60" s="146" t="s">
        <v>7363</v>
      </c>
      <c r="C60" s="2489"/>
      <c r="G60" s="803"/>
      <c r="H60" s="142"/>
      <c r="P60" s="1243"/>
      <c r="Q60" s="3045"/>
      <c r="R60" s="3044" t="str">
        <f>Q64&amp;" = lower of ("&amp;E8&amp;" minus "&amp;M103&amp;") and "&amp;Q17</f>
        <v>c5.56e = lower of (c5.1 minus c5.52) and c5.4</v>
      </c>
    </row>
    <row r="61" spans="1:40" ht="17.649999999999999" x14ac:dyDescent="0.5">
      <c r="A61" s="146" t="s">
        <v>7526</v>
      </c>
      <c r="C61" s="2489"/>
      <c r="G61" s="803"/>
      <c r="H61" s="142"/>
      <c r="P61" s="1243"/>
      <c r="Q61" s="3045"/>
      <c r="R61" s="3045" t="s">
        <v>2520</v>
      </c>
    </row>
    <row r="62" spans="1:40" ht="17.649999999999999" x14ac:dyDescent="0.5">
      <c r="A62" s="146" t="s">
        <v>6802</v>
      </c>
      <c r="C62" s="2489"/>
      <c r="G62" s="803"/>
      <c r="H62" s="142"/>
      <c r="P62" s="1243"/>
      <c r="Q62" s="3045"/>
      <c r="R62" s="3044" t="str">
        <f>Q64&amp;" = lower of ("&amp;E17&amp;" minus "&amp;M103&amp;") and "&amp;M117</f>
        <v>c5.56e = lower of (c5.3 minus c5.52) and c5.54</v>
      </c>
    </row>
    <row r="63" spans="1:40" ht="17.649999999999999" x14ac:dyDescent="0.5">
      <c r="A63" s="146" t="s">
        <v>6807</v>
      </c>
      <c r="C63" s="2489"/>
      <c r="G63" s="803"/>
      <c r="H63" s="142"/>
      <c r="P63" s="1243"/>
      <c r="Q63" s="3045"/>
      <c r="R63" s="3045" t="s">
        <v>2638</v>
      </c>
    </row>
    <row r="64" spans="1:40" ht="17.649999999999999" x14ac:dyDescent="0.5">
      <c r="A64" s="146" t="s">
        <v>6808</v>
      </c>
      <c r="C64" s="2489"/>
      <c r="G64" s="803"/>
      <c r="H64" s="142"/>
      <c r="P64" s="1243"/>
      <c r="Q64" s="3027" t="str">
        <f>A81</f>
        <v>c5.56e</v>
      </c>
      <c r="R64" s="3330">
        <f>IF(N156&gt;N142,MAX(0,MIN(F8-N103,R17)),MIN(MAX(0,F17-N103),N117))</f>
        <v>0</v>
      </c>
    </row>
    <row r="65" spans="1:40" x14ac:dyDescent="0.35">
      <c r="A65" s="146" t="s">
        <v>6809</v>
      </c>
      <c r="G65" s="803"/>
      <c r="H65" s="142"/>
      <c r="M65" s="2873"/>
      <c r="N65" s="2958"/>
      <c r="Q65" s="146"/>
      <c r="R65" s="3044" t="str">
        <f>"if "&amp;M74&amp;" + "&amp;M81&amp;" &gt; 0 (zero) OR"</f>
        <v>if c5.49 + c5.50 &gt; 0 (zero) OR</v>
      </c>
    </row>
    <row r="66" spans="1:40" x14ac:dyDescent="0.35">
      <c r="A66" s="146" t="s">
        <v>7627</v>
      </c>
      <c r="G66" s="1931"/>
      <c r="M66" s="2873"/>
      <c r="N66" s="2958"/>
      <c r="P66" s="146"/>
      <c r="R66" s="3044" t="str">
        <f>"("&amp;E17&amp;" + "&amp;E36&amp;") minus "&amp;E8&amp;" &gt; "&amp;Y8</f>
        <v>(c5.3 + c5.11) minus c5.1 &gt; c5.2a</v>
      </c>
      <c r="S66" s="879">
        <f>MIN(F17-(R17-N30),Z8)</f>
        <v>0</v>
      </c>
      <c r="T66" s="1141"/>
      <c r="U66" s="2873"/>
      <c r="V66" s="1505" t="s">
        <v>7365</v>
      </c>
      <c r="Z66" s="146" t="str">
        <f>E8&amp;" minus"</f>
        <v>c5.1 minus</v>
      </c>
    </row>
    <row r="67" spans="1:40" ht="12" customHeight="1" x14ac:dyDescent="0.5">
      <c r="A67" s="146" t="s">
        <v>7887</v>
      </c>
      <c r="C67" s="2489"/>
      <c r="G67" s="1931"/>
      <c r="M67" s="2873"/>
      <c r="N67" s="2873"/>
      <c r="P67" s="146"/>
      <c r="Q67" s="146"/>
      <c r="R67" s="3044" t="str">
        <f>Q71&amp;" = "&amp;M74</f>
        <v>c5.56e1 = c5.49</v>
      </c>
      <c r="T67" s="2628"/>
      <c r="U67" s="3074" t="s">
        <v>7528</v>
      </c>
      <c r="V67" s="3075"/>
      <c r="Y67" s="1506"/>
      <c r="Z67" s="1463" t="str">
        <f>"("&amp;I103&amp;" + "&amp;I113&amp;" +  "&amp;U103&amp;" + "&amp;Q113&amp;")"</f>
        <v>(c5.47 + c5.48 +  c5.58f + c5.58)</v>
      </c>
    </row>
    <row r="68" spans="1:40" ht="12" customHeight="1" x14ac:dyDescent="0.5">
      <c r="A68" s="146" t="s">
        <v>8011</v>
      </c>
      <c r="C68" s="2489"/>
      <c r="G68" s="1931"/>
      <c r="M68" s="2873"/>
      <c r="N68" s="2958"/>
      <c r="P68" s="146"/>
      <c r="Q68" s="146"/>
      <c r="R68" s="3045" t="s">
        <v>2520</v>
      </c>
      <c r="T68" s="1141"/>
      <c r="U68" s="1141"/>
      <c r="V68" s="1141"/>
      <c r="Y68" s="2569" t="str">
        <f>A97</f>
        <v>c5.59</v>
      </c>
      <c r="Z68" s="2979">
        <f>MAX(0,F8-(J103+J113+V103+R113))</f>
        <v>11500</v>
      </c>
    </row>
    <row r="69" spans="1:40" x14ac:dyDescent="0.35">
      <c r="A69" s="146" t="s">
        <v>6810</v>
      </c>
      <c r="E69" s="2873"/>
      <c r="F69" s="2874" t="s">
        <v>4334</v>
      </c>
      <c r="G69" s="1931"/>
      <c r="H69" s="1930"/>
      <c r="M69" s="2873"/>
      <c r="N69" s="1462" t="s">
        <v>7365</v>
      </c>
      <c r="P69" s="146"/>
      <c r="Q69" s="146"/>
      <c r="R69" s="3044" t="str">
        <f>Q71&amp;" = "&amp;M103</f>
        <v>c5.56e1 = c5.52</v>
      </c>
      <c r="T69" s="1141"/>
      <c r="U69" s="1141"/>
      <c r="V69" s="1457"/>
      <c r="W69" s="1506"/>
      <c r="X69" s="1506"/>
      <c r="Y69" s="1507"/>
      <c r="Z69" s="1463" t="str">
        <f>"lower of (("&amp;Q17&amp;" + "&amp;Y17&amp;") minus ("&amp;Q64&amp;" + "&amp;Q77&amp;")) and "&amp;Y68</f>
        <v>lower of ((c5.4 + c5.5) minus (c5.56e + c5.56f)) and c5.59</v>
      </c>
      <c r="AH69" s="773"/>
    </row>
    <row r="70" spans="1:40" x14ac:dyDescent="0.35">
      <c r="A70" s="146" t="s">
        <v>6811</v>
      </c>
      <c r="E70" s="2873"/>
      <c r="F70" s="2873" t="str">
        <f>E74&amp;" = "&amp;'non-res (c91)'!M32</f>
        <v>c5.35 = c91.6</v>
      </c>
      <c r="G70" s="1931"/>
      <c r="H70" s="1930"/>
      <c r="M70" s="3026" t="s">
        <v>7359</v>
      </c>
      <c r="N70" s="3661">
        <v>0</v>
      </c>
      <c r="P70" s="1566"/>
      <c r="Q70" s="146"/>
      <c r="R70" s="3045" t="s">
        <v>2638</v>
      </c>
      <c r="T70" s="1141"/>
      <c r="U70" s="1141"/>
      <c r="V70" s="1457"/>
      <c r="Y70" s="2569" t="str">
        <f>A98</f>
        <v>c5.60</v>
      </c>
      <c r="Z70" s="2979">
        <f>MIN(MAX(0,(R17+Z17)-(R64+R77)),Z68)</f>
        <v>0</v>
      </c>
      <c r="AA70" s="1243"/>
      <c r="AB70" s="1243"/>
      <c r="AG70" s="1243"/>
      <c r="AH70" s="773"/>
    </row>
    <row r="71" spans="1:40" x14ac:dyDescent="0.35">
      <c r="A71" s="146" t="s">
        <v>7914</v>
      </c>
      <c r="E71" s="2873"/>
      <c r="F71" s="2873" t="s">
        <v>2520</v>
      </c>
      <c r="G71" s="1931"/>
      <c r="H71" s="1930"/>
      <c r="M71" s="2873"/>
      <c r="N71" s="1462" t="s">
        <v>7365</v>
      </c>
      <c r="Q71" s="3328" t="str">
        <f>A82</f>
        <v>c5.56e1</v>
      </c>
      <c r="R71" s="3330">
        <f>IF(OR(N74+N81&gt;0,(F17+F36)-F8&gt;Z8),N74,N103)</f>
        <v>0</v>
      </c>
      <c r="S71" s="146"/>
      <c r="T71" s="1141"/>
      <c r="U71" s="1141"/>
      <c r="V71" s="1141"/>
      <c r="W71" s="1506"/>
      <c r="X71" s="1506"/>
      <c r="Y71" s="1506"/>
      <c r="Z71" s="1463" t="str">
        <f>"larger of ("&amp;M134&amp;" minus ("&amp;Q64&amp;" + "&amp;Q77&amp;")) and "&amp;Y70</f>
        <v>larger of (c5.56 minus (c5.56e + c5.56f)) and c5.60</v>
      </c>
      <c r="AA71" s="1243"/>
      <c r="AB71" s="1243"/>
      <c r="AG71" s="1243"/>
      <c r="AH71" s="110"/>
    </row>
    <row r="72" spans="1:40" x14ac:dyDescent="0.35">
      <c r="A72" s="146" t="s">
        <v>7915</v>
      </c>
      <c r="E72" s="2873"/>
      <c r="F72" s="2873" t="str">
        <f>E74&amp;" = "&amp;'NS income (c1)'!I131</f>
        <v>c5.35 = c1.57</v>
      </c>
      <c r="G72" s="1931"/>
      <c r="H72" s="1930"/>
      <c r="M72" s="3026" t="s">
        <v>7360</v>
      </c>
      <c r="N72" s="3661">
        <v>0</v>
      </c>
      <c r="P72" s="3045"/>
      <c r="Q72" s="3045"/>
      <c r="R72" s="3044" t="str">
        <f>"if "&amp;M156&amp;" &gt; "&amp;M142</f>
        <v>if c5.56d &gt; c5.56a</v>
      </c>
      <c r="S72" s="773"/>
      <c r="T72" s="1141"/>
      <c r="U72" s="1141"/>
      <c r="V72" s="1457"/>
      <c r="Y72" s="2569" t="str">
        <f>A99</f>
        <v>c5.61</v>
      </c>
      <c r="Z72" s="2979">
        <f>MAX(0,N134-(R64+R77),Z70)</f>
        <v>0</v>
      </c>
      <c r="AH72" s="773"/>
    </row>
    <row r="73" spans="1:40" x14ac:dyDescent="0.35">
      <c r="A73" s="146" t="s">
        <v>7916</v>
      </c>
      <c r="C73" s="800" t="s">
        <v>4091</v>
      </c>
      <c r="E73" s="752"/>
      <c r="F73" s="1463" t="str">
        <f>"from "&amp;E17</f>
        <v>from c5.3</v>
      </c>
      <c r="G73" s="803"/>
      <c r="H73" s="142"/>
      <c r="J73" s="773" t="str">
        <f>"lower of "&amp;E8&amp;" and "&amp;AG17</f>
        <v>lower of c5.1 and c5.6</v>
      </c>
      <c r="M73" s="1462"/>
      <c r="N73" s="1463" t="str">
        <f>"lower of ("&amp;E8&amp;" minus "&amp;I103&amp;") and "&amp;Y17</f>
        <v>lower of (c5.1 minus c5.47) and c5.5</v>
      </c>
      <c r="P73" s="3045"/>
      <c r="Q73" s="3045"/>
      <c r="R73" s="3044" t="str">
        <f>Q77&amp;" = lower of "&amp;M103&amp;" and ("&amp;E17&amp;" minus ("&amp;I74&amp;" + "&amp;Q64&amp;"))"</f>
        <v>c5.56f = lower of c5.52 and (c5.3 minus (c5.44 + c5.56e))</v>
      </c>
      <c r="S73" s="773"/>
      <c r="T73" s="1141"/>
      <c r="U73" s="2873"/>
      <c r="V73" s="1505" t="s">
        <v>7365</v>
      </c>
      <c r="W73" s="1506"/>
      <c r="X73" s="1506"/>
      <c r="Y73" s="1506"/>
      <c r="Z73" s="1463" t="str">
        <f>"lower of (("&amp;Q17&amp;" + "&amp;Y17&amp;") minus ("&amp;Q64&amp;" + "&amp;Q77&amp;")) and "&amp;Y72</f>
        <v>lower of ((c5.4 + c5.5) minus (c5.56e + c5.56f)) and c5.61</v>
      </c>
      <c r="AE73" s="773"/>
      <c r="AF73" s="752"/>
      <c r="AG73" s="3106"/>
      <c r="AH73" s="1463" t="str">
        <f>I74&amp;" + "&amp;Q64&amp;" + "&amp;Q77&amp;" + "&amp;Y74</f>
        <v>c5.44 + c5.56e + c5.56f + c5.62</v>
      </c>
      <c r="AI73" s="752"/>
      <c r="AJ73" s="752"/>
      <c r="AL73" s="143" t="str">
        <f>E74&amp;" minus "&amp;AG74</f>
        <v>c5.35 minus c5.67</v>
      </c>
      <c r="AN73" s="834" t="s">
        <v>4091</v>
      </c>
    </row>
    <row r="74" spans="1:40" s="786" customFormat="1" x14ac:dyDescent="0.35">
      <c r="A74" s="146" t="s">
        <v>7917</v>
      </c>
      <c r="C74" s="834" t="s">
        <v>1430</v>
      </c>
      <c r="E74" s="2978" t="str">
        <f>A39</f>
        <v>c5.35</v>
      </c>
      <c r="F74" s="2878">
        <f>F17</f>
        <v>0</v>
      </c>
      <c r="G74" s="1931"/>
      <c r="H74" s="1930"/>
      <c r="I74" s="2978" t="str">
        <f>A48</f>
        <v>c5.44</v>
      </c>
      <c r="J74" s="1175">
        <f>MIN(F8,AH17)</f>
        <v>0</v>
      </c>
      <c r="M74" s="2980" t="str">
        <f>A56</f>
        <v>c5.49</v>
      </c>
      <c r="N74" s="2979">
        <f>MAX(0,MIN(F8-J103,Z17))</f>
        <v>0</v>
      </c>
      <c r="P74" s="3045"/>
      <c r="Q74" s="3045"/>
      <c r="R74" s="3045" t="s">
        <v>2520</v>
      </c>
      <c r="S74" s="1932"/>
      <c r="T74" s="1141"/>
      <c r="U74" s="3074" t="s">
        <v>7529</v>
      </c>
      <c r="V74" s="3075"/>
      <c r="Y74" s="2978" t="str">
        <f>A100</f>
        <v>c5.62</v>
      </c>
      <c r="Z74" s="3021">
        <f>MAX(0,MIN((R17+Z17)-(R64+R77),Z72))</f>
        <v>0</v>
      </c>
      <c r="AE74" s="3022"/>
      <c r="AG74" s="2978" t="str">
        <f>A105</f>
        <v>c5.67</v>
      </c>
      <c r="AH74" s="3021">
        <f>J74+R64+R77+Z74</f>
        <v>0</v>
      </c>
      <c r="AK74" s="2978" t="str">
        <f>A115</f>
        <v>c5.76</v>
      </c>
      <c r="AL74" s="1175">
        <f>MAX(0,F74-AH74)</f>
        <v>0</v>
      </c>
      <c r="AN74" s="834" t="s">
        <v>1430</v>
      </c>
    </row>
    <row r="75" spans="1:40" x14ac:dyDescent="0.35">
      <c r="A75" s="146" t="s">
        <v>7579</v>
      </c>
      <c r="G75" s="803"/>
      <c r="H75" s="142"/>
      <c r="P75" s="3045"/>
      <c r="Q75" s="3045"/>
      <c r="R75" s="3044" t="str">
        <f>Q77&amp;" = lower of ("&amp;E17&amp;" minus "&amp;I74&amp;")"&amp;" and "&amp;Q71</f>
        <v>c5.56f = lower of (c5.3 minus c5.44) and c5.56e1</v>
      </c>
      <c r="T75" s="146"/>
      <c r="U75" s="146"/>
      <c r="V75" s="146"/>
      <c r="Z75" s="1566"/>
      <c r="AC75" s="146"/>
      <c r="AD75" s="146"/>
      <c r="AH75" s="146"/>
      <c r="AN75" s="798"/>
    </row>
    <row r="76" spans="1:40" x14ac:dyDescent="0.35">
      <c r="A76" s="146" t="s">
        <v>7580</v>
      </c>
      <c r="G76" s="803"/>
      <c r="H76" s="142"/>
      <c r="P76" s="3045"/>
      <c r="Q76" s="3045"/>
      <c r="R76" s="3045" t="s">
        <v>2638</v>
      </c>
      <c r="T76" s="146"/>
      <c r="U76" s="146"/>
      <c r="V76" s="146"/>
      <c r="AC76" s="146"/>
      <c r="AD76" s="146"/>
      <c r="AH76" s="146"/>
      <c r="AN76" s="798"/>
    </row>
    <row r="77" spans="1:40" x14ac:dyDescent="0.35">
      <c r="A77" s="146" t="s">
        <v>7581</v>
      </c>
      <c r="G77" s="803"/>
      <c r="H77" s="142"/>
      <c r="P77" s="146"/>
      <c r="Q77" s="3027" t="str">
        <f>A83</f>
        <v>c5.56f</v>
      </c>
      <c r="R77" s="3330">
        <f>IF(N156&gt;N142,MAX(0,MIN(N103,F17-(J74+R64))),MIN(MAX(0,F17-J74),R71))</f>
        <v>0</v>
      </c>
      <c r="T77" s="146"/>
      <c r="U77" s="146"/>
      <c r="V77" s="146"/>
      <c r="Z77" s="146" t="s">
        <v>6786</v>
      </c>
      <c r="AC77" s="146"/>
      <c r="AD77" s="146"/>
      <c r="AH77" s="146"/>
      <c r="AN77" s="798"/>
    </row>
    <row r="78" spans="1:40" x14ac:dyDescent="0.35">
      <c r="A78" s="146" t="s">
        <v>7918</v>
      </c>
      <c r="C78" s="413"/>
      <c r="G78" s="803"/>
      <c r="H78" s="142"/>
      <c r="N78" s="146" t="s">
        <v>6786</v>
      </c>
      <c r="R78" s="146"/>
      <c r="S78" s="146"/>
      <c r="T78" s="1462"/>
      <c r="U78" s="1462"/>
      <c r="V78" s="1463" t="str">
        <f>"lower of ("&amp;E8&amp;" minus ("&amp;I103&amp;" + "&amp;I113&amp;" + "</f>
        <v xml:space="preserve">lower of (c5.1 minus (c5.47 + c5.48 + </v>
      </c>
      <c r="Z78" s="773" t="str">
        <f>"("&amp;E8&amp;" minus"</f>
        <v>(c5.1 minus</v>
      </c>
      <c r="AC78" s="146"/>
      <c r="AD78" s="146"/>
      <c r="AE78" s="416"/>
      <c r="AF78" s="416"/>
      <c r="AG78" s="416"/>
      <c r="AH78" s="146"/>
      <c r="AI78" s="416"/>
      <c r="AJ78" s="416"/>
      <c r="AK78" s="416"/>
      <c r="AL78" s="416"/>
      <c r="AM78" s="416"/>
    </row>
    <row r="79" spans="1:40" x14ac:dyDescent="0.35">
      <c r="A79" s="146" t="s">
        <v>7919</v>
      </c>
      <c r="C79" s="413"/>
      <c r="G79" s="803"/>
      <c r="H79" s="142"/>
      <c r="N79" s="1507" t="str">
        <f>"("&amp;E8&amp;" minus ("&amp;I103&amp;" + "&amp;M74&amp;") and"</f>
        <v>(c5.1 minus (c5.47 + c5.49) and</v>
      </c>
      <c r="Q79" s="146"/>
      <c r="R79" s="3044" t="str">
        <f>"lower of ("&amp;M103&amp;" minus "&amp;Q77&amp;")"</f>
        <v>lower of (c5.52 minus c5.56f)</v>
      </c>
      <c r="S79" s="773"/>
      <c r="T79" s="1462"/>
      <c r="U79" s="1462"/>
      <c r="V79" s="3044" t="str">
        <f>Q103&amp;" + "&amp;Q113&amp;")) and"</f>
        <v>c5.56i + c5.58)) and</v>
      </c>
      <c r="Z79" s="1463" t="str">
        <f>"("&amp;I103&amp;" + "&amp;I113&amp;" + "&amp;U103&amp;" + "&amp;Q113&amp;" + "&amp;Y74&amp;") and"</f>
        <v>(c5.47 + c5.48 + c5.58f + c5.58 + c5.62) and</v>
      </c>
      <c r="AC79" s="146"/>
      <c r="AD79" s="146"/>
      <c r="AE79" s="416"/>
      <c r="AF79" s="416"/>
      <c r="AG79" s="416"/>
      <c r="AH79" s="146"/>
      <c r="AI79" s="416"/>
      <c r="AJ79" s="416"/>
      <c r="AK79" s="416"/>
      <c r="AL79" s="416"/>
      <c r="AM79" s="416"/>
    </row>
    <row r="80" spans="1:40" x14ac:dyDescent="0.35">
      <c r="A80" s="146" t="s">
        <v>7629</v>
      </c>
      <c r="C80" s="800" t="s">
        <v>678</v>
      </c>
      <c r="F80" s="109" t="str">
        <f>"from "&amp;'NS income (c1)'!I135</f>
        <v>from c1.58</v>
      </c>
      <c r="G80" s="803"/>
      <c r="H80" s="142"/>
      <c r="J80" s="1507" t="str">
        <f>"lower of ("&amp;E8&amp;" minus "&amp;I74&amp;") and "&amp;AG55</f>
        <v>lower of (c5.1 minus c5.44) and c5.34d</v>
      </c>
      <c r="N80" s="1507" t="str">
        <f>Y55&amp;")"</f>
        <v>c5.34c)</v>
      </c>
      <c r="Q80" s="146"/>
      <c r="R80" s="3044" t="str">
        <f>"and ("&amp;E55&amp;" minus "&amp;I81&amp;")"</f>
        <v>and (c5.34a minus c5.45)</v>
      </c>
      <c r="S80" s="773"/>
      <c r="T80" s="1462"/>
      <c r="U80" s="1462"/>
      <c r="V80" s="1463" t="str">
        <f>Y55</f>
        <v>c5.34c</v>
      </c>
      <c r="Z80" s="1463" t="str">
        <f>Q55&amp;")"</f>
        <v>c5.34b)</v>
      </c>
      <c r="AE80" s="753"/>
      <c r="AG80" s="2983"/>
      <c r="AH80" s="3044" t="str">
        <f>I81&amp;" + "&amp;Q81&amp;" + "&amp;U81&amp;" + "&amp;Y81</f>
        <v>c5.45 + c5.56g + c5.58c + c5.63</v>
      </c>
      <c r="AL80" s="153" t="str">
        <f>E81&amp;" minus "&amp;AG81</f>
        <v>c5.36 minus c5.68</v>
      </c>
      <c r="AN80" s="800" t="s">
        <v>678</v>
      </c>
    </row>
    <row r="81" spans="1:40" s="786" customFormat="1" x14ac:dyDescent="0.35">
      <c r="A81" s="146" t="s">
        <v>7655</v>
      </c>
      <c r="C81" s="834" t="s">
        <v>677</v>
      </c>
      <c r="E81" s="2982" t="str">
        <f>A40</f>
        <v>c5.36</v>
      </c>
      <c r="F81" s="3025">
        <f>'NS income (c1)'!J135</f>
        <v>0</v>
      </c>
      <c r="G81" s="1931"/>
      <c r="H81" s="1930"/>
      <c r="I81" s="2978" t="str">
        <f>A49</f>
        <v>c5.45</v>
      </c>
      <c r="J81" s="1175">
        <f>MAX(0,MIN(F8-J74,AH55))</f>
        <v>0</v>
      </c>
      <c r="M81" s="3020" t="str">
        <f>A57</f>
        <v>c5.50</v>
      </c>
      <c r="N81" s="1175">
        <f>MAX(0,MIN(F8-(J103+N74),Z55))</f>
        <v>0</v>
      </c>
      <c r="Q81" s="3027" t="str">
        <f>A84</f>
        <v>c5.56g</v>
      </c>
      <c r="R81" s="3330">
        <f>MAX(0,MIN(N103-R77,F55-J81))</f>
        <v>0</v>
      </c>
      <c r="S81" s="1932"/>
      <c r="T81" s="146"/>
      <c r="U81" s="3027" t="str">
        <f>A93</f>
        <v>c5.58c</v>
      </c>
      <c r="V81" s="3021">
        <f>MAX(0,MIN(F8-(J103+J113+R103+R113),Z55))</f>
        <v>0</v>
      </c>
      <c r="Y81" s="2978" t="str">
        <f>A101</f>
        <v>c5.63</v>
      </c>
      <c r="Z81" s="3021">
        <f>MAX(0,MIN(F8-V103-J103-J113-R113-Z74,R55))</f>
        <v>0</v>
      </c>
      <c r="AE81" s="3022"/>
      <c r="AG81" s="2982" t="str">
        <f>A106</f>
        <v>c5.68</v>
      </c>
      <c r="AH81" s="3028">
        <f>J81+R81+V81+Z81</f>
        <v>0</v>
      </c>
      <c r="AK81" s="2982" t="str">
        <f>A116</f>
        <v>c5.77</v>
      </c>
      <c r="AL81" s="3023">
        <f>MAX(0,F81-AH81)</f>
        <v>0</v>
      </c>
      <c r="AN81" s="834" t="s">
        <v>677</v>
      </c>
    </row>
    <row r="82" spans="1:40" x14ac:dyDescent="0.35">
      <c r="A82" s="146" t="s">
        <v>8051</v>
      </c>
      <c r="G82" s="803"/>
      <c r="H82" s="142"/>
      <c r="R82" s="146"/>
      <c r="T82" s="146"/>
      <c r="U82" s="146"/>
      <c r="V82" s="146"/>
      <c r="Z82" s="1566"/>
      <c r="AC82" s="146"/>
      <c r="AD82" s="146"/>
      <c r="AH82" s="146"/>
      <c r="AN82" s="798"/>
    </row>
    <row r="83" spans="1:40" x14ac:dyDescent="0.35">
      <c r="A83" s="146" t="s">
        <v>7656</v>
      </c>
      <c r="G83" s="803"/>
      <c r="H83" s="142"/>
      <c r="I83" s="1462"/>
      <c r="J83" s="1462" t="str">
        <f>"lower of "&amp;AG36&amp;" and"</f>
        <v>lower of c5.21 and</v>
      </c>
      <c r="M83" s="1506"/>
      <c r="N83" s="1506" t="str">
        <f>"lower of "&amp;Y36&amp;" and"</f>
        <v>lower of c5.20 and</v>
      </c>
      <c r="R83" s="146"/>
      <c r="T83" s="146"/>
      <c r="U83" s="146"/>
      <c r="V83" s="146"/>
      <c r="AC83" s="146"/>
      <c r="AD83" s="146"/>
      <c r="AH83" s="146"/>
      <c r="AN83" s="798"/>
    </row>
    <row r="84" spans="1:40" x14ac:dyDescent="0.35">
      <c r="A84" s="146" t="s">
        <v>7657</v>
      </c>
      <c r="G84" s="803"/>
      <c r="H84" s="142"/>
      <c r="I84" s="1462"/>
      <c r="J84" s="1463" t="str">
        <f>"("&amp;E36&amp;" minus ("&amp;'Deductions (c4)'!L326&amp;" + SR_band ("&amp;DOLLAR(SR_band,0)&amp;")))"</f>
        <v>(c5.11 minus (c4.79 + SR_band (£5,000)))</v>
      </c>
      <c r="L84" s="1506"/>
      <c r="M84" s="1506"/>
      <c r="N84" s="1507" t="str">
        <f>"("&amp;E36&amp;" minus ("&amp;'Deductions (c4)'!L326&amp;" + SR_band ("&amp;DOLLAR(SR_band,0)&amp;")) + "&amp;I100&amp;")"</f>
        <v>(c5.11 minus (c4.79 + SR_band (£5,000)) + c5.46)</v>
      </c>
      <c r="R84" s="146"/>
      <c r="T84" s="146"/>
      <c r="U84" s="146"/>
      <c r="V84" s="146"/>
      <c r="AC84" s="146"/>
      <c r="AD84" s="146"/>
      <c r="AH84" s="146"/>
      <c r="AL84" s="773"/>
      <c r="AN84" s="798"/>
    </row>
    <row r="85" spans="1:40" x14ac:dyDescent="0.35">
      <c r="A85" s="146" t="s">
        <v>7658</v>
      </c>
      <c r="G85" s="803"/>
      <c r="H85" s="142"/>
      <c r="I85" s="2980" t="str">
        <f>A50</f>
        <v>c5.45a</v>
      </c>
      <c r="J85" s="2979">
        <f>MAX(0,MIN(AH36,F36-(PSA+SR_band)))</f>
        <v>0</v>
      </c>
      <c r="M85" s="2980" t="str">
        <f>A58</f>
        <v>c5.50a</v>
      </c>
      <c r="N85" s="2981">
        <f>MAX(0,MIN(Z36,F36-(PSA+SR_band+J100)))</f>
        <v>0</v>
      </c>
      <c r="R85" s="146"/>
      <c r="T85" s="146"/>
      <c r="U85" s="146"/>
      <c r="V85" s="146"/>
      <c r="AC85" s="146"/>
      <c r="AD85" s="146"/>
      <c r="AH85" s="146"/>
      <c r="AN85" s="798"/>
    </row>
    <row r="86" spans="1:40" x14ac:dyDescent="0.35">
      <c r="A86" s="146" t="s">
        <v>7659</v>
      </c>
      <c r="C86" s="413"/>
      <c r="G86" s="803"/>
      <c r="H86" s="142"/>
      <c r="I86" s="1462"/>
      <c r="J86" s="1463" t="str">
        <f>"lower of "&amp;I85&amp;" and"</f>
        <v>lower of c5.45a and</v>
      </c>
      <c r="M86" s="1462"/>
      <c r="N86" s="1463" t="str">
        <f>"lower of "&amp;M85&amp;" and"</f>
        <v>lower of c5.50a and</v>
      </c>
      <c r="R86" s="146"/>
      <c r="T86" s="146"/>
      <c r="U86" s="146"/>
      <c r="V86" s="146"/>
      <c r="AC86" s="146"/>
      <c r="AD86" s="146"/>
      <c r="AE86" s="416"/>
      <c r="AH86" s="146"/>
      <c r="AI86" s="416"/>
      <c r="AJ86" s="416"/>
      <c r="AK86" s="416"/>
      <c r="AL86" s="416"/>
      <c r="AM86" s="416"/>
    </row>
    <row r="87" spans="1:40" ht="12.75" x14ac:dyDescent="0.35">
      <c r="A87" s="146" t="s">
        <v>7893</v>
      </c>
      <c r="C87" s="413"/>
      <c r="G87" s="803"/>
      <c r="H87" s="142"/>
      <c r="I87" s="1462"/>
      <c r="J87" s="1463" t="str">
        <f>"("&amp;E8&amp;" minus ("&amp;I74&amp;" + "&amp;I81&amp;" + "&amp;AC36&amp;"))"</f>
        <v>(c5.1 minus (c5.44 + c5.45 + c5.20c))</v>
      </c>
      <c r="L87" s="1506"/>
      <c r="M87" s="1462"/>
      <c r="N87" s="1463" t="str">
        <f>"("&amp;E8&amp;" minus ("&amp;I74&amp;" + "&amp;I81&amp;" + "&amp;M74&amp;" + "&amp;M81&amp;"))"</f>
        <v>(c5.1 minus (c5.44 + c5.45 + c5.49 + c5.50))</v>
      </c>
      <c r="R87" s="3103"/>
      <c r="T87" s="146"/>
      <c r="U87" s="146"/>
      <c r="V87" s="146"/>
      <c r="AC87" s="146"/>
      <c r="AD87" s="146"/>
      <c r="AE87" s="416"/>
      <c r="AH87" s="146"/>
      <c r="AI87" s="416"/>
      <c r="AJ87" s="416"/>
      <c r="AK87" s="416"/>
      <c r="AL87" s="416"/>
      <c r="AM87" s="416"/>
    </row>
    <row r="88" spans="1:40" x14ac:dyDescent="0.35">
      <c r="A88" s="146" t="s">
        <v>6812</v>
      </c>
      <c r="G88" s="803"/>
      <c r="H88" s="142"/>
      <c r="I88" s="2980" t="str">
        <f>A51</f>
        <v>c5.45b</v>
      </c>
      <c r="J88" s="2979">
        <f>MIN(J85,MAX(0,MIN(F8-(J74+J81+AD36))))</f>
        <v>0</v>
      </c>
      <c r="M88" s="2980" t="str">
        <f>A59</f>
        <v>c5.50b</v>
      </c>
      <c r="N88" s="2979">
        <f>MAX(0,MIN(N85,F8-(J74+J81+N74+N81)))</f>
        <v>0</v>
      </c>
      <c r="O88" s="773"/>
      <c r="R88" s="146"/>
      <c r="T88" s="146"/>
      <c r="U88" s="146"/>
      <c r="V88" s="146"/>
      <c r="AE88" s="1077"/>
      <c r="AH88" s="146"/>
    </row>
    <row r="89" spans="1:40" x14ac:dyDescent="0.35">
      <c r="A89" s="146" t="s">
        <v>7582</v>
      </c>
      <c r="G89" s="803"/>
      <c r="H89" s="142"/>
      <c r="I89" s="1462"/>
      <c r="J89" s="1462" t="str">
        <f>"lower of "&amp;AG36&amp;" and"</f>
        <v>lower of c5.21 and</v>
      </c>
      <c r="M89" s="1462"/>
      <c r="N89" s="1462" t="str">
        <f>"lower of "&amp;Y36&amp;" and"</f>
        <v>lower of c5.20 and</v>
      </c>
      <c r="R89" s="146"/>
      <c r="T89" s="146"/>
      <c r="U89" s="146"/>
      <c r="V89" s="146"/>
      <c r="AH89" s="146"/>
    </row>
    <row r="90" spans="1:40" x14ac:dyDescent="0.35">
      <c r="A90" s="146" t="s">
        <v>6813</v>
      </c>
      <c r="G90" s="803"/>
      <c r="H90" s="142"/>
      <c r="I90" s="1462"/>
      <c r="J90" s="1463" t="str">
        <f>"("&amp;E8&amp;" minus ("&amp;I74&amp;" + "&amp;I81&amp;" + "&amp;AC36&amp;"))"</f>
        <v>(c5.1 minus (c5.44 + c5.45 + c5.20c))</v>
      </c>
      <c r="M90" s="1462"/>
      <c r="N90" s="1463" t="str">
        <f>"("&amp;E8&amp;" minus ("&amp;I103&amp;" + "&amp;M74&amp;" + "&amp;M81&amp;"))"</f>
        <v>(c5.1 minus (c5.47 + c5.49 + c5.50))</v>
      </c>
      <c r="R90" s="146"/>
      <c r="T90" s="146"/>
      <c r="U90" s="146"/>
      <c r="V90" s="146"/>
      <c r="AH90" s="146"/>
    </row>
    <row r="91" spans="1:40" x14ac:dyDescent="0.35">
      <c r="A91" s="146" t="s">
        <v>7528</v>
      </c>
      <c r="G91" s="803"/>
      <c r="H91" s="142"/>
      <c r="I91" s="2980" t="str">
        <f>A52</f>
        <v>c5.45c</v>
      </c>
      <c r="J91" s="2979">
        <f>MAX(0,MIN(AH36,F8-(J74+J81+AD36)))</f>
        <v>0</v>
      </c>
      <c r="L91" s="1506"/>
      <c r="M91" s="2980" t="str">
        <f>A60</f>
        <v>c5.50c</v>
      </c>
      <c r="N91" s="2979">
        <f>MAX(0,MIN(F8-(J103+N74+N81),Z36))</f>
        <v>0</v>
      </c>
      <c r="R91" s="146"/>
      <c r="T91" s="146"/>
      <c r="U91" s="146"/>
      <c r="V91" s="146"/>
      <c r="AH91" s="146"/>
    </row>
    <row r="92" spans="1:40" x14ac:dyDescent="0.35">
      <c r="A92" s="146" t="s">
        <v>7529</v>
      </c>
      <c r="G92" s="803"/>
      <c r="H92" s="142"/>
      <c r="I92" s="146"/>
      <c r="J92" s="146"/>
      <c r="M92" s="1462"/>
      <c r="N92" s="2771" t="str">
        <f>"lower of "&amp;M91&amp;" and"</f>
        <v>lower of c5.50c and</v>
      </c>
      <c r="R92" s="146"/>
      <c r="T92" s="146"/>
      <c r="U92" s="146"/>
      <c r="V92" s="1505" t="s">
        <v>7365</v>
      </c>
      <c r="AH92" s="146"/>
    </row>
    <row r="93" spans="1:40" x14ac:dyDescent="0.35">
      <c r="A93" s="146" t="s">
        <v>7530</v>
      </c>
      <c r="G93" s="803"/>
      <c r="H93" s="142"/>
      <c r="I93" s="146"/>
      <c r="J93" s="146"/>
      <c r="M93" s="1462"/>
      <c r="N93" s="1463" t="str">
        <f>"("&amp;E36&amp;" minus "&amp;'Deductions (c4)'!L326&amp;")"</f>
        <v>(c5.11 minus c4.79)</v>
      </c>
      <c r="R93" s="146"/>
      <c r="T93" s="146"/>
      <c r="U93" s="3027" t="str">
        <f>A94</f>
        <v>c5.58d</v>
      </c>
      <c r="V93" s="3021"/>
      <c r="AH93" s="146"/>
    </row>
    <row r="94" spans="1:40" x14ac:dyDescent="0.35">
      <c r="A94" s="146" t="s">
        <v>7531</v>
      </c>
      <c r="G94" s="803"/>
      <c r="H94" s="142"/>
      <c r="I94" s="146"/>
      <c r="J94" s="146"/>
      <c r="M94" s="2980" t="str">
        <f>A61</f>
        <v>c5.50d</v>
      </c>
      <c r="N94" s="2979">
        <f>MAX(0,MIN(N91,F36-PSA))</f>
        <v>0</v>
      </c>
      <c r="R94" s="146"/>
      <c r="T94" s="146"/>
      <c r="U94" s="146"/>
      <c r="V94" s="146"/>
      <c r="AH94" s="146"/>
    </row>
    <row r="95" spans="1:40" x14ac:dyDescent="0.35">
      <c r="A95" s="146" t="s">
        <v>7532</v>
      </c>
      <c r="E95" s="2873"/>
      <c r="F95" s="2874" t="s">
        <v>4334</v>
      </c>
      <c r="G95" s="803"/>
      <c r="H95" s="142"/>
      <c r="I95" s="146"/>
      <c r="J95" s="1463" t="str">
        <f>"if "&amp;E17&amp;" minus "&amp;E8&amp;" &lt; "&amp;Q8</f>
        <v>if c5.3 minus c5.1 &lt; c5.2</v>
      </c>
      <c r="M95" s="1462"/>
      <c r="N95" s="1463" t="str">
        <f>"if "&amp;E17&amp;" minus "&amp;E8&amp;" &lt; SR_band ("&amp;DOLLAR(SR_band,0)&amp;")"</f>
        <v>if c5.3 minus c5.1 &lt; SR_band (£5,000)</v>
      </c>
      <c r="R95" s="146"/>
      <c r="T95" s="1462"/>
      <c r="U95" s="1462"/>
      <c r="V95" s="2958"/>
      <c r="AH95" s="146"/>
    </row>
    <row r="96" spans="1:40" x14ac:dyDescent="0.35">
      <c r="A96" s="146" t="s">
        <v>7533</v>
      </c>
      <c r="E96" s="2873"/>
      <c r="F96" s="2873" t="str">
        <f>E100&amp;" = "&amp;'non-res (c91)'!M58</f>
        <v>c5.37 = c91.14</v>
      </c>
      <c r="G96" s="803"/>
      <c r="H96" s="142"/>
      <c r="I96" s="146"/>
      <c r="J96" s="1463" t="str">
        <f>I100&amp;" = "&amp;I88</f>
        <v>c5.46 = c5.45b</v>
      </c>
      <c r="M96" s="1462"/>
      <c r="N96" s="1463" t="str">
        <f>M100&amp;" = "&amp;M88</f>
        <v>c5.51 = c5.50b</v>
      </c>
      <c r="R96" s="146"/>
      <c r="S96" s="146"/>
      <c r="T96" s="1462"/>
      <c r="U96" s="1462"/>
      <c r="V96" s="2958"/>
      <c r="Z96" s="146" t="s">
        <v>6786</v>
      </c>
      <c r="AH96" s="146"/>
    </row>
    <row r="97" spans="1:40" x14ac:dyDescent="0.35">
      <c r="A97" s="146" t="s">
        <v>6814</v>
      </c>
      <c r="E97" s="2873"/>
      <c r="F97" s="2873" t="s">
        <v>2520</v>
      </c>
      <c r="G97" s="803"/>
      <c r="H97" s="142"/>
      <c r="I97" s="146"/>
      <c r="J97" s="1462" t="s">
        <v>2520</v>
      </c>
      <c r="M97" s="1462"/>
      <c r="N97" s="1462" t="s">
        <v>2520</v>
      </c>
      <c r="R97" s="146"/>
      <c r="S97" s="773"/>
      <c r="T97" s="1462"/>
      <c r="U97" s="1462"/>
      <c r="V97" s="3044" t="str">
        <f>"lower of ("&amp;E8&amp;" minus ("&amp;I103&amp;" + "&amp;I113&amp;" + "</f>
        <v xml:space="preserve">lower of (c5.1 minus (c5.47 + c5.48 + </v>
      </c>
      <c r="Z97" s="773" t="str">
        <f>"("&amp;E8&amp;" minus"</f>
        <v>(c5.1 minus</v>
      </c>
      <c r="AA97" s="1506"/>
      <c r="AB97" s="1506"/>
      <c r="AC97" s="1506"/>
      <c r="AD97" s="1462" t="s">
        <v>6786</v>
      </c>
      <c r="AF97" s="416"/>
      <c r="AG97" s="416"/>
      <c r="AH97" s="146"/>
    </row>
    <row r="98" spans="1:40" x14ac:dyDescent="0.35">
      <c r="A98" s="146" t="s">
        <v>6815</v>
      </c>
      <c r="E98" s="2873"/>
      <c r="F98" s="2873" t="str">
        <f>E100&amp;" = "&amp;'Savings (c2)'!H75</f>
        <v>c5.37 = c2.19</v>
      </c>
      <c r="G98" s="803"/>
      <c r="H98" s="142"/>
      <c r="I98" s="146"/>
      <c r="J98" s="1463" t="str">
        <f>I100&amp;" = "&amp;I91</f>
        <v>c5.46 = c5.45c</v>
      </c>
      <c r="M98" s="1462"/>
      <c r="N98" s="1463" t="str">
        <f>M100&amp;" = "&amp;M94</f>
        <v>c5.51 = c5.50d</v>
      </c>
      <c r="Q98" s="146"/>
      <c r="R98" s="3044" t="str">
        <f>"lower of ("&amp;M103&amp;" minus ("&amp;Q77&amp;" + "&amp;Q81&amp;"))"</f>
        <v>lower of (c5.52 minus (c5.56f + c5.56g))</v>
      </c>
      <c r="S98" s="773"/>
      <c r="T98" s="1462"/>
      <c r="U98" s="1462"/>
      <c r="V98" s="3044" t="str">
        <f>Q103&amp;" + "&amp;Q113&amp;" + "&amp;U81&amp;")) and"</f>
        <v>c5.56i + c5.58 + c5.58c)) and</v>
      </c>
      <c r="Z98" s="3044" t="str">
        <f>"("&amp;I103&amp;" + "&amp;I113&amp;" + "&amp;Q113&amp;" + "&amp;U103&amp;" + "&amp;Y74&amp;" + "&amp;Y81&amp;")) and"</f>
        <v>(c5.47 + c5.48 + c5.58 + c5.58f + c5.62 + c5.63)) and</v>
      </c>
      <c r="AA98" s="1506"/>
      <c r="AB98" s="1506"/>
      <c r="AC98" s="1506"/>
      <c r="AD98" s="1463" t="str">
        <f>E8&amp;" minus ("&amp;I103&amp;" + "&amp;I113&amp;" + "&amp;Q113&amp;" + "&amp;U103&amp;" + "&amp;Y103&amp;" + "&amp;Y113&amp;")"</f>
        <v>c5.1 minus (c5.47 + c5.48 + c5.58 + c5.58f + c5.65 + c5.66)</v>
      </c>
      <c r="AF98" s="416"/>
      <c r="AG98" s="416"/>
      <c r="AH98" s="146"/>
    </row>
    <row r="99" spans="1:40" x14ac:dyDescent="0.35">
      <c r="A99" s="146" t="s">
        <v>6816</v>
      </c>
      <c r="C99" s="800" t="s">
        <v>1603</v>
      </c>
      <c r="E99" s="1506"/>
      <c r="F99" s="1463" t="str">
        <f>"from "&amp;E36</f>
        <v>from c5.11</v>
      </c>
      <c r="G99" s="803"/>
      <c r="H99" s="142"/>
      <c r="I99" s="146"/>
      <c r="J99" s="1462" t="s">
        <v>2638</v>
      </c>
      <c r="M99" s="1462"/>
      <c r="N99" s="1462" t="s">
        <v>2638</v>
      </c>
      <c r="Q99" s="146"/>
      <c r="R99" s="3044" t="str">
        <f>"and ("&amp;E36&amp;" minus ("&amp;U36&amp;" + "&amp;I100&amp;"))"</f>
        <v>and (c5.11 minus (c5.19 + c5.46))</v>
      </c>
      <c r="S99" s="773"/>
      <c r="T99" s="1462"/>
      <c r="U99" s="1462"/>
      <c r="V99" s="1463" t="str">
        <f>Y36</f>
        <v>c5.20</v>
      </c>
      <c r="Z99" s="3042" t="str">
        <f>Q36&amp;""</f>
        <v>c5.16</v>
      </c>
      <c r="AA99" s="1506"/>
      <c r="AB99" s="1506"/>
      <c r="AC99" s="1506"/>
      <c r="AD99" s="1463" t="str">
        <f>"and ("&amp;E36&amp;" minus ("&amp;I100&amp;" + "&amp;U100&amp;" + "&amp;Y100&amp;"))"</f>
        <v>and (c5.11 minus (c5.46 + c5.58e + c5.64))</v>
      </c>
      <c r="AH99" s="3044" t="str">
        <f>I100&amp;" + "&amp;Q100&amp;" + "&amp;U100&amp;" + "&amp;Y100&amp;" + "&amp;AC100</f>
        <v>c5.46 + c5.56h + c5.58e + c5.64 + c5.68a</v>
      </c>
      <c r="AL99" s="153" t="str">
        <f>E100&amp;" minus "&amp;AG100</f>
        <v>c5.37 minus c5.69</v>
      </c>
      <c r="AN99" s="800" t="s">
        <v>1603</v>
      </c>
    </row>
    <row r="100" spans="1:40" s="786" customFormat="1" x14ac:dyDescent="0.35">
      <c r="A100" s="146" t="s">
        <v>6817</v>
      </c>
      <c r="C100" s="834" t="s">
        <v>56</v>
      </c>
      <c r="E100" s="2982" t="str">
        <f>A41</f>
        <v>c5.37</v>
      </c>
      <c r="F100" s="2878">
        <f>F36</f>
        <v>0</v>
      </c>
      <c r="G100" s="1931"/>
      <c r="H100" s="1930"/>
      <c r="I100" s="2978" t="str">
        <f>A53</f>
        <v>c5.46</v>
      </c>
      <c r="J100" s="1175">
        <f>IF(F17-F8&lt;R8,J88,J91)</f>
        <v>0</v>
      </c>
      <c r="M100" s="3027" t="str">
        <f>A62</f>
        <v>c5.51</v>
      </c>
      <c r="N100" s="3021">
        <f>IF(F17-F8&lt;SR_band,N88,N94)</f>
        <v>0</v>
      </c>
      <c r="Q100" s="3027" t="str">
        <f>A85</f>
        <v>c5.56h</v>
      </c>
      <c r="R100" s="3330">
        <f>MAX(0,MIN(N103-(R77+R81),F36-(V36+J100)))</f>
        <v>0</v>
      </c>
      <c r="S100" s="1932"/>
      <c r="T100" s="146"/>
      <c r="U100" s="3027" t="str">
        <f>A95</f>
        <v>c5.58e</v>
      </c>
      <c r="V100" s="3021">
        <f>MAX(0,MIN(F8-(J103+J113+R103+R113+V81),Z36))</f>
        <v>0</v>
      </c>
      <c r="Y100" s="2978" t="str">
        <f>A102</f>
        <v>c5.64</v>
      </c>
      <c r="Z100" s="3021">
        <f>MAX(0,MIN(F8-V103-J103-J113-R113-Z74-Z81,R36))</f>
        <v>0</v>
      </c>
      <c r="AC100" s="3020" t="str">
        <f>A107</f>
        <v>c5.68a</v>
      </c>
      <c r="AD100" s="3021">
        <f>MIN(MAX(0,F8-(J103+J113+R113+V103+Z103+Z113)),F36-(J100+V100+Z100))</f>
        <v>0</v>
      </c>
      <c r="AE100" s="3022"/>
      <c r="AF100" s="815"/>
      <c r="AG100" s="2982" t="str">
        <f>A108</f>
        <v>c5.69</v>
      </c>
      <c r="AH100" s="3482">
        <f>J100+R100+V100+Z100+AD100</f>
        <v>0</v>
      </c>
      <c r="AI100" s="815"/>
      <c r="AJ100" s="815"/>
      <c r="AK100" s="2982" t="str">
        <f>A117</f>
        <v>c5.78</v>
      </c>
      <c r="AL100" s="3023">
        <f>MAX(0,F100-AH100)</f>
        <v>0</v>
      </c>
      <c r="AN100" s="834" t="s">
        <v>1430</v>
      </c>
    </row>
    <row r="101" spans="1:40" x14ac:dyDescent="0.35">
      <c r="A101" s="146" t="s">
        <v>6818</v>
      </c>
      <c r="D101" s="416"/>
      <c r="G101" s="803"/>
      <c r="H101" s="142"/>
      <c r="T101" s="146"/>
      <c r="U101" s="146"/>
      <c r="V101" s="146"/>
      <c r="AF101" s="416"/>
      <c r="AI101" s="416"/>
      <c r="AJ101" s="416"/>
      <c r="AL101" s="2662" t="str">
        <f>"copy to "&amp;'tax it (c6)'!J18</f>
        <v>copy to c6.11</v>
      </c>
      <c r="AN101" s="798"/>
    </row>
    <row r="102" spans="1:40" x14ac:dyDescent="0.35">
      <c r="A102" s="146" t="s">
        <v>6819</v>
      </c>
      <c r="D102" s="416"/>
      <c r="G102" s="803"/>
      <c r="H102" s="142"/>
      <c r="J102" s="773" t="str">
        <f>I74&amp;" + "&amp;I81&amp;" + "&amp;I100</f>
        <v>c5.44 + c5.45 + c5.46</v>
      </c>
      <c r="N102" s="773" t="str">
        <f>M74&amp;" + "&amp;M81&amp;" + "&amp;M100</f>
        <v>c5.49 + c5.50 + c5.51</v>
      </c>
      <c r="R102" s="3044" t="str">
        <f>Q64&amp;" + "&amp;Q77&amp;" + "&amp;Q81&amp;" + "&amp;Q100</f>
        <v>c5.56e + c5.56f + c5.56g + c5.56h</v>
      </c>
      <c r="S102" s="773"/>
      <c r="T102" s="1462"/>
      <c r="U102" s="1462"/>
      <c r="V102" s="3044" t="str">
        <f>Q103&amp;" + "&amp;U81&amp;" + "&amp;U100</f>
        <v>c5.56i + c5.58c + c5.58e</v>
      </c>
      <c r="Z102" s="773" t="str">
        <f>Y74&amp;" + "&amp;Y81&amp;" + "&amp;Y100</f>
        <v>c5.62 + c5.63 + c5.64</v>
      </c>
      <c r="AF102" s="416"/>
      <c r="AI102" s="416"/>
      <c r="AJ102" s="416"/>
      <c r="AL102" s="720"/>
      <c r="AN102" s="798"/>
    </row>
    <row r="103" spans="1:40" x14ac:dyDescent="0.35">
      <c r="A103" s="146" t="s">
        <v>6820</v>
      </c>
      <c r="D103" s="416"/>
      <c r="G103" s="803"/>
      <c r="H103" s="142"/>
      <c r="I103" s="2569" t="str">
        <f>A54</f>
        <v>c5.47</v>
      </c>
      <c r="J103" s="844">
        <f>J74+J81+J100</f>
        <v>0</v>
      </c>
      <c r="M103" s="2569" t="str">
        <f>A63</f>
        <v>c5.52</v>
      </c>
      <c r="N103" s="844">
        <f>N74+N81+N100</f>
        <v>0</v>
      </c>
      <c r="Q103" s="3027" t="str">
        <f>A86</f>
        <v>c5.56i</v>
      </c>
      <c r="R103" s="3021">
        <f>R64+R77+R81+R100</f>
        <v>0</v>
      </c>
      <c r="S103" s="881"/>
      <c r="T103" s="146"/>
      <c r="U103" s="3027" t="str">
        <f>A96</f>
        <v>c5.58f</v>
      </c>
      <c r="V103" s="2979">
        <f>R103+V81+V100</f>
        <v>0</v>
      </c>
      <c r="Y103" s="2569" t="str">
        <f>A103</f>
        <v>c5.65</v>
      </c>
      <c r="Z103" s="844">
        <f>Z74+Z81+Z100</f>
        <v>0</v>
      </c>
      <c r="AF103" s="416"/>
      <c r="AI103" s="416"/>
      <c r="AJ103" s="416"/>
      <c r="AL103" s="720"/>
      <c r="AN103" s="798"/>
    </row>
    <row r="104" spans="1:40" ht="12.75" x14ac:dyDescent="0.35">
      <c r="A104" s="146" t="s">
        <v>6821</v>
      </c>
      <c r="C104" s="413"/>
      <c r="G104" s="803"/>
      <c r="H104" s="142"/>
      <c r="P104" s="3321"/>
      <c r="Q104" s="3041"/>
      <c r="R104" s="3044" t="str">
        <f>E8&amp;" minus "&amp;Q103</f>
        <v>c5.1 minus c5.56i</v>
      </c>
      <c r="S104" s="881"/>
      <c r="T104" s="1636"/>
      <c r="AE104" s="416"/>
      <c r="AF104" s="416"/>
      <c r="AG104" s="416"/>
      <c r="AH104" s="416"/>
      <c r="AI104" s="416"/>
      <c r="AJ104" s="416"/>
      <c r="AK104" s="416"/>
      <c r="AL104" s="416"/>
    </row>
    <row r="105" spans="1:40" x14ac:dyDescent="0.35">
      <c r="A105" s="146" t="s">
        <v>6822</v>
      </c>
      <c r="G105" s="803"/>
      <c r="H105" s="142"/>
      <c r="Q105" s="3317" t="str">
        <f>A87</f>
        <v>c5.56j</v>
      </c>
      <c r="R105" s="2979">
        <f>MAX(0,F8-R103)</f>
        <v>11500</v>
      </c>
    </row>
    <row r="106" spans="1:40" ht="12.75" x14ac:dyDescent="0.35">
      <c r="A106" s="146" t="s">
        <v>6823</v>
      </c>
      <c r="C106" s="413"/>
      <c r="G106" s="803"/>
      <c r="H106" s="142"/>
      <c r="M106" s="2570"/>
      <c r="N106" s="2570"/>
      <c r="O106" s="2570"/>
      <c r="P106" s="1506"/>
      <c r="Q106" s="1506"/>
      <c r="R106" s="1463" t="str">
        <f>"lower of ("&amp;M134&amp;" and ("&amp;Q17&amp;" + "&amp;Q36&amp;"))"</f>
        <v>lower of (c5.56 and (c5.4 + c5.16))</v>
      </c>
      <c r="T106" s="1636"/>
      <c r="AE106" s="416"/>
      <c r="AF106" s="416"/>
      <c r="AG106" s="416"/>
      <c r="AH106" s="110"/>
      <c r="AI106" s="416"/>
      <c r="AJ106" s="416"/>
      <c r="AK106" s="416"/>
      <c r="AL106" s="416"/>
    </row>
    <row r="107" spans="1:40" x14ac:dyDescent="0.35">
      <c r="A107" s="146" t="s">
        <v>7364</v>
      </c>
      <c r="C107" s="413"/>
      <c r="G107" s="803"/>
      <c r="H107" s="142"/>
      <c r="Q107" s="2569" t="str">
        <f>A88</f>
        <v>c5.57</v>
      </c>
      <c r="R107" s="2979">
        <f>MAX(0,MIN(N134,R17+R36))</f>
        <v>0</v>
      </c>
      <c r="S107" s="773"/>
      <c r="T107" s="1636"/>
      <c r="AH107" s="773"/>
    </row>
    <row r="108" spans="1:40" x14ac:dyDescent="0.35">
      <c r="A108" s="146" t="s">
        <v>6824</v>
      </c>
      <c r="C108" s="413"/>
      <c r="E108" s="771"/>
      <c r="F108" s="44" t="s">
        <v>4334</v>
      </c>
      <c r="G108" s="803"/>
      <c r="P108" s="1506"/>
      <c r="Q108" s="1506"/>
      <c r="R108" s="1462" t="s">
        <v>6786</v>
      </c>
      <c r="S108" s="110"/>
      <c r="AH108" s="773"/>
    </row>
    <row r="109" spans="1:40" x14ac:dyDescent="0.35">
      <c r="A109" s="146" t="s">
        <v>6825</v>
      </c>
      <c r="C109" s="413"/>
      <c r="F109" s="793" t="str">
        <f>E113&amp;" = 0 (zero)"</f>
        <v>c5.38 = 0 (zero)</v>
      </c>
      <c r="G109" s="803"/>
      <c r="H109" s="142"/>
      <c r="J109" s="146" t="s">
        <v>6786</v>
      </c>
      <c r="P109" s="1506"/>
      <c r="Q109" s="1506"/>
      <c r="R109" s="1463" t="str">
        <f>"("&amp;E8&amp;" minus ("&amp;I103&amp;" + "&amp;I113&amp;" + "&amp;M103&amp;" + "&amp;Q107&amp;") and"</f>
        <v>(c5.1 minus (c5.47 + c5.48 + c5.52 + c5.57) and</v>
      </c>
      <c r="S109" s="773"/>
      <c r="Z109" s="146" t="s">
        <v>6786</v>
      </c>
      <c r="AE109" s="109"/>
    </row>
    <row r="110" spans="1:40" x14ac:dyDescent="0.35">
      <c r="A110" s="146" t="s">
        <v>6826</v>
      </c>
      <c r="C110" s="413"/>
      <c r="F110" s="146" t="s">
        <v>2520</v>
      </c>
      <c r="G110" s="803"/>
      <c r="H110" s="142"/>
      <c r="I110" s="3041"/>
      <c r="J110" s="3042" t="str">
        <f>"("&amp;E8&amp;" minus ("&amp;Q17&amp;" + "&amp;Q36&amp;" + "&amp;Y17&amp;" + "&amp;Y36&amp;" + "</f>
        <v xml:space="preserve">(c5.1 minus (c5.4 + c5.16 + c5.5 + c5.20 + </v>
      </c>
      <c r="P110" s="1506"/>
      <c r="Q110" s="1506"/>
      <c r="R110" s="1463" t="str">
        <f>Y48&amp;")"</f>
        <v>c5.30)</v>
      </c>
      <c r="S110" s="773"/>
      <c r="Z110" s="773" t="str">
        <f>"("&amp;E8&amp;" minus"</f>
        <v>(c5.1 minus</v>
      </c>
      <c r="AE110" s="773"/>
      <c r="AH110" s="110" t="s">
        <v>2250</v>
      </c>
    </row>
    <row r="111" spans="1:40" x14ac:dyDescent="0.35">
      <c r="A111" s="146" t="s">
        <v>6827</v>
      </c>
      <c r="F111" s="413" t="str">
        <f>E113&amp;" = "&amp;'Divs (c3)'!G16</f>
        <v>c5.38 = c3.5</v>
      </c>
      <c r="G111" s="803"/>
      <c r="H111" s="142"/>
      <c r="J111" s="3041" t="str">
        <f>AG17&amp;" + "&amp;AG36&amp;")) and"</f>
        <v>c5.6 + c5.21)) and</v>
      </c>
      <c r="Q111" s="2810" t="str">
        <f>A89</f>
        <v>c5.57a</v>
      </c>
      <c r="R111" s="2979">
        <f>MAX(0,MIN(F8-(J103+J113+N103+R107),Z48))</f>
        <v>0</v>
      </c>
      <c r="S111" s="773"/>
      <c r="Z111" s="1463" t="str">
        <f>"("&amp;I103&amp;" + "&amp;I113&amp;" + "&amp;Q113&amp;" + "&amp;U103&amp;" + "&amp;Y103&amp;") and"</f>
        <v>(c5.47 + c5.48 + c5.58 + c5.58f + c5.65) and</v>
      </c>
      <c r="AE111" s="753"/>
      <c r="AH111" s="1463" t="str">
        <f>"("&amp;E8&amp;" minus ("&amp;AG74&amp;" + "&amp;AG81&amp;" + "&amp;AG100&amp;" + "&amp;E137&amp;")) and"</f>
        <v>(c5.1 minus (c5.67 + c5.68 + c5.69 + c5.41)) and</v>
      </c>
    </row>
    <row r="112" spans="1:40" x14ac:dyDescent="0.35">
      <c r="A112" s="146" t="s">
        <v>6828</v>
      </c>
      <c r="F112" s="146" t="s">
        <v>3508</v>
      </c>
      <c r="G112" s="803"/>
      <c r="H112" s="2821"/>
      <c r="I112" s="1506"/>
      <c r="J112" s="1507" t="str">
        <f>"("&amp;AG48&amp;" minus (("&amp;Y8&amp;" + HR_band ("&amp;DOLLAR(HR_band,0)&amp;")) minus "&amp;'Deductions (c4)'!L262&amp;"))"</f>
        <v>(c5.34 minus ((c5.2a + HR_band (£116,500)) minus c4.74))</v>
      </c>
      <c r="R112" s="3044" t="str">
        <f>"lower of "&amp;Q105&amp;" and "&amp;Q111</f>
        <v>lower of c5.56j and c5.57a</v>
      </c>
      <c r="S112" s="881"/>
      <c r="Z112" s="773" t="str">
        <f>Q48&amp;")"</f>
        <v>c5.25)</v>
      </c>
      <c r="AE112" s="772"/>
      <c r="AH112" s="3042" t="str">
        <f>"("&amp;I113&amp;" + "&amp;Q113&amp;" + "&amp;Y113&amp;")"</f>
        <v>(c5.48 + c5.58 + c5.66)</v>
      </c>
      <c r="AL112" s="753" t="str">
        <f>E113&amp;" minus "&amp;AG113</f>
        <v>c5.38 minus c5.70</v>
      </c>
    </row>
    <row r="113" spans="1:40" s="786" customFormat="1" x14ac:dyDescent="0.35">
      <c r="A113" s="146" t="s">
        <v>6829</v>
      </c>
      <c r="C113" s="834" t="s">
        <v>4071</v>
      </c>
      <c r="E113" s="2982" t="str">
        <f>A42</f>
        <v>c5.38</v>
      </c>
      <c r="F113" s="3024">
        <f>IF(non_resident,0,'Divs (c3)'!H16)</f>
        <v>0</v>
      </c>
      <c r="G113" s="1931"/>
      <c r="H113" s="1930"/>
      <c r="I113" s="2978" t="str">
        <f>A55</f>
        <v>c5.48</v>
      </c>
      <c r="J113" s="1175">
        <f>MAX(0,MIN(F8-(R17+R36+Z17+Z36+AH17+AH36),AH48-((Z8+HR_band)-'Deductions (c4)'!M262)))</f>
        <v>0</v>
      </c>
      <c r="L113" s="413"/>
      <c r="M113" s="413"/>
      <c r="N113" s="773"/>
      <c r="Q113" s="2978" t="str">
        <f>A90</f>
        <v>c5.58</v>
      </c>
      <c r="R113" s="3021">
        <f>MIN(R105,R111)</f>
        <v>0</v>
      </c>
      <c r="Y113" s="2978" t="str">
        <f>A104</f>
        <v>c5.66</v>
      </c>
      <c r="Z113" s="1175">
        <f>MAX(0,MIN(F8-(J103+J113+R113+V103+Z103),R48))</f>
        <v>0</v>
      </c>
      <c r="AG113" s="2982" t="str">
        <f>A109</f>
        <v>c5.70</v>
      </c>
      <c r="AH113" s="3028">
        <f>MAX(0,F8-(AH74+AH81+AH100+F137),J113+R113+Z113)</f>
        <v>11500</v>
      </c>
      <c r="AK113" s="2982" t="str">
        <f>A118</f>
        <v>c5.79</v>
      </c>
      <c r="AL113" s="3023">
        <f>MAX(0,F113-AH113)</f>
        <v>0</v>
      </c>
      <c r="AN113" s="834" t="s">
        <v>4071</v>
      </c>
    </row>
    <row r="114" spans="1:40" x14ac:dyDescent="0.35">
      <c r="A114" s="146" t="s">
        <v>6830</v>
      </c>
      <c r="G114" s="803"/>
      <c r="H114" s="142"/>
      <c r="L114" s="786"/>
      <c r="M114" s="786"/>
      <c r="N114" s="109" t="str">
        <f>E8&amp;" minus ("&amp;I103&amp;" + "&amp;I113&amp;" + "&amp;M103&amp;")"</f>
        <v>c5.1 minus (c5.47 + c5.48 + c5.52)</v>
      </c>
      <c r="AF114" s="417"/>
      <c r="AI114" s="417"/>
      <c r="AJ114" s="417"/>
      <c r="AK114" s="752"/>
      <c r="AL114" s="2571"/>
      <c r="AN114" s="798"/>
    </row>
    <row r="115" spans="1:40" ht="12.75" x14ac:dyDescent="0.35">
      <c r="A115" s="146" t="s">
        <v>6831</v>
      </c>
      <c r="G115" s="803"/>
      <c r="H115" s="142"/>
      <c r="J115" s="3041"/>
      <c r="K115" s="3041"/>
      <c r="L115" s="3331" t="s">
        <v>8092</v>
      </c>
      <c r="M115" s="2569" t="str">
        <f>A64</f>
        <v>c5.53</v>
      </c>
      <c r="N115" s="844">
        <f>MAX(0,F8-(J103+J113+N103))</f>
        <v>11500</v>
      </c>
    </row>
    <row r="116" spans="1:40" ht="12.75" x14ac:dyDescent="0.35">
      <c r="A116" s="146" t="s">
        <v>6832</v>
      </c>
      <c r="C116" s="413"/>
      <c r="E116" s="771"/>
      <c r="F116" s="44" t="s">
        <v>4334</v>
      </c>
      <c r="G116" s="803"/>
      <c r="H116" s="142"/>
      <c r="L116" s="3329"/>
      <c r="N116" s="773" t="str">
        <f>M115&amp;" minus "&amp;Y48</f>
        <v>c5.53 minus c5.30</v>
      </c>
    </row>
    <row r="117" spans="1:40" ht="12.75" x14ac:dyDescent="0.35">
      <c r="A117" s="146" t="s">
        <v>6833</v>
      </c>
      <c r="C117" s="413"/>
      <c r="F117" s="771" t="str">
        <f>E121&amp;" = 0 (zero)"</f>
        <v>c5.39 = 0 (zero)</v>
      </c>
      <c r="G117" s="803"/>
      <c r="H117" s="142"/>
      <c r="J117" s="3041"/>
      <c r="K117" s="3041"/>
      <c r="L117" s="3331" t="s">
        <v>6803</v>
      </c>
      <c r="M117" s="2569" t="str">
        <f>A65</f>
        <v>c5.54</v>
      </c>
      <c r="N117" s="844">
        <f>MAX(0,N115-Z48)</f>
        <v>11500</v>
      </c>
      <c r="AN117" s="798"/>
    </row>
    <row r="118" spans="1:40" x14ac:dyDescent="0.35">
      <c r="A118" s="146" t="s">
        <v>6834</v>
      </c>
      <c r="F118" s="146" t="s">
        <v>2520</v>
      </c>
      <c r="G118" s="803"/>
      <c r="H118" s="142"/>
      <c r="J118" s="146"/>
      <c r="K118" s="146"/>
      <c r="L118" s="146"/>
      <c r="M118" s="146"/>
      <c r="N118" s="3044" t="str">
        <f>M115&amp;" minus "&amp;M117</f>
        <v>c5.53 minus c5.54</v>
      </c>
      <c r="AN118" s="798"/>
    </row>
    <row r="119" spans="1:40" ht="12.75" x14ac:dyDescent="0.35">
      <c r="A119" s="146" t="s">
        <v>6835</v>
      </c>
      <c r="F119" s="773" t="str">
        <f>E121&amp;" = "&amp;'Divs (c3)'!D39&amp;" + "&amp;'Divs (c3)'!D40</f>
        <v>c5.39 = c3.12 + c3.13</v>
      </c>
      <c r="G119" s="803"/>
      <c r="H119" s="142"/>
      <c r="J119" s="3045"/>
      <c r="K119" s="3045"/>
      <c r="L119" s="3331" t="s">
        <v>8010</v>
      </c>
      <c r="M119" s="3328" t="str">
        <f>A66</f>
        <v>c5.54a</v>
      </c>
      <c r="N119" s="3316">
        <f>MAX(0,N115-N117)</f>
        <v>0</v>
      </c>
      <c r="AE119" s="753"/>
      <c r="AN119" s="798"/>
    </row>
    <row r="120" spans="1:40" x14ac:dyDescent="0.35">
      <c r="A120" s="146" t="s">
        <v>6836</v>
      </c>
      <c r="F120" s="146" t="s">
        <v>3508</v>
      </c>
      <c r="G120" s="803"/>
      <c r="H120" s="142"/>
      <c r="J120" s="3041"/>
      <c r="K120" s="3041"/>
      <c r="L120" s="3041"/>
      <c r="M120" s="3041"/>
      <c r="N120" s="3044" t="str">
        <f>"(("&amp;E17&amp;" + "&amp;E36&amp;" + "&amp;M48&amp;" + "&amp;Q48&amp;" + "&amp;U48&amp;" + "&amp;Y48&amp;") minus "&amp;E8&amp;") minus (BR_band ("&amp;DOLLAR(BR_band,0)&amp;") + "&amp;'Deductions (c4)'!L265&amp;")"</f>
        <v>((c5.3 + c5.11 + c5.24 + c5.25 + c5.29 + c5.30) minus c5.1) minus (BR_band (£33,500) + c4.75)</v>
      </c>
      <c r="AE120" s="772"/>
      <c r="AH120" s="753" t="str">
        <f>AG113&amp;" minus "&amp;E113</f>
        <v>c5.70 minus c5.38</v>
      </c>
      <c r="AL120" s="753" t="str">
        <f>E121&amp;" minus "&amp;AG121</f>
        <v>c5.39 minus c5.71</v>
      </c>
    </row>
    <row r="121" spans="1:40" x14ac:dyDescent="0.35">
      <c r="A121" s="146" t="s">
        <v>6837</v>
      </c>
      <c r="C121" s="800" t="s">
        <v>3573</v>
      </c>
      <c r="E121" s="795" t="str">
        <f>A43</f>
        <v>c5.39</v>
      </c>
      <c r="F121" s="412">
        <f>IF(non_resident,0,'Divs (c3)'!E39+'Divs (c3)'!E40)</f>
        <v>0</v>
      </c>
      <c r="G121" s="803"/>
      <c r="M121" s="3328" t="s">
        <v>8179</v>
      </c>
      <c r="N121" s="3316">
        <f>MAX(0,((F17+F36+N48+R48+V48+Z48)-F8)-(BR_band+'Deductions (c4)'!M265))</f>
        <v>0</v>
      </c>
      <c r="AF121" s="1141"/>
      <c r="AG121" s="2982" t="str">
        <f>A110</f>
        <v>c5.71</v>
      </c>
      <c r="AH121" s="415">
        <f>MAX(0,AH113-F113)</f>
        <v>11500</v>
      </c>
      <c r="AK121" s="2982" t="str">
        <f>A119</f>
        <v>c5.80</v>
      </c>
      <c r="AL121" s="415">
        <f>MAX(0,F121-AH121)</f>
        <v>0</v>
      </c>
      <c r="AN121" s="800" t="s">
        <v>3573</v>
      </c>
    </row>
    <row r="122" spans="1:40" x14ac:dyDescent="0.35">
      <c r="A122" s="146" t="s">
        <v>6838</v>
      </c>
      <c r="G122" s="803"/>
      <c r="H122" s="142"/>
      <c r="I122" s="146"/>
      <c r="J122" s="146"/>
      <c r="K122" s="146"/>
      <c r="L122" s="146"/>
      <c r="M122" s="146"/>
      <c r="N122" s="3044" t="str">
        <f>"lower of "&amp;M121&amp;" and "&amp;U48</f>
        <v>lower of c5.54a1 and c5.29</v>
      </c>
      <c r="AI122" s="1141"/>
      <c r="AJ122" s="1141"/>
      <c r="AK122" s="1141"/>
      <c r="AL122" s="1142"/>
      <c r="AN122" s="798"/>
    </row>
    <row r="123" spans="1:40" ht="12.75" x14ac:dyDescent="0.35">
      <c r="A123" s="146" t="s">
        <v>6839</v>
      </c>
      <c r="G123" s="803"/>
      <c r="H123" s="142"/>
      <c r="I123" s="146"/>
      <c r="J123" s="3045"/>
      <c r="K123" s="3045"/>
      <c r="L123" s="3331" t="s">
        <v>8257</v>
      </c>
      <c r="M123" s="3317" t="str">
        <f>A67</f>
        <v>c5.54b</v>
      </c>
      <c r="N123" s="3316">
        <f>MIN(N121,V48)</f>
        <v>0</v>
      </c>
      <c r="AE123" s="416"/>
      <c r="AF123" s="416"/>
      <c r="AL123" s="1457"/>
    </row>
    <row r="124" spans="1:40" x14ac:dyDescent="0.35">
      <c r="A124" s="146" t="s">
        <v>6840</v>
      </c>
      <c r="G124" s="803"/>
      <c r="H124" s="142"/>
      <c r="I124" s="146"/>
      <c r="J124" s="3045"/>
      <c r="K124" s="3045"/>
      <c r="L124" s="3045"/>
      <c r="M124" s="3045"/>
      <c r="N124" s="3044" t="str">
        <f>"lower of ("&amp;M121&amp;" minus "&amp;M123&amp;") and "&amp;Y48</f>
        <v>lower of (c5.54a1 minus c5.54b) and c5.30</v>
      </c>
      <c r="AG124" s="416"/>
      <c r="AH124" s="416"/>
      <c r="AI124" s="416"/>
      <c r="AJ124" s="416"/>
      <c r="AK124" s="416"/>
      <c r="AL124" s="1142"/>
      <c r="AN124" s="798"/>
    </row>
    <row r="125" spans="1:40" ht="12.75" x14ac:dyDescent="0.35">
      <c r="A125" s="146" t="s">
        <v>6841</v>
      </c>
      <c r="C125" s="413"/>
      <c r="G125" s="803"/>
      <c r="H125" s="142"/>
      <c r="J125" s="3045"/>
      <c r="K125" s="3045"/>
      <c r="L125" s="3331" t="s">
        <v>8090</v>
      </c>
      <c r="M125" s="3317" t="str">
        <f>A68</f>
        <v>c5.54c</v>
      </c>
      <c r="N125" s="3316">
        <f>MIN(MAX(0,N121-N123),Z48)</f>
        <v>0</v>
      </c>
      <c r="AE125" s="417"/>
      <c r="AN125" s="798"/>
    </row>
    <row r="126" spans="1:40" x14ac:dyDescent="0.35">
      <c r="C126" s="413"/>
      <c r="F126" s="44" t="s">
        <v>4334</v>
      </c>
      <c r="G126" s="803"/>
      <c r="H126" s="142"/>
      <c r="L126" s="146"/>
      <c r="N126" s="3044" t="str">
        <f>"2 x "&amp;M123</f>
        <v>2 x c5.54b</v>
      </c>
      <c r="AH126" s="417"/>
      <c r="AN126" s="798"/>
    </row>
    <row r="127" spans="1:40" ht="12.75" x14ac:dyDescent="0.35">
      <c r="F127" s="773" t="str">
        <f>E131&amp;" = "&amp;'non-res (c91)'!M92</f>
        <v>c5.40 = c91.23</v>
      </c>
      <c r="G127" s="803"/>
      <c r="H127" s="142"/>
      <c r="J127" s="3041"/>
      <c r="K127" s="3041"/>
      <c r="L127" s="3331" t="s">
        <v>8091</v>
      </c>
      <c r="M127" s="2569" t="str">
        <f>A69</f>
        <v>c5.55</v>
      </c>
      <c r="N127" s="2979">
        <f>2*N123</f>
        <v>0</v>
      </c>
      <c r="O127" s="1462" t="s">
        <v>5639</v>
      </c>
      <c r="P127" s="1506"/>
      <c r="AN127" s="798"/>
    </row>
    <row r="128" spans="1:40" x14ac:dyDescent="0.35">
      <c r="F128" s="146" t="s">
        <v>2520</v>
      </c>
      <c r="G128" s="803"/>
      <c r="H128" s="142"/>
      <c r="L128" s="146"/>
      <c r="N128" s="773" t="str">
        <f>"if "&amp;M115&amp;" larger than "&amp;M127&amp;" and"</f>
        <v>if c5.53 larger than c5.55 and</v>
      </c>
      <c r="AN128" s="798"/>
    </row>
    <row r="129" spans="2:40" x14ac:dyDescent="0.35">
      <c r="F129" s="773" t="str">
        <f>E131&amp;" = "&amp;'Divs (c3)'!G46&amp;" minus ("&amp;E113&amp;" + "&amp;E121&amp;")"</f>
        <v>c5.40 = c3.15 minus (c5.38 + c5.39)</v>
      </c>
      <c r="G129" s="803"/>
      <c r="H129" s="142"/>
      <c r="L129" s="146"/>
      <c r="M129" s="786"/>
      <c r="N129" s="3044" t="str">
        <f>M125&amp;" larger than "&amp;M127</f>
        <v>c5.54c larger than c5.55</v>
      </c>
    </row>
    <row r="130" spans="2:40" x14ac:dyDescent="0.35">
      <c r="F130" s="146" t="s">
        <v>3508</v>
      </c>
      <c r="G130" s="803"/>
      <c r="H130" s="142"/>
      <c r="L130" s="146"/>
      <c r="N130" s="1463" t="str">
        <f>M134&amp;" = "&amp;M115</f>
        <v>c5.56 = c5.53</v>
      </c>
      <c r="AH130" s="753" t="str">
        <f>AG121&amp;" minus "&amp;E121</f>
        <v>c5.71 minus c5.39</v>
      </c>
      <c r="AL130" s="753" t="str">
        <f>E131&amp;" minus "&amp;AG131</f>
        <v>c5.40 minus c5.72</v>
      </c>
    </row>
    <row r="131" spans="2:40" ht="12.75" x14ac:dyDescent="0.35">
      <c r="C131" s="800" t="s">
        <v>3194</v>
      </c>
      <c r="E131" s="795" t="str">
        <f>A44</f>
        <v>c5.40</v>
      </c>
      <c r="F131" s="412">
        <f>IF(non_resident,'non-res (c91)'!N92,('Divs (c3)'!H46-(F113+F121)))</f>
        <v>0</v>
      </c>
      <c r="G131" s="803"/>
      <c r="L131" s="3329"/>
      <c r="N131" s="109" t="s">
        <v>2520</v>
      </c>
      <c r="AG131" s="2982" t="str">
        <f>A111</f>
        <v>c5.72</v>
      </c>
      <c r="AH131" s="415">
        <f>MAX(0,AH121-F121)</f>
        <v>11500</v>
      </c>
      <c r="AK131" s="2982" t="str">
        <f>A120</f>
        <v>c5.81</v>
      </c>
      <c r="AL131" s="415">
        <f>MAX(0,F131-AH131)</f>
        <v>0</v>
      </c>
      <c r="AN131" s="800" t="s">
        <v>3194</v>
      </c>
    </row>
    <row r="132" spans="2:40" ht="12.75" x14ac:dyDescent="0.35">
      <c r="G132" s="803"/>
      <c r="L132" s="3329"/>
      <c r="N132" s="109" t="str">
        <f>M134&amp;" = 0 (zero)"</f>
        <v>c5.56 = 0 (zero)</v>
      </c>
      <c r="AL132" s="773" t="str">
        <f>"add "&amp;AK113&amp;" + "&amp;AK121&amp;" + "&amp;AK131</f>
        <v>add c5.79 + c5.80 + c5.81</v>
      </c>
      <c r="AN132" s="798"/>
    </row>
    <row r="133" spans="2:40" x14ac:dyDescent="0.35">
      <c r="G133" s="803"/>
      <c r="L133" s="146"/>
      <c r="N133" s="3044" t="s">
        <v>2638</v>
      </c>
      <c r="AE133" s="416"/>
      <c r="AF133" s="416"/>
      <c r="AL133" s="2811" t="str">
        <f>"and copy to "&amp;'tax it (c6)'!N18&amp;")"</f>
        <v>and copy to c6.23)</v>
      </c>
    </row>
    <row r="134" spans="2:40" ht="12.75" x14ac:dyDescent="0.35">
      <c r="G134" s="803"/>
      <c r="H134" s="142"/>
      <c r="J134" s="3041"/>
      <c r="K134" s="3041"/>
      <c r="L134" s="3331" t="s">
        <v>6804</v>
      </c>
      <c r="M134" s="2569" t="str">
        <f>A70</f>
        <v>c5.56</v>
      </c>
      <c r="N134" s="2979">
        <f>IF(AND(N115&gt;N127,N125&gt;N127),N115,0)</f>
        <v>0</v>
      </c>
      <c r="AF134" s="1506"/>
      <c r="AG134" s="3029"/>
      <c r="AH134" s="1116" t="s">
        <v>2250</v>
      </c>
      <c r="AI134" s="416"/>
      <c r="AJ134" s="416"/>
      <c r="AK134" s="416"/>
    </row>
    <row r="135" spans="2:40" x14ac:dyDescent="0.35">
      <c r="G135" s="803"/>
      <c r="H135" s="142"/>
      <c r="J135" s="146"/>
      <c r="K135" s="146"/>
      <c r="L135" s="146"/>
      <c r="M135" s="146"/>
      <c r="N135" s="146"/>
      <c r="O135" s="146"/>
      <c r="AC135" s="416"/>
      <c r="AD135" s="771"/>
      <c r="AF135" s="1506"/>
      <c r="AG135" s="1506"/>
      <c r="AH135" s="1510" t="str">
        <f>E8&amp;" minus ("&amp;AG74&amp;" + "&amp;AG81&amp;" + "&amp;AG100&amp;" + "&amp;AG113&amp;")"</f>
        <v>c5.1 minus (c5.67 + c5.68 + c5.69 + c5.70)</v>
      </c>
    </row>
    <row r="136" spans="2:40" x14ac:dyDescent="0.35">
      <c r="C136" s="800" t="s">
        <v>2664</v>
      </c>
      <c r="F136" s="773" t="str">
        <f>"from "&amp;'Divs (c3)'!G57</f>
        <v>from c3.18</v>
      </c>
      <c r="G136" s="803"/>
      <c r="H136" s="142"/>
      <c r="I136" s="146"/>
      <c r="J136" s="146" t="s">
        <v>8012</v>
      </c>
      <c r="K136" s="146"/>
      <c r="L136" s="146"/>
      <c r="M136" s="146"/>
      <c r="N136" s="146"/>
      <c r="O136" s="146"/>
      <c r="AE136" s="772"/>
      <c r="AF136" s="1506"/>
      <c r="AG136" s="1506"/>
      <c r="AH136" s="2635" t="str">
        <f>"and "&amp;AG131&amp;" minus "&amp;E131</f>
        <v>and c5.72 minus c5.40</v>
      </c>
      <c r="AL136" s="753" t="str">
        <f>E137&amp;" minus "&amp;AG137</f>
        <v>c5.41 minus c5.73</v>
      </c>
      <c r="AN136" s="834" t="s">
        <v>2664</v>
      </c>
    </row>
    <row r="137" spans="2:40" x14ac:dyDescent="0.35">
      <c r="B137" s="789"/>
      <c r="C137" s="800" t="s">
        <v>2702</v>
      </c>
      <c r="E137" s="795" t="str">
        <f>A45</f>
        <v>c5.41</v>
      </c>
      <c r="F137" s="415">
        <f>'Divs (c3)'!H57</f>
        <v>0</v>
      </c>
      <c r="G137" s="803"/>
      <c r="H137" s="142"/>
      <c r="I137" s="146"/>
      <c r="J137" s="146"/>
      <c r="K137" s="146"/>
      <c r="L137" s="146"/>
      <c r="M137" s="3045"/>
      <c r="N137" s="3044" t="str">
        <f>"("&amp;M119&amp;" minus "&amp;M123&amp;") x DivBR_rate ("&amp;DivBR_rate*100&amp;"%)"</f>
        <v>(c5.54a minus c5.54b) x DivBR_rate (7.5%)</v>
      </c>
      <c r="O137" s="146"/>
      <c r="AG137" s="2982" t="str">
        <f>A112</f>
        <v>c5.73</v>
      </c>
      <c r="AH137" s="2974">
        <f>MIN(MAX(0,F8-(AH74+AH81+AH100+AH113),MAX(0,AH131-F131)))</f>
        <v>11500</v>
      </c>
      <c r="AK137" s="2982" t="str">
        <f>A121</f>
        <v>c5.82</v>
      </c>
      <c r="AL137" s="415">
        <f>MAX(0,F137-AH137)</f>
        <v>0</v>
      </c>
      <c r="AN137" s="800" t="s">
        <v>2702</v>
      </c>
    </row>
    <row r="138" spans="2:40" x14ac:dyDescent="0.35">
      <c r="G138" s="803"/>
      <c r="H138" s="142"/>
      <c r="I138" s="146"/>
      <c r="J138" s="146"/>
      <c r="K138" s="146"/>
      <c r="L138" s="146"/>
      <c r="M138" s="3328" t="s">
        <v>7914</v>
      </c>
      <c r="N138" s="3327">
        <f>TRUNC(MAX(0,N119-N123)*DivBR_rate,2)</f>
        <v>0</v>
      </c>
      <c r="O138" s="3332" t="s">
        <v>2872</v>
      </c>
      <c r="AE138" s="416"/>
      <c r="AF138" s="416"/>
      <c r="AL138" s="2881" t="str">
        <f>"copy to "&amp;'tax it (c6)'!V18</f>
        <v>copy to c6.45</v>
      </c>
    </row>
    <row r="139" spans="2:40" x14ac:dyDescent="0.35">
      <c r="G139" s="803"/>
      <c r="H139" s="142"/>
      <c r="I139" s="146"/>
      <c r="J139" s="146"/>
      <c r="K139" s="146"/>
      <c r="L139" s="146"/>
      <c r="M139" s="3045"/>
      <c r="N139" s="3044" t="str">
        <f>"(lower of "&amp;M119&amp;" and "&amp;M123&amp;") x DivHR_rate ("&amp;DivHR_rate*100&amp;"%)"</f>
        <v>(lower of c5.54a and c5.54b) x DivHR_rate (32.5%)</v>
      </c>
      <c r="O139" s="146"/>
      <c r="AG139" s="416"/>
      <c r="AH139" s="416"/>
      <c r="AI139" s="416"/>
      <c r="AJ139" s="416"/>
      <c r="AK139" s="416"/>
      <c r="AL139" s="753" t="str">
        <f>"copy to "&amp;'Tax adj (c9)'!I83</f>
        <v>copy to c9.24</v>
      </c>
      <c r="AN139" s="798"/>
    </row>
    <row r="140" spans="2:40" x14ac:dyDescent="0.35">
      <c r="G140" s="803"/>
      <c r="H140" s="142"/>
      <c r="J140" s="109"/>
      <c r="K140" s="146"/>
      <c r="L140" s="146"/>
      <c r="M140" s="3328" t="s">
        <v>7915</v>
      </c>
      <c r="N140" s="3327">
        <f>TRUNC(MIN(N119,N123)*DivHR_rate,2)</f>
        <v>0</v>
      </c>
      <c r="O140" s="3332" t="s">
        <v>2872</v>
      </c>
      <c r="AE140" s="753"/>
    </row>
    <row r="141" spans="2:40" x14ac:dyDescent="0.35">
      <c r="C141" s="800" t="s">
        <v>2835</v>
      </c>
      <c r="F141" s="773" t="str">
        <f>" from "&amp;'Divs (c3)'!G62</f>
        <v xml:space="preserve"> from c3.19</v>
      </c>
      <c r="G141" s="803"/>
      <c r="H141" s="142"/>
      <c r="I141" s="146"/>
      <c r="J141" s="146"/>
      <c r="K141" s="146"/>
      <c r="L141" s="146"/>
      <c r="M141" s="146"/>
      <c r="N141" s="3044" t="str">
        <f>M138&amp;" + "&amp;M140</f>
        <v>c5.56.1 + c5.56.2</v>
      </c>
      <c r="O141" s="146"/>
      <c r="AE141" s="772"/>
      <c r="AH141" s="753" t="str">
        <f>AG137&amp;" minus "&amp;E137</f>
        <v>c5.73 minus c5.41</v>
      </c>
      <c r="AL141" s="753" t="str">
        <f>E142&amp;" minus "&amp;AG142</f>
        <v>c5.42 minus c5.74</v>
      </c>
      <c r="AN141" s="800" t="s">
        <v>2835</v>
      </c>
    </row>
    <row r="142" spans="2:40" ht="12.75" x14ac:dyDescent="0.35">
      <c r="C142" s="800" t="s">
        <v>2318</v>
      </c>
      <c r="E142" s="795" t="str">
        <f>A46</f>
        <v>c5.42</v>
      </c>
      <c r="F142" s="415">
        <f>'Divs (c3)'!H62</f>
        <v>0</v>
      </c>
      <c r="G142" s="803"/>
      <c r="H142" s="142"/>
      <c r="I142" s="146"/>
      <c r="J142" s="3045"/>
      <c r="K142" s="3045"/>
      <c r="L142" s="3331" t="s">
        <v>7921</v>
      </c>
      <c r="M142" s="3328" t="s">
        <v>7579</v>
      </c>
      <c r="N142" s="3163">
        <f>N138+N140</f>
        <v>0</v>
      </c>
      <c r="O142" s="146"/>
      <c r="AG142" s="2982" t="str">
        <f>A113</f>
        <v>c5.74</v>
      </c>
      <c r="AH142" s="415">
        <f>MAX(0,AH137-F137)</f>
        <v>11500</v>
      </c>
      <c r="AK142" s="2982" t="str">
        <f>A122</f>
        <v>c5.83</v>
      </c>
      <c r="AL142" s="415">
        <f>MAX(0,F142-AH142)</f>
        <v>0</v>
      </c>
      <c r="AN142" s="800" t="s">
        <v>2318</v>
      </c>
    </row>
    <row r="143" spans="2:40" x14ac:dyDescent="0.35">
      <c r="G143" s="803"/>
      <c r="H143" s="142"/>
      <c r="I143" s="146"/>
      <c r="J143" s="146"/>
      <c r="K143" s="3045"/>
      <c r="L143" s="3045"/>
      <c r="M143" s="3045"/>
      <c r="N143" s="3044" t="str">
        <f>"lower of SR_band ("&amp;DOLLAR(SR_band,0)&amp;") and (("&amp;E8&amp;" + SR_band ("&amp;DOLLAR(SR_band,0)&amp;")) minus "&amp;E17&amp;")"</f>
        <v>lower of SR_band (£5,000) and ((c5.1 + SR_band (£5,000)) minus c5.3)</v>
      </c>
      <c r="O143" s="146"/>
      <c r="AL143" s="418" t="str">
        <f>"add "&amp;AK74&amp;" + "&amp;AK142&amp;" and"</f>
        <v>add c5.76 + c5.83 and</v>
      </c>
    </row>
    <row r="144" spans="2:40" x14ac:dyDescent="0.35">
      <c r="G144" s="803"/>
      <c r="H144" s="142"/>
      <c r="I144" s="146"/>
      <c r="J144" s="3045"/>
      <c r="K144" s="3045"/>
      <c r="L144" s="3044" t="s">
        <v>7628</v>
      </c>
      <c r="M144" s="3328" t="s">
        <v>7580</v>
      </c>
      <c r="N144" s="3330">
        <f>MIN(SR_band,MAX(0,(F8+SR_band)-F17))</f>
        <v>5000</v>
      </c>
      <c r="O144" s="146"/>
      <c r="AL144" s="773" t="str">
        <f>"copy to "&amp;'tax it (c6)'!F18</f>
        <v>copy to c6.1</v>
      </c>
    </row>
    <row r="145" spans="3:40" x14ac:dyDescent="0.35">
      <c r="G145" s="803"/>
      <c r="H145" s="142"/>
      <c r="J145" s="146"/>
      <c r="K145" s="3045"/>
      <c r="L145" s="3045"/>
      <c r="M145" s="3045"/>
      <c r="N145" s="3044" t="str">
        <f>"lower of SR_band ("&amp;DOLLAR(SR_band,0)&amp;") and ((("&amp;E8&amp;" minus "&amp;M119&amp;") + SR_band ("&amp;DOLLAR(SR_band,0)&amp;")) minus "&amp;E17&amp;")"</f>
        <v>lower of SR_band (£5,000) and (((c5.1 minus c5.54a) + SR_band (£5,000)) minus c5.3)</v>
      </c>
      <c r="O145" s="146"/>
    </row>
    <row r="146" spans="3:40" x14ac:dyDescent="0.35">
      <c r="C146" s="800" t="s">
        <v>1468</v>
      </c>
      <c r="F146" s="773" t="str">
        <f>" from "&amp;'Divs (c3)'!G65</f>
        <v xml:space="preserve"> from c3.20</v>
      </c>
      <c r="G146" s="803"/>
      <c r="H146" s="142"/>
      <c r="J146" s="3045"/>
      <c r="K146" s="3045"/>
      <c r="L146" s="3044" t="s">
        <v>8293</v>
      </c>
      <c r="M146" s="3328" t="s">
        <v>7581</v>
      </c>
      <c r="N146" s="3330">
        <f>MIN(SR_band,MAX(0,((F8-N119)+SR_band)-F17))</f>
        <v>5000</v>
      </c>
      <c r="O146" s="146"/>
      <c r="AE146" s="753"/>
      <c r="AH146" s="753" t="str">
        <f>AG142&amp;" minus "&amp;E142</f>
        <v>c5.74 minus c5.42</v>
      </c>
      <c r="AL146" s="753" t="str">
        <f>E147&amp;" minus "&amp;AG147</f>
        <v>c5.43 minus c5.75</v>
      </c>
      <c r="AN146" s="800" t="s">
        <v>1468</v>
      </c>
    </row>
    <row r="147" spans="3:40" x14ac:dyDescent="0.35">
      <c r="C147" s="800" t="s">
        <v>1366</v>
      </c>
      <c r="E147" s="795" t="str">
        <f>A47</f>
        <v>c5.43</v>
      </c>
      <c r="F147" s="415">
        <f>'Divs (c3)'!H65</f>
        <v>0</v>
      </c>
      <c r="G147" s="803"/>
      <c r="H147" s="142"/>
      <c r="J147" s="146"/>
      <c r="K147" s="146"/>
      <c r="L147" s="3045"/>
      <c r="M147" s="3045"/>
      <c r="N147" s="3042" t="str">
        <f>"if "&amp;M144&amp;" &gt; 0 (zero) and "&amp;M144&amp;" minus "&amp;M146&amp;" = 0 (zero)"</f>
        <v>if c5.56b &gt; 0 (zero) and c5.56b minus c5.56c = 0 (zero)</v>
      </c>
      <c r="O147" s="146"/>
      <c r="AE147" s="772"/>
      <c r="AG147" s="2982" t="str">
        <f>A114</f>
        <v>c5.75</v>
      </c>
      <c r="AH147" s="415">
        <f>MAX(0,AH142-F142)</f>
        <v>11500</v>
      </c>
      <c r="AK147" s="2982" t="str">
        <f>A123</f>
        <v>c5.84</v>
      </c>
      <c r="AL147" s="415">
        <f>MAX(0,F147-AH147)</f>
        <v>0</v>
      </c>
      <c r="AN147" s="800" t="s">
        <v>1366</v>
      </c>
    </row>
    <row r="148" spans="3:40" x14ac:dyDescent="0.35">
      <c r="C148" s="800"/>
      <c r="E148" s="851"/>
      <c r="F148" s="772"/>
      <c r="G148" s="803"/>
      <c r="H148" s="142"/>
      <c r="J148" s="146"/>
      <c r="K148" s="146"/>
      <c r="L148" s="3045"/>
      <c r="M148" s="3045"/>
      <c r="N148" s="3044" t="str">
        <f>M152&amp;" = 0.01 minus "&amp;M81</f>
        <v>c5.56c1 = 0.01 minus c5.50</v>
      </c>
      <c r="O148" s="146"/>
      <c r="AE148" s="772"/>
      <c r="AG148" s="1428"/>
      <c r="AH148" s="772"/>
      <c r="AK148" s="1428"/>
      <c r="AL148" s="773" t="str">
        <f>"add "&amp;AK81&amp;" + "&amp;AK147&amp;" and"</f>
        <v>add c5.77 + c5.84 and</v>
      </c>
      <c r="AN148" s="800"/>
    </row>
    <row r="149" spans="3:40" x14ac:dyDescent="0.35">
      <c r="C149" s="800"/>
      <c r="E149" s="851"/>
      <c r="F149" s="772"/>
      <c r="G149" s="803"/>
      <c r="H149" s="142"/>
      <c r="J149" s="146"/>
      <c r="K149" s="146"/>
      <c r="L149" s="3045"/>
      <c r="M149" s="3045"/>
      <c r="N149" s="3044" t="s">
        <v>2520</v>
      </c>
      <c r="O149" s="146"/>
      <c r="AE149" s="772"/>
      <c r="AG149" s="1428"/>
      <c r="AH149" s="772"/>
      <c r="AK149" s="1428"/>
      <c r="AL149" s="2881" t="str">
        <f>"copy to "&amp;'tax it (c6)'!R18</f>
        <v>copy to c6.35</v>
      </c>
      <c r="AN149" s="800"/>
    </row>
    <row r="150" spans="3:40" x14ac:dyDescent="0.35">
      <c r="C150" s="800"/>
      <c r="E150" s="851"/>
      <c r="F150" s="772"/>
      <c r="G150" s="803"/>
      <c r="H150" s="142"/>
      <c r="J150" s="146"/>
      <c r="K150" s="146"/>
      <c r="L150" s="3045"/>
      <c r="M150" s="3045"/>
      <c r="N150" s="3044" t="str">
        <f>M152&amp;" = ("&amp;M144&amp;" minus "&amp;M146&amp;") x BR_rate ("&amp;BR_rate*100&amp;"%)"</f>
        <v>c5.56c1 = (c5.56b minus c5.56c) x BR_rate (20%)</v>
      </c>
      <c r="O150" s="146"/>
      <c r="AE150" s="772"/>
      <c r="AG150" s="1428"/>
      <c r="AH150" s="772"/>
      <c r="AK150" s="1428"/>
      <c r="AL150" s="418"/>
      <c r="AN150" s="800"/>
    </row>
    <row r="151" spans="3:40" x14ac:dyDescent="0.35">
      <c r="C151" s="800"/>
      <c r="E151" s="851"/>
      <c r="F151" s="772"/>
      <c r="G151" s="803"/>
      <c r="H151" s="142"/>
      <c r="J151" s="146"/>
      <c r="K151" s="146"/>
      <c r="L151" s="3045"/>
      <c r="M151" s="3045"/>
      <c r="N151" s="3044" t="s">
        <v>2638</v>
      </c>
      <c r="O151" s="146"/>
      <c r="AE151" s="772"/>
      <c r="AG151" s="1428"/>
      <c r="AH151" s="772"/>
      <c r="AK151" s="1428"/>
      <c r="AL151" s="772"/>
      <c r="AN151" s="800"/>
    </row>
    <row r="152" spans="3:40" x14ac:dyDescent="0.35">
      <c r="G152" s="803"/>
      <c r="H152" s="142"/>
      <c r="J152" s="146"/>
      <c r="K152" s="146"/>
      <c r="L152" s="146"/>
      <c r="M152" s="3328" t="s">
        <v>7918</v>
      </c>
      <c r="N152" s="3163">
        <f>IF(AND(N144&gt;0,N144-N146=0),MAX(0,0.01-N81),TRUNC((N144-N146)*BR_rate,2))</f>
        <v>0.01</v>
      </c>
      <c r="O152" s="3332" t="s">
        <v>2872</v>
      </c>
    </row>
    <row r="153" spans="3:40" x14ac:dyDescent="0.35">
      <c r="G153" s="803"/>
      <c r="H153" s="142"/>
      <c r="J153" s="146"/>
      <c r="K153" s="146"/>
      <c r="L153" s="146"/>
      <c r="M153" s="146"/>
      <c r="N153" s="3044" t="str">
        <f>M119&amp;" x BR_rate ("&amp;BR_rate*100&amp;"%)"</f>
        <v>c5.54a x BR_rate (20%)</v>
      </c>
      <c r="O153" s="146"/>
    </row>
    <row r="154" spans="3:40" x14ac:dyDescent="0.35">
      <c r="G154" s="803"/>
      <c r="H154" s="142"/>
      <c r="J154" s="146"/>
      <c r="K154" s="146"/>
      <c r="L154" s="146"/>
      <c r="M154" s="3328" t="s">
        <v>7919</v>
      </c>
      <c r="N154" s="3163">
        <f>TRUNC(N119*BR_rate,2)</f>
        <v>0</v>
      </c>
      <c r="O154" s="3332" t="s">
        <v>2872</v>
      </c>
    </row>
    <row r="155" spans="3:40" x14ac:dyDescent="0.35">
      <c r="G155" s="803"/>
      <c r="H155" s="142"/>
      <c r="J155" s="146"/>
      <c r="K155" s="146"/>
      <c r="L155" s="146"/>
      <c r="M155" s="146"/>
      <c r="N155" s="3044" t="str">
        <f>M152&amp;" + "&amp;M154</f>
        <v>c5.56c1 + c5.56c2</v>
      </c>
      <c r="O155" s="146"/>
      <c r="AL155" s="418"/>
    </row>
    <row r="156" spans="3:40" ht="12.75" x14ac:dyDescent="0.35">
      <c r="G156" s="803"/>
      <c r="H156" s="142"/>
      <c r="J156" s="146"/>
      <c r="K156" s="3045"/>
      <c r="L156" s="3331" t="s">
        <v>7922</v>
      </c>
      <c r="M156" s="3328" t="s">
        <v>7629</v>
      </c>
      <c r="N156" s="3163">
        <f>N152+N154</f>
        <v>0.01</v>
      </c>
      <c r="O156" s="146"/>
      <c r="AL156" s="418"/>
    </row>
    <row r="157" spans="3:40" x14ac:dyDescent="0.35">
      <c r="C157" s="789"/>
      <c r="D157" s="789"/>
      <c r="E157" s="789"/>
      <c r="F157" s="789"/>
      <c r="G157" s="789"/>
      <c r="H157" s="789"/>
      <c r="I157" s="789"/>
      <c r="J157" s="789"/>
      <c r="K157" s="789"/>
      <c r="L157" s="789"/>
      <c r="M157" s="789"/>
      <c r="N157" s="789"/>
      <c r="O157" s="789"/>
      <c r="P157" s="789"/>
      <c r="Q157" s="789"/>
      <c r="R157" s="789"/>
      <c r="S157" s="789"/>
      <c r="T157" s="789"/>
      <c r="U157" s="789"/>
      <c r="V157" s="789"/>
      <c r="W157" s="789"/>
      <c r="X157" s="789"/>
      <c r="Y157" s="789"/>
      <c r="Z157" s="789"/>
      <c r="AA157" s="789"/>
      <c r="AB157" s="789"/>
      <c r="AC157" s="789"/>
      <c r="AD157" s="789"/>
      <c r="AE157" s="789"/>
      <c r="AF157" s="789"/>
      <c r="AG157" s="789"/>
      <c r="AH157" s="789"/>
      <c r="AI157" s="789"/>
      <c r="AJ157" s="789"/>
      <c r="AK157" s="789"/>
      <c r="AL157" s="789"/>
      <c r="AM157" s="789"/>
      <c r="AN157" s="789"/>
    </row>
    <row r="158" spans="3:40" x14ac:dyDescent="0.35">
      <c r="C158" s="413"/>
      <c r="F158" s="416"/>
      <c r="G158" s="416"/>
    </row>
    <row r="159" spans="3:40" x14ac:dyDescent="0.35">
      <c r="F159" s="44" t="s">
        <v>4334</v>
      </c>
      <c r="G159" s="803"/>
      <c r="H159" s="142"/>
    </row>
    <row r="160" spans="3:40" x14ac:dyDescent="0.35">
      <c r="F160" s="3045" t="str">
        <f>E164&amp;" = "&amp;'non-res (c91)'!M118&amp;" minus "&amp;'Deductions (c4)'!H184</f>
        <v>c5.85 = c91.28 minus c4.63b</v>
      </c>
      <c r="G160" s="803"/>
      <c r="H160" s="142"/>
    </row>
    <row r="161" spans="3:38" x14ac:dyDescent="0.35">
      <c r="F161" s="42" t="s">
        <v>2520</v>
      </c>
      <c r="G161" s="803"/>
      <c r="H161" s="142"/>
    </row>
    <row r="162" spans="3:38" x14ac:dyDescent="0.35">
      <c r="C162" s="413"/>
      <c r="E162" s="44"/>
      <c r="F162" s="1462" t="str">
        <f>E164&amp;" = "&amp;'Divs (c3)'!G69&amp;" minus "&amp;'Deductions (c4)'!H184</f>
        <v>c5.85 = c3.21 minus c4.63b</v>
      </c>
      <c r="G162" s="803"/>
      <c r="H162" s="142"/>
    </row>
    <row r="163" spans="3:38" x14ac:dyDescent="0.35">
      <c r="C163" s="801" t="s">
        <v>2319</v>
      </c>
      <c r="F163" s="146" t="s">
        <v>3508</v>
      </c>
      <c r="G163" s="803"/>
      <c r="H163" s="142"/>
      <c r="AL163" s="109" t="str">
        <f>E164&amp;" minus "&amp;E8</f>
        <v>c5.85 minus c5.1</v>
      </c>
    </row>
    <row r="164" spans="3:38" x14ac:dyDescent="0.35">
      <c r="C164" s="801" t="s">
        <v>3377</v>
      </c>
      <c r="E164" s="795" t="str">
        <f>A124</f>
        <v>c5.85</v>
      </c>
      <c r="F164" s="844">
        <f>IF(non_resident,MAX(0,'non-res (c91)'!N118-'Deductions (c4)'!I184),'Divs (c3)'!H69-'Deductions (c4)'!I184)</f>
        <v>0</v>
      </c>
      <c r="G164" s="1931"/>
      <c r="H164" s="142"/>
      <c r="AF164" s="796" t="s">
        <v>4304</v>
      </c>
      <c r="AG164" s="796"/>
      <c r="AH164" s="796"/>
      <c r="AI164" s="796"/>
      <c r="AJ164" s="796"/>
      <c r="AK164" s="2982" t="str">
        <f>A125</f>
        <v>c5.86</v>
      </c>
      <c r="AL164" s="415">
        <f>MAX(0,F164-F8)</f>
        <v>0</v>
      </c>
    </row>
    <row r="165" spans="3:38" x14ac:dyDescent="0.35">
      <c r="G165" s="1931"/>
    </row>
  </sheetData>
  <phoneticPr fontId="68" type="noConversion"/>
  <pageMargins left="0.196850393700787" right="0.196850393700787" top="0.196850393700787" bottom="0.196850393700787" header="0" footer="0"/>
  <pageSetup paperSize="8" scale="43" orientation="landscape"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99"/>
  </sheetPr>
  <dimension ref="A1:Y89"/>
  <sheetViews>
    <sheetView showGridLines="0" topLeftCell="B39" zoomScaleNormal="100" workbookViewId="0">
      <selection activeCell="G75" sqref="G75"/>
    </sheetView>
  </sheetViews>
  <sheetFormatPr defaultColWidth="8.86328125" defaultRowHeight="11.65" x14ac:dyDescent="0.35"/>
  <cols>
    <col min="1" max="1" width="7.1328125" style="142" hidden="1" customWidth="1"/>
    <col min="2" max="2" width="8.265625" style="142" customWidth="1"/>
    <col min="3" max="3" width="6" style="142" customWidth="1"/>
    <col min="4" max="4" width="16" style="142" customWidth="1"/>
    <col min="5" max="5" width="2.265625" style="142" customWidth="1"/>
    <col min="6" max="6" width="5.59765625" style="142" customWidth="1"/>
    <col min="7" max="7" width="29.1328125" style="142" customWidth="1"/>
    <col min="8" max="9" width="3.59765625" style="142" customWidth="1"/>
    <col min="10" max="10" width="5.59765625" style="142" customWidth="1"/>
    <col min="11" max="11" width="29.1328125" style="142" customWidth="1"/>
    <col min="12" max="13" width="3.59765625" style="142" customWidth="1"/>
    <col min="14" max="14" width="5.59765625" style="142" customWidth="1"/>
    <col min="15" max="15" width="29.1328125" style="142" customWidth="1"/>
    <col min="16" max="17" width="3.59765625" style="142" customWidth="1"/>
    <col min="18" max="18" width="5.59765625" style="142" customWidth="1"/>
    <col min="19" max="19" width="29.1328125" style="142" customWidth="1"/>
    <col min="20" max="21" width="3.59765625" style="142" customWidth="1"/>
    <col min="22" max="22" width="5.59765625" style="142" customWidth="1"/>
    <col min="23" max="23" width="29.1328125" style="142" customWidth="1"/>
    <col min="24" max="24" width="2.265625" style="142" customWidth="1"/>
    <col min="25" max="16384" width="8.86328125" style="142"/>
  </cols>
  <sheetData>
    <row r="1" spans="1:24" ht="17.649999999999999" x14ac:dyDescent="0.5">
      <c r="A1" s="144" t="s">
        <v>1134</v>
      </c>
      <c r="B1" s="1926" t="s">
        <v>3493</v>
      </c>
      <c r="J1" s="802" t="s">
        <v>1955</v>
      </c>
      <c r="K1" s="441"/>
      <c r="L1" s="441"/>
      <c r="M1" s="441"/>
      <c r="N1" s="441"/>
      <c r="O1" s="127"/>
      <c r="Q1" s="141"/>
    </row>
    <row r="2" spans="1:24" x14ac:dyDescent="0.35">
      <c r="A2" s="144" t="s">
        <v>1135</v>
      </c>
    </row>
    <row r="3" spans="1:24" x14ac:dyDescent="0.35">
      <c r="A3" s="144" t="s">
        <v>1136</v>
      </c>
    </row>
    <row r="4" spans="1:24" ht="12.75" x14ac:dyDescent="0.35">
      <c r="A4" s="144" t="s">
        <v>3275</v>
      </c>
      <c r="B4" s="1139" t="str">
        <f>"The first "&amp;DOLLAR(SR_band,0)&amp;" of savings income is taxed at "&amp;SR_rate*100&amp;"%; but only if non-savings and savings income is less than "&amp;DOLLAR(P_A+SR_band,0)</f>
        <v>The first £5,000 of savings income is taxed at 0%; but only if non-savings and savings income is less than £16,500</v>
      </c>
      <c r="K4" s="2821"/>
    </row>
    <row r="5" spans="1:24" x14ac:dyDescent="0.35">
      <c r="A5" s="144" t="s">
        <v>3914</v>
      </c>
      <c r="B5" s="142" t="str">
        <f>"(the personal allowance – "&amp;DOLLAR(P_A,0)&amp;" plus the savings starting rate band of "&amp;DOLLAR(SR_band,0)&amp;")."</f>
        <v>(the personal allowance – £11,500 plus the savings starting rate band of £5,000).</v>
      </c>
      <c r="D5" s="2821"/>
    </row>
    <row r="6" spans="1:24" x14ac:dyDescent="0.35">
      <c r="A6" s="144" t="s">
        <v>3915</v>
      </c>
      <c r="B6" s="142" t="s">
        <v>6342</v>
      </c>
    </row>
    <row r="7" spans="1:24" x14ac:dyDescent="0.35">
      <c r="A7" s="144" t="s">
        <v>3916</v>
      </c>
    </row>
    <row r="8" spans="1:24" x14ac:dyDescent="0.35">
      <c r="A8" s="144" t="s">
        <v>3276</v>
      </c>
      <c r="B8" s="2821" t="s">
        <v>7160</v>
      </c>
      <c r="C8" s="2821"/>
      <c r="D8" s="2821"/>
      <c r="E8" s="2821"/>
      <c r="F8" s="2821"/>
      <c r="G8" s="2821"/>
      <c r="H8" s="2821"/>
      <c r="I8" s="2821"/>
      <c r="J8" s="2821"/>
      <c r="K8" s="2821"/>
      <c r="L8" s="2821"/>
      <c r="M8" s="2821"/>
      <c r="N8" s="2821"/>
      <c r="O8" s="2821"/>
    </row>
    <row r="9" spans="1:24" x14ac:dyDescent="0.35">
      <c r="A9" s="144" t="s">
        <v>2450</v>
      </c>
      <c r="B9" s="2821" t="s">
        <v>7161</v>
      </c>
      <c r="C9" s="2821"/>
      <c r="D9" s="2821"/>
      <c r="E9" s="2821"/>
      <c r="F9" s="2821"/>
      <c r="G9" s="2821"/>
      <c r="H9" s="2821"/>
      <c r="I9" s="2821"/>
      <c r="J9" s="2821"/>
      <c r="K9" s="2821"/>
      <c r="L9" s="2821"/>
      <c r="M9" s="2821"/>
      <c r="N9" s="2821"/>
      <c r="O9" s="2821"/>
    </row>
    <row r="10" spans="1:24" x14ac:dyDescent="0.35">
      <c r="A10" s="144" t="s">
        <v>3917</v>
      </c>
      <c r="B10" s="2821" t="s">
        <v>7162</v>
      </c>
      <c r="C10" s="2821"/>
      <c r="D10" s="2821"/>
      <c r="E10" s="2821"/>
      <c r="F10" s="2821"/>
      <c r="G10" s="2821"/>
      <c r="H10" s="2821"/>
      <c r="I10" s="2821"/>
      <c r="J10" s="2821"/>
      <c r="K10" s="2821"/>
      <c r="L10" s="2821"/>
      <c r="M10" s="2821"/>
      <c r="N10" s="2821"/>
      <c r="O10" s="2821"/>
      <c r="X10" s="141"/>
    </row>
    <row r="11" spans="1:24" x14ac:dyDescent="0.35">
      <c r="A11" s="144" t="s">
        <v>3918</v>
      </c>
    </row>
    <row r="12" spans="1:24" x14ac:dyDescent="0.35">
      <c r="A12" s="144" t="s">
        <v>3958</v>
      </c>
      <c r="B12" s="1930"/>
      <c r="C12" s="1930"/>
      <c r="D12" s="1930"/>
      <c r="E12" s="1930"/>
      <c r="F12" s="138" t="s">
        <v>3404</v>
      </c>
      <c r="G12" s="1930"/>
      <c r="H12" s="1931"/>
      <c r="I12" s="1930"/>
      <c r="J12" s="140" t="s">
        <v>1083</v>
      </c>
      <c r="K12" s="1930"/>
      <c r="L12" s="1931"/>
      <c r="M12" s="1930"/>
      <c r="N12" s="1930"/>
      <c r="O12" s="421" t="s">
        <v>3500</v>
      </c>
      <c r="P12" s="1931"/>
      <c r="Q12" s="1930"/>
      <c r="R12" s="140" t="s">
        <v>3501</v>
      </c>
      <c r="S12" s="1930"/>
      <c r="T12" s="1931"/>
      <c r="U12" s="1930"/>
      <c r="V12" s="140" t="s">
        <v>3502</v>
      </c>
      <c r="W12" s="1930"/>
    </row>
    <row r="13" spans="1:24" x14ac:dyDescent="0.35">
      <c r="A13" s="144" t="s">
        <v>3959</v>
      </c>
      <c r="B13" s="1930"/>
      <c r="C13" s="1930"/>
      <c r="D13" s="1930"/>
      <c r="E13" s="1930"/>
      <c r="F13" s="1930" t="s">
        <v>3405</v>
      </c>
      <c r="G13" s="1930"/>
      <c r="H13" s="1931"/>
      <c r="I13" s="1930"/>
      <c r="J13" s="1930" t="s">
        <v>1084</v>
      </c>
      <c r="K13" s="1930"/>
      <c r="L13" s="1931"/>
      <c r="M13" s="1930"/>
      <c r="N13" s="1930"/>
      <c r="O13" s="1930"/>
      <c r="P13" s="1931"/>
      <c r="Q13" s="1930"/>
      <c r="R13" s="1930" t="s">
        <v>3737</v>
      </c>
      <c r="S13" s="1930"/>
      <c r="T13" s="1931"/>
      <c r="U13" s="1930"/>
      <c r="V13" s="1930" t="s">
        <v>6346</v>
      </c>
      <c r="W13" s="1930"/>
    </row>
    <row r="14" spans="1:24" x14ac:dyDescent="0.35">
      <c r="A14" s="144" t="s">
        <v>3960</v>
      </c>
      <c r="B14" s="1930"/>
      <c r="C14" s="1930"/>
      <c r="D14" s="1930"/>
      <c r="E14" s="1930"/>
      <c r="F14" s="1930"/>
      <c r="G14" s="1930"/>
      <c r="H14" s="1931"/>
      <c r="I14" s="1930"/>
      <c r="J14" s="1930" t="s">
        <v>3231</v>
      </c>
      <c r="K14" s="1930"/>
      <c r="L14" s="1931"/>
      <c r="M14" s="421"/>
      <c r="N14" s="1930"/>
      <c r="O14" s="1930"/>
      <c r="P14" s="1931"/>
      <c r="Q14" s="1930"/>
      <c r="R14" s="1930"/>
      <c r="S14" s="1930"/>
      <c r="T14" s="1931"/>
      <c r="U14" s="1930"/>
      <c r="V14" s="1930" t="s">
        <v>6347</v>
      </c>
      <c r="W14" s="1930"/>
    </row>
    <row r="15" spans="1:24" x14ac:dyDescent="0.35">
      <c r="A15" s="144" t="s">
        <v>3390</v>
      </c>
      <c r="B15" s="1930"/>
      <c r="C15" s="1930"/>
      <c r="D15" s="1930"/>
      <c r="E15" s="1930"/>
      <c r="F15" s="1930"/>
      <c r="G15" s="1930"/>
      <c r="H15" s="1931"/>
      <c r="I15" s="1930"/>
      <c r="J15" s="1930" t="s">
        <v>6345</v>
      </c>
      <c r="K15" s="1930"/>
      <c r="L15" s="1931"/>
      <c r="M15" s="1932"/>
      <c r="N15" s="1930"/>
      <c r="O15" s="1930"/>
      <c r="P15" s="1931"/>
      <c r="Q15" s="1930"/>
      <c r="R15" s="1930"/>
      <c r="S15" s="1930"/>
      <c r="T15" s="1931"/>
      <c r="U15" s="1930"/>
      <c r="V15" s="1930"/>
      <c r="W15" s="1930"/>
    </row>
    <row r="16" spans="1:24" x14ac:dyDescent="0.35">
      <c r="A16" s="144" t="s">
        <v>2451</v>
      </c>
      <c r="H16" s="803"/>
      <c r="L16" s="803"/>
      <c r="P16" s="803"/>
      <c r="T16" s="803"/>
    </row>
    <row r="17" spans="1:25" s="1930" customFormat="1" x14ac:dyDescent="0.35">
      <c r="A17" s="144" t="s">
        <v>567</v>
      </c>
      <c r="B17" s="142"/>
      <c r="C17" s="142"/>
      <c r="D17" s="142"/>
      <c r="E17" s="142"/>
      <c r="F17" s="142"/>
      <c r="G17" s="143" t="str">
        <f>'Taxable (c5)'!AK74&amp;" + "&amp;'Taxable (c5)'!AK142</f>
        <v>c5.76 + c5.83</v>
      </c>
      <c r="H17" s="803"/>
      <c r="I17" s="142"/>
      <c r="J17" s="142"/>
      <c r="K17" s="143" t="str">
        <f>"from "&amp;'Taxable (c5)'!AK100</f>
        <v>from c5.78</v>
      </c>
      <c r="L17" s="803"/>
      <c r="M17" s="143"/>
      <c r="N17" s="141"/>
      <c r="O17" s="143" t="str">
        <f>'Taxable (c5)'!AK113&amp;" + "&amp;'Taxable (c5)'!AK121&amp;" + "&amp;'Taxable (c5)'!AK131</f>
        <v>c5.79 + c5.80 + c5.81</v>
      </c>
      <c r="P17" s="803"/>
      <c r="Q17" s="142"/>
      <c r="R17" s="142"/>
      <c r="S17" s="143" t="str">
        <f>'Taxable (c5)'!AK81&amp;" + "&amp;'Taxable (c5)'!AK147</f>
        <v>c5.77 + c5.84</v>
      </c>
      <c r="T17" s="803"/>
      <c r="U17" s="143"/>
      <c r="V17" s="141"/>
      <c r="W17" s="143" t="str">
        <f>"from "&amp;'Taxable (c5)'!AK137</f>
        <v>from c5.82</v>
      </c>
    </row>
    <row r="18" spans="1:25" s="1930" customFormat="1" x14ac:dyDescent="0.35">
      <c r="A18" s="144" t="s">
        <v>568</v>
      </c>
      <c r="B18" s="142"/>
      <c r="C18" s="142"/>
      <c r="D18" s="957" t="s">
        <v>56</v>
      </c>
      <c r="E18" s="142"/>
      <c r="F18" s="2984" t="str">
        <f>A1</f>
        <v>c6.1</v>
      </c>
      <c r="G18" s="2985">
        <f>'Taxable (c5)'!AL74+'Taxable (c5)'!AL142</f>
        <v>0</v>
      </c>
      <c r="H18" s="803"/>
      <c r="I18" s="142"/>
      <c r="J18" s="3034" t="str">
        <f>A11</f>
        <v>c6.11</v>
      </c>
      <c r="K18" s="2979">
        <f>'Taxable (c5)'!AL100</f>
        <v>0</v>
      </c>
      <c r="L18" s="803"/>
      <c r="M18" s="124"/>
      <c r="N18" s="2984" t="str">
        <f>A23</f>
        <v>c6.23</v>
      </c>
      <c r="O18" s="2979">
        <f>'Taxable (c5)'!AL113+'Taxable (c5)'!AL121+'Taxable (c5)'!AL131</f>
        <v>0</v>
      </c>
      <c r="P18" s="803"/>
      <c r="Q18" s="142"/>
      <c r="R18" s="2984" t="str">
        <f>A35</f>
        <v>c6.35</v>
      </c>
      <c r="S18" s="2985">
        <f>'Taxable (c5)'!AL81+'Taxable (c5)'!AL147</f>
        <v>0</v>
      </c>
      <c r="T18" s="803"/>
      <c r="U18" s="142"/>
      <c r="V18" s="2984" t="str">
        <f>A45</f>
        <v>c6.45</v>
      </c>
      <c r="W18" s="2979">
        <f>'Taxable (c5)'!AL137</f>
        <v>0</v>
      </c>
      <c r="X18" s="140"/>
      <c r="Y18" s="140"/>
    </row>
    <row r="19" spans="1:25" s="1930" customFormat="1" x14ac:dyDescent="0.35">
      <c r="A19" s="144" t="s">
        <v>569</v>
      </c>
      <c r="B19" s="142"/>
      <c r="C19" s="142"/>
      <c r="D19" s="142"/>
      <c r="E19" s="142"/>
      <c r="F19" s="142"/>
      <c r="G19" s="440" t="s">
        <v>626</v>
      </c>
      <c r="H19" s="803"/>
      <c r="I19" s="142"/>
      <c r="J19" s="142"/>
      <c r="K19" s="142"/>
      <c r="L19" s="803"/>
      <c r="M19" s="142"/>
      <c r="N19" s="142"/>
      <c r="O19" s="142"/>
      <c r="P19" s="803"/>
      <c r="Q19" s="142"/>
      <c r="R19" s="142"/>
      <c r="S19" s="142"/>
      <c r="T19" s="803"/>
      <c r="U19" s="142"/>
      <c r="V19" s="2821"/>
      <c r="W19" s="2821" t="str">
        <f>"SR_band ("&amp;DOLLAR(SR_band,0)&amp;") minus "</f>
        <v xml:space="preserve">SR_band (£5,000) minus </v>
      </c>
      <c r="X19" s="140"/>
      <c r="Y19" s="140"/>
    </row>
    <row r="20" spans="1:25" s="1930" customFormat="1" x14ac:dyDescent="0.35">
      <c r="A20" s="144" t="s">
        <v>570</v>
      </c>
      <c r="B20" s="142"/>
      <c r="C20" s="142"/>
      <c r="D20" s="440" t="s">
        <v>1939</v>
      </c>
      <c r="E20" s="421"/>
      <c r="F20" s="2984" t="s">
        <v>1135</v>
      </c>
      <c r="G20" s="2986">
        <f>SR_band</f>
        <v>5000</v>
      </c>
      <c r="H20" s="803"/>
      <c r="I20" s="142"/>
      <c r="J20" s="2821"/>
      <c r="K20" s="1515" t="str">
        <f>"SR_band ("&amp;DOLLAR(SR_band,0)&amp;") minus "&amp;F18</f>
        <v>SR_band (£5,000) minus c6.1</v>
      </c>
      <c r="L20" s="803"/>
      <c r="M20" s="1530"/>
      <c r="N20" s="1514"/>
      <c r="O20" s="1530"/>
      <c r="P20" s="1513"/>
      <c r="Q20" s="1530"/>
      <c r="R20" s="2650"/>
      <c r="S20" s="3032" t="s">
        <v>7365</v>
      </c>
      <c r="T20" s="1513"/>
      <c r="U20" s="1530"/>
      <c r="V20" s="3035"/>
      <c r="W20" s="1515" t="str">
        <f>"("&amp;F18&amp;" + "&amp;J18&amp;" + "&amp;N18&amp;" + "&amp;R18&amp;")"</f>
        <v>(c6.1 + c6.11 + c6.23 + c6.35)</v>
      </c>
      <c r="Y20" s="140"/>
    </row>
    <row r="21" spans="1:25" x14ac:dyDescent="0.35">
      <c r="A21" s="144" t="s">
        <v>571</v>
      </c>
      <c r="G21" s="1505" t="s">
        <v>7365</v>
      </c>
      <c r="H21" s="803"/>
      <c r="J21" s="3034" t="str">
        <f>A12</f>
        <v>c6.12</v>
      </c>
      <c r="K21" s="2985">
        <f>MAX(0,SR_band-G18)</f>
        <v>5000</v>
      </c>
      <c r="L21" s="803"/>
      <c r="M21" s="1531"/>
      <c r="N21" s="2987"/>
      <c r="O21" s="2988"/>
      <c r="P21" s="1513"/>
      <c r="Q21" s="1531"/>
      <c r="R21" s="2984" t="s">
        <v>2421</v>
      </c>
      <c r="S21" s="2985">
        <v>0</v>
      </c>
      <c r="T21" s="1513"/>
      <c r="U21" s="1531"/>
      <c r="V21" s="2984" t="str">
        <f>A46</f>
        <v>c6.46</v>
      </c>
      <c r="W21" s="2985">
        <f>MAX(0,SR_band-(G18+K18+O18+S18))</f>
        <v>5000</v>
      </c>
      <c r="Y21" s="141"/>
    </row>
    <row r="22" spans="1:25" x14ac:dyDescent="0.35">
      <c r="A22" s="144" t="s">
        <v>572</v>
      </c>
      <c r="D22" s="957" t="s">
        <v>1894</v>
      </c>
      <c r="E22" s="440"/>
      <c r="F22" s="2993" t="s">
        <v>1136</v>
      </c>
      <c r="G22" s="3662">
        <v>0</v>
      </c>
      <c r="H22" s="803"/>
      <c r="L22" s="803"/>
      <c r="M22" s="1512"/>
      <c r="N22" s="1514"/>
      <c r="O22" s="1514"/>
      <c r="P22" s="1513"/>
      <c r="Q22" s="1512"/>
      <c r="T22" s="1513"/>
      <c r="U22" s="1512"/>
      <c r="X22" s="143"/>
      <c r="Y22" s="141"/>
    </row>
    <row r="23" spans="1:25" x14ac:dyDescent="0.35">
      <c r="A23" s="144" t="s">
        <v>573</v>
      </c>
      <c r="F23" s="141"/>
      <c r="G23" s="1505" t="s">
        <v>7365</v>
      </c>
      <c r="H23" s="803"/>
      <c r="J23" s="2821"/>
      <c r="K23" s="1515" t="str">
        <f>"lower of "&amp;J18&amp;" and "&amp;J21</f>
        <v>lower of c6.11 and c6.12</v>
      </c>
      <c r="L23" s="803"/>
      <c r="M23" s="1514"/>
      <c r="N23" s="1514"/>
      <c r="O23" s="1530"/>
      <c r="P23" s="1513"/>
      <c r="Q23" s="1514"/>
      <c r="R23" s="2650"/>
      <c r="S23" s="3032" t="s">
        <v>7365</v>
      </c>
      <c r="T23" s="1513"/>
      <c r="U23" s="1514"/>
      <c r="V23" s="1639"/>
      <c r="W23" s="440" t="str">
        <f>"lower of "&amp;V18&amp;" and "&amp;V21</f>
        <v>lower of c6.45 and c6.46</v>
      </c>
      <c r="X23" s="143"/>
      <c r="Y23" s="141"/>
    </row>
    <row r="24" spans="1:25" x14ac:dyDescent="0.35">
      <c r="A24" s="144" t="s">
        <v>574</v>
      </c>
      <c r="D24" s="440" t="s">
        <v>5475</v>
      </c>
      <c r="F24" s="2984" t="s">
        <v>3275</v>
      </c>
      <c r="G24" s="3662">
        <v>0</v>
      </c>
      <c r="H24" s="803"/>
      <c r="J24" s="3034" t="str">
        <f>A13</f>
        <v>c6.13</v>
      </c>
      <c r="K24" s="2986">
        <f>MIN(K18,K21)</f>
        <v>0</v>
      </c>
      <c r="L24" s="803"/>
      <c r="M24" s="1514"/>
      <c r="N24" s="2987"/>
      <c r="O24" s="2989"/>
      <c r="P24" s="1513"/>
      <c r="Q24" s="1514"/>
      <c r="R24" s="2993" t="s">
        <v>4</v>
      </c>
      <c r="S24" s="2985">
        <v>0</v>
      </c>
      <c r="T24" s="1513"/>
      <c r="U24" s="1514"/>
      <c r="V24" s="2984" t="str">
        <f>A47</f>
        <v>c6.47</v>
      </c>
      <c r="W24" s="2986">
        <f>MIN(W18,W21)</f>
        <v>0</v>
      </c>
      <c r="X24" s="141"/>
      <c r="Y24" s="141"/>
    </row>
    <row r="25" spans="1:25" x14ac:dyDescent="0.35">
      <c r="A25" s="144" t="s">
        <v>1462</v>
      </c>
      <c r="C25" s="1451"/>
      <c r="D25" s="440" t="s">
        <v>5585</v>
      </c>
      <c r="G25" s="1515" t="str">
        <f>"SavBR_band ("&amp;DOLLAR(SavBR_band,0)&amp;") + "&amp;'Deductions (c4)'!H162</f>
        <v>SavBR_band (£28,500) + c4.59</v>
      </c>
      <c r="H25" s="803"/>
      <c r="L25" s="803"/>
      <c r="M25" s="1512"/>
      <c r="N25" s="1514"/>
      <c r="O25" s="1514"/>
      <c r="P25" s="1513"/>
      <c r="Q25" s="141"/>
      <c r="T25" s="803"/>
      <c r="V25" s="2821"/>
      <c r="W25" s="2821" t="s">
        <v>6786</v>
      </c>
      <c r="X25" s="141"/>
      <c r="Y25" s="141"/>
    </row>
    <row r="26" spans="1:25" x14ac:dyDescent="0.35">
      <c r="A26" s="144" t="s">
        <v>1463</v>
      </c>
      <c r="D26" s="1638" t="s">
        <v>4576</v>
      </c>
      <c r="F26" s="2984" t="s">
        <v>3914</v>
      </c>
      <c r="G26" s="2985">
        <f>SavBR_band+'Deductions (c4)'!I162</f>
        <v>28500</v>
      </c>
      <c r="H26" s="803"/>
      <c r="J26" s="2821"/>
      <c r="K26" s="1515" t="str">
        <f>"lower of SR_band ("&amp;DOLLAR(SR_band,0)&amp;") and "&amp;J24</f>
        <v>lower of SR_band (£5,000) and c6.13</v>
      </c>
      <c r="L26" s="803"/>
      <c r="M26" s="1512"/>
      <c r="N26" s="1514"/>
      <c r="O26" s="1530"/>
      <c r="P26" s="1513"/>
      <c r="Q26" s="1512"/>
      <c r="R26" s="2650"/>
      <c r="S26" s="3032" t="s">
        <v>7365</v>
      </c>
      <c r="T26" s="1513"/>
      <c r="U26" s="1512"/>
      <c r="V26" s="2821"/>
      <c r="W26" s="1515" t="str">
        <f>"(SR_band ("&amp;DOLLAR(SR_band,0)&amp;") minus "&amp;J27&amp;") and "&amp;V24</f>
        <v>(SR_band (£5,000) minus c6.14) and c6.47</v>
      </c>
      <c r="X26" s="141"/>
      <c r="Y26" s="141"/>
    </row>
    <row r="27" spans="1:25" x14ac:dyDescent="0.35">
      <c r="A27" s="144" t="s">
        <v>1464</v>
      </c>
      <c r="D27" s="957" t="s">
        <v>1894</v>
      </c>
      <c r="H27" s="803"/>
      <c r="J27" s="3030" t="str">
        <f>A14</f>
        <v>c6.14</v>
      </c>
      <c r="K27" s="2986">
        <f>MIN(SR_band,K24)</f>
        <v>0</v>
      </c>
      <c r="L27" s="803"/>
      <c r="M27" s="1512"/>
      <c r="N27" s="2987"/>
      <c r="O27" s="2989"/>
      <c r="P27" s="1513"/>
      <c r="Q27" s="1512"/>
      <c r="R27" s="2984" t="s">
        <v>5</v>
      </c>
      <c r="S27" s="2985">
        <v>0</v>
      </c>
      <c r="T27" s="1513"/>
      <c r="U27" s="1512"/>
      <c r="V27" s="2993" t="str">
        <f>A48</f>
        <v>c6.48</v>
      </c>
      <c r="W27" s="2986">
        <f>MIN(SR_band-K27,W24)</f>
        <v>0</v>
      </c>
      <c r="X27" s="141"/>
      <c r="Y27" s="141"/>
    </row>
    <row r="28" spans="1:25" x14ac:dyDescent="0.35">
      <c r="A28" s="144" t="s">
        <v>1465</v>
      </c>
      <c r="H28" s="803"/>
      <c r="L28" s="803"/>
      <c r="N28" s="1514"/>
      <c r="O28" s="1514"/>
      <c r="P28" s="803"/>
      <c r="T28" s="803"/>
      <c r="X28" s="141"/>
      <c r="Y28" s="141"/>
    </row>
    <row r="29" spans="1:25" x14ac:dyDescent="0.35">
      <c r="A29" s="144" t="s">
        <v>2414</v>
      </c>
      <c r="H29" s="803"/>
      <c r="L29" s="803"/>
      <c r="N29" s="1514"/>
      <c r="O29" s="1530"/>
      <c r="P29" s="803"/>
      <c r="T29" s="803"/>
      <c r="X29" s="141"/>
      <c r="Y29" s="141"/>
    </row>
    <row r="30" spans="1:25" x14ac:dyDescent="0.35">
      <c r="A30" s="144" t="s">
        <v>2415</v>
      </c>
      <c r="H30" s="803"/>
      <c r="J30" s="141"/>
      <c r="K30" s="3032" t="s">
        <v>7365</v>
      </c>
      <c r="L30" s="803"/>
      <c r="M30" s="141"/>
      <c r="N30" s="1514"/>
      <c r="O30" s="1530"/>
      <c r="P30" s="803"/>
      <c r="R30" s="141"/>
      <c r="S30" s="3032" t="s">
        <v>7365</v>
      </c>
      <c r="T30" s="803"/>
      <c r="U30" s="442"/>
      <c r="V30" s="141"/>
      <c r="W30" s="3032" t="s">
        <v>7365</v>
      </c>
      <c r="X30" s="141"/>
      <c r="Y30" s="141"/>
    </row>
    <row r="31" spans="1:25" x14ac:dyDescent="0.35">
      <c r="A31" s="144" t="s">
        <v>2416</v>
      </c>
      <c r="H31" s="803"/>
      <c r="J31" s="3033" t="s">
        <v>3390</v>
      </c>
      <c r="K31" s="2985">
        <v>0</v>
      </c>
      <c r="L31" s="803"/>
      <c r="M31" s="141"/>
      <c r="N31" s="2987"/>
      <c r="O31" s="2990"/>
      <c r="P31" s="803"/>
      <c r="Q31" s="141"/>
      <c r="R31" s="2984" t="s">
        <v>649</v>
      </c>
      <c r="S31" s="2985">
        <v>0</v>
      </c>
      <c r="T31" s="803"/>
      <c r="U31" s="419"/>
      <c r="V31" s="2984" t="s">
        <v>7163</v>
      </c>
      <c r="W31" s="2985">
        <v>0</v>
      </c>
      <c r="X31" s="141"/>
      <c r="Y31" s="141"/>
    </row>
    <row r="32" spans="1:25" x14ac:dyDescent="0.35">
      <c r="A32" s="144" t="s">
        <v>2417</v>
      </c>
      <c r="H32" s="803"/>
      <c r="L32" s="803"/>
      <c r="M32" s="141"/>
      <c r="P32" s="803"/>
      <c r="Q32" s="141"/>
      <c r="R32" s="141"/>
      <c r="S32" s="419"/>
      <c r="T32" s="803"/>
      <c r="U32" s="419"/>
      <c r="V32" s="1512"/>
      <c r="W32" s="1512"/>
      <c r="Y32" s="141"/>
    </row>
    <row r="33" spans="1:25" x14ac:dyDescent="0.35">
      <c r="A33" s="144" t="s">
        <v>2418</v>
      </c>
      <c r="D33" s="142" t="s">
        <v>5583</v>
      </c>
      <c r="H33" s="803"/>
      <c r="K33" s="440" t="str">
        <f>"PSA from "&amp;'Deductions (c4)'!L326</f>
        <v>PSA from c4.79</v>
      </c>
      <c r="L33" s="803"/>
      <c r="O33" s="440" t="str">
        <f>"DA from "&amp;'Deductions (c4)'!L333</f>
        <v>DA from c4.80</v>
      </c>
      <c r="P33" s="803"/>
      <c r="T33" s="803"/>
      <c r="V33" s="1637"/>
      <c r="W33" s="440" t="str">
        <f>J34&amp;" minus "&amp;J38</f>
        <v>c6.16 minus c6.17</v>
      </c>
      <c r="Y33" s="141"/>
    </row>
    <row r="34" spans="1:25" x14ac:dyDescent="0.35">
      <c r="A34" s="144" t="s">
        <v>2419</v>
      </c>
      <c r="D34" s="440" t="s">
        <v>5474</v>
      </c>
      <c r="H34" s="803"/>
      <c r="J34" s="3034" t="str">
        <f>A16</f>
        <v>c6.16</v>
      </c>
      <c r="K34" s="2985">
        <f>PSA</f>
        <v>1000</v>
      </c>
      <c r="L34" s="803"/>
      <c r="N34" s="2984" t="str">
        <f>A24</f>
        <v>c6.24</v>
      </c>
      <c r="O34" s="2991">
        <f>'Deductions (c4)'!M333</f>
        <v>5000</v>
      </c>
      <c r="P34" s="803"/>
      <c r="T34" s="803"/>
      <c r="V34" s="2984" t="str">
        <f>A50</f>
        <v>c6.50</v>
      </c>
      <c r="W34" s="2985">
        <f>MAX(0,K34-K38)</f>
        <v>1000</v>
      </c>
      <c r="Y34" s="141"/>
    </row>
    <row r="35" spans="1:25" x14ac:dyDescent="0.35">
      <c r="A35" s="144" t="s">
        <v>2420</v>
      </c>
      <c r="H35" s="803"/>
      <c r="L35" s="803"/>
      <c r="P35" s="803"/>
      <c r="T35" s="803"/>
      <c r="Y35" s="141"/>
    </row>
    <row r="36" spans="1:25" x14ac:dyDescent="0.35">
      <c r="A36" s="144" t="s">
        <v>2421</v>
      </c>
      <c r="H36" s="803"/>
      <c r="K36" s="2821" t="str">
        <f>"lower of ("&amp;J18&amp;" minus "&amp;J27&amp;")"</f>
        <v>lower of (c6.11 minus c6.14)</v>
      </c>
      <c r="L36" s="803"/>
      <c r="P36" s="803"/>
      <c r="T36" s="803"/>
      <c r="W36" s="2821"/>
      <c r="X36" s="143"/>
      <c r="Y36" s="141"/>
    </row>
    <row r="37" spans="1:25" x14ac:dyDescent="0.35">
      <c r="A37" s="144" t="s">
        <v>4</v>
      </c>
      <c r="C37" s="1930"/>
      <c r="D37" s="142" t="s">
        <v>5583</v>
      </c>
      <c r="H37" s="803"/>
      <c r="K37" s="1515" t="str">
        <f>"and "&amp;J34</f>
        <v>and c6.16</v>
      </c>
      <c r="L37" s="803"/>
      <c r="O37" s="440" t="str">
        <f>"lower of "&amp;N18&amp;" and "&amp;N34</f>
        <v>lower of c6.23 and c6.24</v>
      </c>
      <c r="P37" s="803"/>
      <c r="T37" s="803"/>
      <c r="V37" s="1637"/>
      <c r="W37" s="1515" t="str">
        <f>"lower of ("&amp;V18&amp;" minus "&amp;V27&amp;") and "&amp;V34</f>
        <v>lower of (c6.45 minus c6.48) and c6.50</v>
      </c>
      <c r="X37" s="143"/>
      <c r="Y37" s="141"/>
    </row>
    <row r="38" spans="1:25" x14ac:dyDescent="0.35">
      <c r="A38" s="144" t="s">
        <v>5</v>
      </c>
      <c r="C38" s="1930"/>
      <c r="D38" s="109" t="s">
        <v>5491</v>
      </c>
      <c r="H38" s="803"/>
      <c r="J38" s="3030" t="str">
        <f>A17</f>
        <v>c6.17</v>
      </c>
      <c r="K38" s="2986">
        <f>MIN(MAX(0,K18-K27),K34)</f>
        <v>0</v>
      </c>
      <c r="L38" s="803"/>
      <c r="N38" s="2993" t="str">
        <f>A25</f>
        <v>c6.25</v>
      </c>
      <c r="O38" s="2992">
        <f>MIN(O18,O34)</f>
        <v>0</v>
      </c>
      <c r="P38" s="803"/>
      <c r="T38" s="803"/>
      <c r="V38" s="2993" t="str">
        <f>A51</f>
        <v>c6.51</v>
      </c>
      <c r="W38" s="2986">
        <f>MIN(MAX(0,W18-W27),W34)</f>
        <v>0</v>
      </c>
      <c r="X38" s="143"/>
      <c r="Y38" s="141"/>
    </row>
    <row r="39" spans="1:25" x14ac:dyDescent="0.35">
      <c r="A39" s="144" t="s">
        <v>649</v>
      </c>
      <c r="H39" s="803"/>
      <c r="L39" s="803"/>
      <c r="O39" s="1515" t="str">
        <f>"lower of ("&amp;N18&amp;" and"</f>
        <v>lower of (c6.23 and</v>
      </c>
      <c r="P39" s="803"/>
      <c r="T39" s="803"/>
      <c r="X39" s="143"/>
      <c r="Y39" s="141"/>
    </row>
    <row r="40" spans="1:25" x14ac:dyDescent="0.35">
      <c r="A40" s="144" t="s">
        <v>1492</v>
      </c>
      <c r="H40" s="803"/>
      <c r="L40" s="803"/>
      <c r="O40" s="1515" t="str">
        <f>" (BR_band ("&amp;DOLLAR(BR_band,0)&amp;") + "&amp;'Deductions (c4)'!H162&amp;") minus"</f>
        <v xml:space="preserve"> (BR_band (£33,500) + c4.59) minus</v>
      </c>
      <c r="P40" s="803"/>
      <c r="T40" s="803"/>
      <c r="X40" s="143"/>
      <c r="Y40" s="141"/>
    </row>
    <row r="41" spans="1:25" x14ac:dyDescent="0.35">
      <c r="A41" s="144" t="s">
        <v>1493</v>
      </c>
      <c r="H41" s="803"/>
      <c r="L41" s="803"/>
      <c r="O41" s="1515" t="str">
        <f>"("&amp;F48&amp;" + "&amp;F61&amp;" + "&amp;J27&amp;" + "&amp;J38&amp;" + "&amp;J48&amp;"))"</f>
        <v>(c6.6 + c6.9 + c6.14 + c6.17 + c6.18))</v>
      </c>
      <c r="P41" s="803"/>
      <c r="T41" s="803"/>
      <c r="X41" s="143"/>
      <c r="Y41" s="141"/>
    </row>
    <row r="42" spans="1:25" x14ac:dyDescent="0.35">
      <c r="A42" s="144" t="s">
        <v>1494</v>
      </c>
      <c r="D42" s="142" t="s">
        <v>7164</v>
      </c>
      <c r="H42" s="803"/>
      <c r="L42" s="803"/>
      <c r="N42" s="2993" t="str">
        <f>A26</f>
        <v>c6.26</v>
      </c>
      <c r="O42" s="2992">
        <f>MIN(O18,MAX(0,(BR_band+'Deductions (c4)'!I162)-(G48+G61+K27+K38+K48)))</f>
        <v>0</v>
      </c>
      <c r="P42" s="803"/>
      <c r="T42" s="803"/>
      <c r="X42" s="143"/>
      <c r="Y42" s="141"/>
    </row>
    <row r="43" spans="1:25" x14ac:dyDescent="0.35">
      <c r="A43" s="144" t="s">
        <v>5492</v>
      </c>
      <c r="H43" s="803"/>
      <c r="L43" s="803"/>
      <c r="O43" s="1515" t="str">
        <f>"lower of "&amp;N38&amp;" and "&amp;N42</f>
        <v>lower of c6.25 and c6.26</v>
      </c>
      <c r="P43" s="803"/>
      <c r="T43" s="803"/>
      <c r="X43" s="143"/>
      <c r="Y43" s="141"/>
    </row>
    <row r="44" spans="1:25" x14ac:dyDescent="0.35">
      <c r="A44" s="144" t="s">
        <v>5495</v>
      </c>
      <c r="D44" s="142" t="s">
        <v>7165</v>
      </c>
      <c r="H44" s="803"/>
      <c r="L44" s="803"/>
      <c r="N44" s="2993" t="str">
        <f>A27</f>
        <v>c6.27</v>
      </c>
      <c r="O44" s="2992">
        <f>MIN(O38,O42)</f>
        <v>0</v>
      </c>
      <c r="P44" s="803"/>
      <c r="T44" s="803"/>
      <c r="V44" s="2821"/>
      <c r="W44" s="1515" t="str">
        <f>"lower of ("&amp;V18&amp;" minus "&amp;"("&amp;V27&amp;" + "&amp;V38&amp;")) and"</f>
        <v>lower of (c6.45 minus (c6.48 + c6.51)) and</v>
      </c>
      <c r="X44" s="143"/>
      <c r="Y44" s="141"/>
    </row>
    <row r="45" spans="1:25" x14ac:dyDescent="0.35">
      <c r="A45" s="144" t="s">
        <v>5496</v>
      </c>
      <c r="H45" s="803"/>
      <c r="J45" s="2821"/>
      <c r="K45" s="1515" t="str">
        <f>"lower of ("&amp;J18&amp;" minus "&amp;"("&amp;J27&amp;" + "&amp;J38&amp;")) and"</f>
        <v>lower of (c6.11 minus (c6.14 + c6.17)) and</v>
      </c>
      <c r="L45" s="803"/>
      <c r="P45" s="803"/>
      <c r="S45" s="1515" t="str">
        <f>"lower of "&amp;R18&amp;" and "</f>
        <v xml:space="preserve">lower of c6.35 and </v>
      </c>
      <c r="T45" s="803"/>
      <c r="V45" s="2821"/>
      <c r="W45" s="1515" t="str">
        <f>"((BR_band ("&amp;DOLLAR(BR_band,0)&amp;") + "&amp;'Deductions (c4)'!H162&amp;") minus"</f>
        <v>((BR_band (£33,500) + c4.59) minus</v>
      </c>
      <c r="X45" s="143"/>
      <c r="Y45" s="141"/>
    </row>
    <row r="46" spans="1:25" x14ac:dyDescent="0.35">
      <c r="A46" s="144" t="s">
        <v>1495</v>
      </c>
      <c r="H46" s="803"/>
      <c r="J46" s="2821"/>
      <c r="K46" s="1515" t="str">
        <f>"((BR_band ("&amp;DOLLAR(BR_band,0)&amp;") + "&amp;'Deductions (c4)'!H162&amp;")"</f>
        <v>((BR_band (£33,500) + c4.59)</v>
      </c>
      <c r="L46" s="803"/>
      <c r="P46" s="803"/>
      <c r="S46" s="3065" t="str">
        <f>"(("&amp;'Status (c3a)'!H21&amp;" + "&amp;'Deductions (c4)'!H162&amp;") minus"</f>
        <v>((c3a.2 + c4.59) minus</v>
      </c>
      <c r="T46" s="803"/>
      <c r="V46" s="2821"/>
      <c r="W46" s="3063" t="str">
        <f>"("&amp;F48&amp;" + "&amp;F52&amp;" +  "&amp;J27&amp;" + "&amp;J38&amp;" + "&amp;J48&amp;" + "</f>
        <v xml:space="preserve">(c6.6 + c6.7 +  c6.14 + c6.17 + c6.18 + </v>
      </c>
      <c r="X46" s="143"/>
      <c r="Y46" s="141"/>
    </row>
    <row r="47" spans="1:25" x14ac:dyDescent="0.35">
      <c r="A47" s="144" t="s">
        <v>5584</v>
      </c>
      <c r="F47" s="2821"/>
      <c r="G47" s="1515" t="str">
        <f>"lower of "&amp;F18&amp;" and ("&amp;'Status (c3a)'!H21&amp;" + "&amp;'Deductions (c4)'!H162&amp;")"</f>
        <v>lower of c6.1 and (c3a.2 + c4.59)</v>
      </c>
      <c r="H47" s="803"/>
      <c r="J47" s="2650"/>
      <c r="K47" s="3065" t="str">
        <f>"minus ("&amp;F48&amp;" + "&amp;F52&amp;" + "&amp;J27&amp;" + "&amp;J38&amp;"))"</f>
        <v>minus (c6.6 + c6.7 + c6.14 + c6.17))</v>
      </c>
      <c r="L47" s="803"/>
      <c r="O47" s="1515" t="str">
        <f>N42&amp;" minus "&amp;N44</f>
        <v>c6.26 minus c6.27</v>
      </c>
      <c r="P47" s="803"/>
      <c r="S47" s="1515" t="str">
        <f>"("&amp;F48&amp;" + "&amp;J27&amp;" + "&amp;J38&amp;" + "&amp;J48&amp;" + "&amp;N42&amp;"))"</f>
        <v>(c6.6 + c6.14 + c6.17 + c6.18 + c6.26))</v>
      </c>
      <c r="T47" s="803"/>
      <c r="V47" s="2821"/>
      <c r="W47" s="3065" t="str">
        <f>N42&amp;" + "&amp;R48&amp;" + "&amp;R52&amp;" + "&amp;V27&amp;" + "&amp;V38&amp;"))"</f>
        <v>c6.26 + c6.40 + c6.41 + c6.48 + c6.51))</v>
      </c>
      <c r="Y47" s="141"/>
    </row>
    <row r="48" spans="1:25" x14ac:dyDescent="0.35">
      <c r="A48" s="144" t="s">
        <v>5586</v>
      </c>
      <c r="D48" s="957" t="s">
        <v>1895</v>
      </c>
      <c r="E48" s="440"/>
      <c r="F48" s="3030" t="str">
        <f>A6</f>
        <v>c6.6</v>
      </c>
      <c r="G48" s="2986">
        <f>MIN(G18,'Status (c3a)'!I21+'Deductions (c4)'!I162)</f>
        <v>0</v>
      </c>
      <c r="H48" s="803"/>
      <c r="J48" s="3030" t="str">
        <f>A18</f>
        <v>c6.18</v>
      </c>
      <c r="K48" s="3819">
        <f>MIN(MAX(0,K18-(K27+K38)),MAX(0,(BR_band+'Deductions (c4)'!I162)-(G48+G52+K27+K38)))</f>
        <v>0</v>
      </c>
      <c r="L48" s="803"/>
      <c r="M48" s="141"/>
      <c r="N48" s="2993" t="str">
        <f>A28</f>
        <v>c6.28</v>
      </c>
      <c r="O48" s="2986">
        <f>MAX(0,O42-O44)</f>
        <v>0</v>
      </c>
      <c r="P48" s="803"/>
      <c r="R48" s="2993" t="str">
        <f>A40</f>
        <v>c6.40</v>
      </c>
      <c r="S48" s="2986">
        <f>MIN(S18,MAX(0,'Status (c3a)'!I21+'Deductions (c4)'!I162-(G48+K27+K38+K48+O42)))</f>
        <v>0</v>
      </c>
      <c r="T48" s="803"/>
      <c r="V48" s="2993" t="str">
        <f>A52</f>
        <v>c6.52</v>
      </c>
      <c r="W48" s="2986">
        <f>MIN(MAX(0,W18-(W27+W38)),MAX(0,(BR_band+'Deductions (c4)'!I162)-(G48+G52+K27+K38+K48+O42+S48+S52+W27+W38)))</f>
        <v>0</v>
      </c>
      <c r="Y48" s="141"/>
    </row>
    <row r="49" spans="1:25" x14ac:dyDescent="0.35">
      <c r="A49" s="144" t="s">
        <v>7163</v>
      </c>
      <c r="H49" s="803"/>
      <c r="K49" s="141"/>
      <c r="L49" s="803"/>
      <c r="M49" s="141"/>
      <c r="P49" s="803"/>
      <c r="T49" s="803"/>
      <c r="Y49" s="141"/>
    </row>
    <row r="50" spans="1:25" x14ac:dyDescent="0.35">
      <c r="A50" s="144" t="s">
        <v>7168</v>
      </c>
      <c r="G50" s="143"/>
      <c r="H50" s="803"/>
      <c r="L50" s="803"/>
      <c r="P50" s="803"/>
      <c r="T50" s="803"/>
      <c r="X50" s="141"/>
      <c r="Y50" s="141"/>
    </row>
    <row r="51" spans="1:25" x14ac:dyDescent="0.35">
      <c r="A51" s="144" t="s">
        <v>7169</v>
      </c>
      <c r="C51" s="1512"/>
      <c r="D51" s="1512"/>
      <c r="E51" s="1512"/>
      <c r="F51" s="1639"/>
      <c r="G51" s="3032" t="str">
        <f>F18&amp;" minus "&amp;F48</f>
        <v>c6.1 minus c6.6</v>
      </c>
      <c r="H51" s="803"/>
      <c r="J51" s="1639"/>
      <c r="K51" s="3032" t="str">
        <f>J18&amp;" minus ("&amp;J27&amp;" + "&amp;J38&amp;" + "&amp;J48&amp;")"</f>
        <v>c6.11 minus (c6.14 + c6.17 + c6.18)</v>
      </c>
      <c r="L51" s="803"/>
      <c r="M51" s="141"/>
      <c r="O51" s="3032" t="str">
        <f>N18&amp;" minus "&amp;N42</f>
        <v>c6.23 minus c6.26</v>
      </c>
      <c r="P51" s="803"/>
      <c r="R51" s="1639"/>
      <c r="S51" s="1505" t="str">
        <f>R18&amp;" minus "&amp;R48</f>
        <v>c6.35 minus c6.40</v>
      </c>
      <c r="T51" s="803"/>
      <c r="V51" s="1639"/>
      <c r="W51" s="3032" t="str">
        <f>V18&amp;" minus ("&amp;V27&amp;" + "&amp;V38&amp;" + "&amp;V48&amp;")"</f>
        <v>c6.45 minus (c6.48 + c6.51 + c6.52)</v>
      </c>
      <c r="X51" s="141"/>
      <c r="Y51" s="141"/>
    </row>
    <row r="52" spans="1:25" x14ac:dyDescent="0.35">
      <c r="A52" s="142" t="s">
        <v>7366</v>
      </c>
      <c r="B52" s="2821"/>
      <c r="C52" s="3031"/>
      <c r="D52" s="1515" t="s">
        <v>5476</v>
      </c>
      <c r="E52" s="3031"/>
      <c r="F52" s="3033" t="str">
        <f>A7</f>
        <v>c6.7</v>
      </c>
      <c r="G52" s="2985">
        <f>MAX(0,(G18-G48))</f>
        <v>0</v>
      </c>
      <c r="H52" s="803"/>
      <c r="J52" s="3033" t="str">
        <f>A19</f>
        <v>c6.19</v>
      </c>
      <c r="K52" s="2985">
        <f>MAX(0,K18-(K27+K38+K48))</f>
        <v>0</v>
      </c>
      <c r="L52" s="803"/>
      <c r="M52" s="141"/>
      <c r="N52" s="2984" t="str">
        <f>A29</f>
        <v>c6.29</v>
      </c>
      <c r="O52" s="2985">
        <f>MAX(0,(O18-O42))</f>
        <v>0</v>
      </c>
      <c r="P52" s="803"/>
      <c r="R52" s="2994" t="str">
        <f>A41</f>
        <v>c6.41</v>
      </c>
      <c r="S52" s="2985">
        <f>MAX(0,S18-S48)</f>
        <v>0</v>
      </c>
      <c r="T52" s="803"/>
      <c r="V52" s="2994" t="str">
        <f>A53</f>
        <v>c6.53</v>
      </c>
      <c r="W52" s="2985">
        <f>MAX(0,W18-(W27+W38+W48))</f>
        <v>0</v>
      </c>
      <c r="Y52" s="141"/>
    </row>
    <row r="53" spans="1:25" x14ac:dyDescent="0.35">
      <c r="A53" s="142" t="s">
        <v>7367</v>
      </c>
      <c r="H53" s="803"/>
      <c r="L53" s="803"/>
      <c r="M53" s="141"/>
      <c r="O53" s="1637"/>
      <c r="P53" s="803"/>
      <c r="T53" s="803"/>
      <c r="W53" s="2821" t="str">
        <f>"HR_band ("&amp;DOLLAR(HR_band,0)&amp;") minus"</f>
        <v>HR_band (£116,500) minus</v>
      </c>
      <c r="X53" s="141"/>
      <c r="Y53" s="141"/>
    </row>
    <row r="54" spans="1:25" x14ac:dyDescent="0.35">
      <c r="A54" s="142" t="s">
        <v>7369</v>
      </c>
      <c r="C54" s="1512"/>
      <c r="D54" s="1512"/>
      <c r="E54" s="1512"/>
      <c r="F54" s="1512"/>
      <c r="G54" s="3032" t="str">
        <f>" from "&amp;'Status (c3a)'!L21</f>
        <v xml:space="preserve"> from c3a.3</v>
      </c>
      <c r="H54" s="803"/>
      <c r="J54" s="1512"/>
      <c r="K54" s="1515" t="str">
        <f>"HR_band ("&amp;DOLLAR(HR_band,0)&amp;") minus "&amp;F61</f>
        <v>HR_band (£116,500) minus c6.9</v>
      </c>
      <c r="L54" s="803"/>
      <c r="M54" s="141"/>
      <c r="N54" s="2821"/>
      <c r="O54" s="1515" t="str">
        <f>"HR_band ("&amp;DOLLAR(HR_band,0)&amp;") minus ("&amp;F61&amp;" + "&amp;J61&amp;")"</f>
        <v>HR_band (£116,500) minus (c6.9 + c6.21)</v>
      </c>
      <c r="P54" s="803"/>
      <c r="R54" s="141"/>
      <c r="S54" s="3064" t="str">
        <f>'Status (c3a)'!L21&amp;" minus ("&amp;F61&amp;" + "&amp;J61&amp;" + "&amp;N52&amp;")"</f>
        <v>c3a.3 minus (c6.9 + c6.21 + c6.29)</v>
      </c>
      <c r="T54" s="803"/>
      <c r="V54" s="1512"/>
      <c r="W54" s="1505" t="str">
        <f>"("&amp;F61&amp;" + "&amp;J61&amp;" + "&amp;N52&amp;" + "&amp;R61&amp;")"</f>
        <v>(c6.9 + c6.21 + c6.29 + c6.43)</v>
      </c>
      <c r="Y54" s="141"/>
    </row>
    <row r="55" spans="1:25" x14ac:dyDescent="0.35">
      <c r="A55" s="142" t="s">
        <v>7370</v>
      </c>
      <c r="B55" s="2821"/>
      <c r="C55" s="3031"/>
      <c r="D55" s="1515" t="s">
        <v>7368</v>
      </c>
      <c r="E55" s="3031"/>
      <c r="F55" s="3033" t="str">
        <f>A8</f>
        <v>c6.8</v>
      </c>
      <c r="G55" s="2985">
        <f>'Status (c3a)'!M21</f>
        <v>116500</v>
      </c>
      <c r="H55" s="803"/>
      <c r="J55" s="3033" t="str">
        <f>A20</f>
        <v>c6.20</v>
      </c>
      <c r="K55" s="2985">
        <f>MAX(0,HR_band-G61)</f>
        <v>116500</v>
      </c>
      <c r="L55" s="803"/>
      <c r="M55" s="141"/>
      <c r="N55" s="2984" t="str">
        <f>A30</f>
        <v>c6.30</v>
      </c>
      <c r="O55" s="2985">
        <f>MAX(0,HR_band-(G61+K61))</f>
        <v>116500</v>
      </c>
      <c r="P55" s="803"/>
      <c r="R55" s="2994" t="str">
        <f>A42</f>
        <v>c6.42</v>
      </c>
      <c r="S55" s="2991">
        <f>MAX(0,'Status (c3a)'!M21-(G61+K61+O52))</f>
        <v>116500</v>
      </c>
      <c r="T55" s="803"/>
      <c r="V55" s="2994" t="str">
        <f>A54</f>
        <v>c6.54</v>
      </c>
      <c r="W55" s="2991">
        <f>MAX(0,HR_band-(G61+K61+O52+S61))</f>
        <v>116500</v>
      </c>
      <c r="Y55" s="141"/>
    </row>
    <row r="56" spans="1:25" x14ac:dyDescent="0.35">
      <c r="A56" s="142" t="s">
        <v>7371</v>
      </c>
      <c r="H56" s="803"/>
      <c r="L56" s="803"/>
      <c r="M56" s="141"/>
      <c r="O56" s="1515" t="str">
        <f>"lower of "&amp;N52&amp;" and "&amp;N55</f>
        <v>lower of c6.29 and c6.30</v>
      </c>
      <c r="P56" s="803"/>
      <c r="T56" s="803"/>
      <c r="X56" s="141"/>
      <c r="Y56" s="141"/>
    </row>
    <row r="57" spans="1:25" x14ac:dyDescent="0.35">
      <c r="D57" s="142" t="s">
        <v>7166</v>
      </c>
      <c r="H57" s="803"/>
      <c r="L57" s="803"/>
      <c r="N57" s="2984" t="str">
        <f>A31</f>
        <v>c6.31</v>
      </c>
      <c r="O57" s="2985">
        <f>MIN(O52,O55)</f>
        <v>0</v>
      </c>
      <c r="P57" s="803"/>
      <c r="T57" s="803"/>
      <c r="X57" s="141"/>
      <c r="Y57" s="141"/>
    </row>
    <row r="58" spans="1:25" x14ac:dyDescent="0.35">
      <c r="H58" s="803"/>
      <c r="L58" s="803"/>
      <c r="N58" s="2821"/>
      <c r="O58" s="1515" t="str">
        <f>"lower of ("&amp;N38&amp;" minus "&amp;N42&amp;") and "&amp;N55</f>
        <v>lower of (c6.25 minus c6.26) and c6.30</v>
      </c>
      <c r="P58" s="803"/>
      <c r="T58" s="803"/>
      <c r="X58" s="141"/>
      <c r="Y58" s="141"/>
    </row>
    <row r="59" spans="1:25" x14ac:dyDescent="0.35">
      <c r="D59" s="142" t="s">
        <v>7167</v>
      </c>
      <c r="H59" s="803"/>
      <c r="L59" s="803"/>
      <c r="N59" s="2984" t="str">
        <f>A32</f>
        <v>c6.32</v>
      </c>
      <c r="O59" s="2985">
        <f>MIN(MAX(0,O38-O42),O55)</f>
        <v>0</v>
      </c>
      <c r="P59" s="803"/>
      <c r="T59" s="803"/>
      <c r="X59" s="141"/>
      <c r="Y59" s="141"/>
    </row>
    <row r="60" spans="1:25" x14ac:dyDescent="0.35">
      <c r="G60" s="440" t="str">
        <f>"lower of "&amp;F52&amp;" and "&amp;F55</f>
        <v>lower of c6.7 and c6.8</v>
      </c>
      <c r="H60" s="803"/>
      <c r="K60" s="1515" t="str">
        <f>"lower of "&amp;J52&amp;" and "&amp;J55</f>
        <v>lower of c6.19 and c6.20</v>
      </c>
      <c r="L60" s="803"/>
      <c r="M60" s="141"/>
      <c r="O60" s="1515" t="str">
        <f>N57&amp;" minus "&amp;N59</f>
        <v>c6.31 minus c6.32</v>
      </c>
      <c r="P60" s="803"/>
      <c r="S60" s="1515" t="str">
        <f>"lower of "&amp;R52&amp;" and "&amp;R55</f>
        <v>lower of c6.41 and c6.42</v>
      </c>
      <c r="T60" s="803"/>
      <c r="V60" s="141"/>
      <c r="W60" s="1515" t="str">
        <f>"lower of "&amp;V52&amp;" and "&amp;V55</f>
        <v>lower of c6.53 and c6.54</v>
      </c>
      <c r="X60" s="141"/>
      <c r="Y60" s="141"/>
    </row>
    <row r="61" spans="1:25" x14ac:dyDescent="0.35">
      <c r="D61" s="957" t="s">
        <v>1896</v>
      </c>
      <c r="F61" s="3030" t="str">
        <f>A9</f>
        <v>c6.9</v>
      </c>
      <c r="G61" s="2986">
        <f>MIN(G52,G55)</f>
        <v>0</v>
      </c>
      <c r="H61" s="803"/>
      <c r="J61" s="3030" t="str">
        <f>A21</f>
        <v>c6.21</v>
      </c>
      <c r="K61" s="2986">
        <f>MIN(K52,K55)</f>
        <v>0</v>
      </c>
      <c r="L61" s="803"/>
      <c r="M61" s="141"/>
      <c r="N61" s="2993" t="str">
        <f>A33</f>
        <v>c6.33</v>
      </c>
      <c r="O61" s="2986">
        <f>MAX(0,O57-O59)</f>
        <v>0</v>
      </c>
      <c r="P61" s="803"/>
      <c r="R61" s="2993" t="str">
        <f>A43</f>
        <v>c6.43</v>
      </c>
      <c r="S61" s="2986">
        <f>MIN(S52,S55)</f>
        <v>0</v>
      </c>
      <c r="T61" s="803"/>
      <c r="V61" s="2993" t="str">
        <f>A55</f>
        <v>c6.55</v>
      </c>
      <c r="W61" s="2986">
        <f>MIN(W52,W55)</f>
        <v>0</v>
      </c>
      <c r="X61" s="141"/>
      <c r="Y61" s="141"/>
    </row>
    <row r="62" spans="1:25" x14ac:dyDescent="0.35">
      <c r="H62" s="803"/>
      <c r="L62" s="803"/>
      <c r="P62" s="803"/>
      <c r="T62" s="803"/>
      <c r="X62" s="141"/>
      <c r="Y62" s="141"/>
    </row>
    <row r="63" spans="1:25" x14ac:dyDescent="0.35">
      <c r="H63" s="803"/>
      <c r="K63" s="2821" t="str">
        <f>J18&amp;" minus"</f>
        <v>c6.11 minus</v>
      </c>
      <c r="L63" s="803"/>
      <c r="M63" s="141"/>
      <c r="N63" s="141"/>
      <c r="P63" s="803"/>
      <c r="R63" s="141"/>
      <c r="T63" s="803"/>
      <c r="V63" s="141"/>
      <c r="W63" s="2821" t="str">
        <f>V18&amp;" minus"</f>
        <v>c6.45 minus</v>
      </c>
      <c r="X63" s="141"/>
      <c r="Y63" s="141"/>
    </row>
    <row r="64" spans="1:25" x14ac:dyDescent="0.35">
      <c r="G64" s="1515" t="str">
        <f>F18&amp;" minus ("&amp;F48&amp;" + "&amp;F61&amp;")"</f>
        <v>c6.1 minus (c6.6 + c6.9)</v>
      </c>
      <c r="H64" s="803"/>
      <c r="K64" s="1515" t="str">
        <f>"("&amp;J27&amp;" + "&amp;J38&amp;" + "&amp;J48&amp;" + "&amp;J61&amp;")"</f>
        <v>(c6.14 + c6.17 + c6.18 + c6.21)</v>
      </c>
      <c r="L64" s="803"/>
      <c r="M64" s="141"/>
      <c r="N64" s="141"/>
      <c r="O64" s="1515" t="str">
        <f>N18&amp;" minus ("&amp;N38&amp;" + "&amp;N48&amp;" + "&amp;N61&amp;")"</f>
        <v>c6.23 minus (c6.25 + c6.28 + c6.33)</v>
      </c>
      <c r="P64" s="803"/>
      <c r="R64" s="141"/>
      <c r="S64" s="1515" t="str">
        <f>R18&amp;" minus ("&amp;R48&amp;" + "&amp;R61&amp;")"</f>
        <v>c6.35 minus (c6.40 + c6.43)</v>
      </c>
      <c r="T64" s="803"/>
      <c r="V64" s="141"/>
      <c r="W64" s="1515" t="str">
        <f>"("&amp;V27&amp;" + "&amp;V38&amp;" + "&amp;V48&amp;" + "&amp;V61&amp;")"</f>
        <v>(c6.48 + c6.51 + c6.52 + c6.55)</v>
      </c>
      <c r="X64" s="141"/>
      <c r="Y64" s="141"/>
    </row>
    <row r="65" spans="2:25" x14ac:dyDescent="0.35">
      <c r="D65" s="957" t="s">
        <v>1496</v>
      </c>
      <c r="F65" s="3030" t="str">
        <f>A10</f>
        <v>c6.10</v>
      </c>
      <c r="G65" s="2986">
        <f>MAX(0,G18-(G48+G61))</f>
        <v>0</v>
      </c>
      <c r="H65" s="1931"/>
      <c r="I65" s="1930"/>
      <c r="J65" s="3030" t="str">
        <f>A22</f>
        <v>c6.22</v>
      </c>
      <c r="K65" s="2986">
        <f>MAX(0,K18-(K27+K38+K48+K61))</f>
        <v>0</v>
      </c>
      <c r="L65" s="1931"/>
      <c r="M65" s="140"/>
      <c r="N65" s="2993" t="str">
        <f>A34</f>
        <v>c6.34</v>
      </c>
      <c r="O65" s="2986">
        <f>MAX(0,O18-(O38+O48+O61))</f>
        <v>0</v>
      </c>
      <c r="P65" s="1931"/>
      <c r="Q65" s="1930"/>
      <c r="R65" s="2993" t="str">
        <f>A44</f>
        <v>c6.44</v>
      </c>
      <c r="S65" s="2986">
        <f>MAX(0,S18-(S48+S61))</f>
        <v>0</v>
      </c>
      <c r="T65" s="1931"/>
      <c r="U65" s="1930"/>
      <c r="V65" s="2993" t="str">
        <f>A56</f>
        <v>c6.56</v>
      </c>
      <c r="W65" s="2986">
        <f>MAX(0,W18-(W27+W38+W48+W61))</f>
        <v>0</v>
      </c>
      <c r="X65" s="141"/>
      <c r="Y65" s="141"/>
    </row>
    <row r="66" spans="2:25" x14ac:dyDescent="0.35">
      <c r="H66" s="803"/>
      <c r="L66" s="803"/>
      <c r="P66" s="803"/>
      <c r="S66" s="141"/>
      <c r="T66" s="803"/>
      <c r="X66" s="141"/>
      <c r="Y66" s="141"/>
    </row>
    <row r="67" spans="2:25" x14ac:dyDescent="0.35">
      <c r="B67" s="1637"/>
      <c r="G67" s="2822"/>
      <c r="H67" s="803"/>
      <c r="K67" s="2822"/>
      <c r="L67" s="803"/>
      <c r="O67" s="2822"/>
      <c r="P67" s="803"/>
      <c r="S67" s="2822"/>
      <c r="T67" s="803"/>
      <c r="W67" s="2822"/>
      <c r="X67" s="141"/>
      <c r="Y67" s="141"/>
    </row>
    <row r="68" spans="2:25" x14ac:dyDescent="0.35">
      <c r="D68" s="2823"/>
      <c r="F68" s="2984"/>
      <c r="G68" s="2985"/>
      <c r="H68" s="803"/>
      <c r="J68" s="2984"/>
      <c r="K68" s="2985"/>
      <c r="L68" s="803"/>
      <c r="N68" s="2984"/>
      <c r="O68" s="2985"/>
      <c r="P68" s="803"/>
      <c r="R68" s="2984"/>
      <c r="S68" s="2985"/>
      <c r="T68" s="803"/>
      <c r="V68" s="2984"/>
      <c r="W68" s="2985"/>
      <c r="X68" s="141"/>
      <c r="Y68" s="141"/>
    </row>
    <row r="69" spans="2:25" x14ac:dyDescent="0.35">
      <c r="H69" s="803"/>
      <c r="L69" s="803"/>
      <c r="P69" s="803"/>
      <c r="T69" s="803"/>
      <c r="X69" s="141"/>
      <c r="Y69" s="141"/>
    </row>
    <row r="70" spans="2:25" x14ac:dyDescent="0.35">
      <c r="X70" s="141"/>
      <c r="Y70" s="141"/>
    </row>
    <row r="71" spans="2:25" x14ac:dyDescent="0.35">
      <c r="S71" s="141"/>
      <c r="T71" s="141"/>
      <c r="U71" s="141"/>
      <c r="X71" s="141"/>
      <c r="Y71" s="141"/>
    </row>
    <row r="72" spans="2:25" x14ac:dyDescent="0.35">
      <c r="S72" s="141"/>
      <c r="T72" s="141"/>
      <c r="U72" s="141"/>
      <c r="X72" s="141"/>
      <c r="Y72" s="141"/>
    </row>
    <row r="73" spans="2:25" x14ac:dyDescent="0.35">
      <c r="X73" s="141"/>
      <c r="Y73" s="141"/>
    </row>
    <row r="74" spans="2:25" x14ac:dyDescent="0.35">
      <c r="X74" s="141"/>
      <c r="Y74" s="141"/>
    </row>
    <row r="75" spans="2:25" x14ac:dyDescent="0.35">
      <c r="X75" s="141"/>
      <c r="Y75" s="141"/>
    </row>
    <row r="76" spans="2:25" x14ac:dyDescent="0.35">
      <c r="X76" s="141"/>
      <c r="Y76" s="141"/>
    </row>
    <row r="77" spans="2:25" x14ac:dyDescent="0.35">
      <c r="X77" s="141"/>
      <c r="Y77" s="141"/>
    </row>
    <row r="78" spans="2:25" x14ac:dyDescent="0.35">
      <c r="X78" s="141"/>
      <c r="Y78" s="141"/>
    </row>
    <row r="79" spans="2:25" x14ac:dyDescent="0.35">
      <c r="X79" s="141"/>
      <c r="Y79" s="141"/>
    </row>
    <row r="80" spans="2:25" x14ac:dyDescent="0.35">
      <c r="X80" s="141"/>
      <c r="Y80" s="141"/>
    </row>
    <row r="81" spans="18:25" x14ac:dyDescent="0.35">
      <c r="X81" s="141"/>
      <c r="Y81" s="141"/>
    </row>
    <row r="82" spans="18:25" x14ac:dyDescent="0.35">
      <c r="X82" s="141"/>
      <c r="Y82" s="141"/>
    </row>
    <row r="83" spans="18:25" x14ac:dyDescent="0.35">
      <c r="X83" s="143"/>
      <c r="Y83" s="141"/>
    </row>
    <row r="85" spans="18:25" x14ac:dyDescent="0.35">
      <c r="R85" s="141"/>
    </row>
    <row r="86" spans="18:25" x14ac:dyDescent="0.35">
      <c r="R86" s="141"/>
    </row>
    <row r="87" spans="18:25" x14ac:dyDescent="0.35">
      <c r="R87" s="141"/>
    </row>
    <row r="89" spans="18:25" x14ac:dyDescent="0.35">
      <c r="R89" s="141"/>
    </row>
  </sheetData>
  <phoneticPr fontId="68" type="noConversion"/>
  <pageMargins left="0.15748031496062992" right="0.15748031496062992" top="0.19685039370078741" bottom="0.19685039370078741" header="0.19685039370078741" footer="0.19685039370078741"/>
  <pageSetup paperSize="9" orientation="landscape"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FFFF00"/>
  </sheetPr>
  <dimension ref="A1:L73"/>
  <sheetViews>
    <sheetView showGridLines="0" topLeftCell="B58" workbookViewId="0">
      <selection activeCell="L68" sqref="L68"/>
    </sheetView>
  </sheetViews>
  <sheetFormatPr defaultColWidth="8.86328125" defaultRowHeight="11.65" x14ac:dyDescent="0.35"/>
  <cols>
    <col min="1" max="1" width="4" style="142" hidden="1" customWidth="1"/>
    <col min="2" max="2" width="6" style="142" customWidth="1"/>
    <col min="3" max="3" width="11.73046875" style="142" customWidth="1"/>
    <col min="4" max="4" width="12.3984375" style="142" customWidth="1"/>
    <col min="5" max="5" width="5.73046875" style="142" customWidth="1"/>
    <col min="6" max="6" width="15.265625" style="142" customWidth="1"/>
    <col min="7" max="7" width="9.3984375" style="142" customWidth="1"/>
    <col min="8" max="9" width="9" style="142" customWidth="1"/>
    <col min="10" max="10" width="5.265625" style="142" customWidth="1"/>
    <col min="11" max="11" width="15.265625" style="142" customWidth="1"/>
    <col min="12" max="12" width="13.3984375" style="142" bestFit="1" customWidth="1"/>
    <col min="13" max="13" width="5.86328125" style="142" customWidth="1"/>
    <col min="14" max="14" width="10.73046875" style="142" customWidth="1"/>
    <col min="15" max="15" width="1.73046875" style="142" customWidth="1"/>
    <col min="16" max="16" width="5.73046875" style="142" customWidth="1"/>
    <col min="17" max="17" width="12.1328125" style="142" customWidth="1"/>
    <col min="18" max="19" width="2.73046875" style="142" customWidth="1"/>
    <col min="20" max="20" width="4.73046875" style="142" customWidth="1"/>
    <col min="21" max="16384" width="8.86328125" style="142"/>
  </cols>
  <sheetData>
    <row r="1" spans="1:12" ht="17.649999999999999" x14ac:dyDescent="0.5">
      <c r="B1" s="1925" t="s">
        <v>2452</v>
      </c>
    </row>
    <row r="3" spans="1:12" x14ac:dyDescent="0.35">
      <c r="A3" s="144" t="s">
        <v>1137</v>
      </c>
      <c r="F3" s="767" t="str">
        <f>"from "&amp;AOI&amp;AOI!G22</f>
        <v>from AOI11</v>
      </c>
    </row>
    <row r="4" spans="1:12" x14ac:dyDescent="0.35">
      <c r="A4" s="144" t="s">
        <v>1685</v>
      </c>
      <c r="B4" s="958" t="s">
        <v>969</v>
      </c>
      <c r="E4" s="805" t="str">
        <f>A3</f>
        <v>c7.1</v>
      </c>
      <c r="F4" s="131">
        <f>TRUNC(AOI!H23+0.99,0)</f>
        <v>0</v>
      </c>
      <c r="G4" s="1082" t="s">
        <v>3966</v>
      </c>
    </row>
    <row r="5" spans="1:12" x14ac:dyDescent="0.35">
      <c r="A5" s="144" t="s">
        <v>1138</v>
      </c>
    </row>
    <row r="6" spans="1:12" x14ac:dyDescent="0.35">
      <c r="A6" s="144" t="s">
        <v>1686</v>
      </c>
      <c r="B6" s="3062" t="s">
        <v>7175</v>
      </c>
      <c r="C6" s="3063"/>
      <c r="D6" s="3063"/>
      <c r="E6" s="3063"/>
      <c r="F6" s="3063"/>
    </row>
    <row r="7" spans="1:12" x14ac:dyDescent="0.35">
      <c r="A7" s="144" t="s">
        <v>1139</v>
      </c>
      <c r="D7" s="143"/>
      <c r="F7" s="3064" t="str">
        <f>"from "&amp;'tax it (c6)'!N61</f>
        <v>from c6.33</v>
      </c>
    </row>
    <row r="8" spans="1:12" x14ac:dyDescent="0.35">
      <c r="A8" s="144" t="s">
        <v>1687</v>
      </c>
      <c r="D8" s="143" t="s">
        <v>1896</v>
      </c>
      <c r="E8" s="805" t="str">
        <f>A4</f>
        <v>c7.2</v>
      </c>
      <c r="F8" s="420">
        <f>'tax it (c6)'!O61</f>
        <v>0</v>
      </c>
    </row>
    <row r="9" spans="1:12" x14ac:dyDescent="0.35">
      <c r="A9" s="144" t="s">
        <v>1140</v>
      </c>
    </row>
    <row r="10" spans="1:12" x14ac:dyDescent="0.35">
      <c r="A10" s="144" t="s">
        <v>1688</v>
      </c>
    </row>
    <row r="11" spans="1:12" x14ac:dyDescent="0.35">
      <c r="A11" s="144" t="s">
        <v>1596</v>
      </c>
      <c r="F11" s="143" t="str">
        <f>"lower of "&amp;E4&amp;" and "&amp;E8</f>
        <v>lower of c7.1 and c7.2</v>
      </c>
      <c r="K11" s="143" t="str">
        <f>E12&amp;" x (DivHR_rate minus DivBR_rate) ("&amp;(DivHR_rate-DivBR_rate)*100&amp;"%)"</f>
        <v>c7.3 x (DivHR_rate minus DivBR_rate) (25%)</v>
      </c>
    </row>
    <row r="12" spans="1:12" x14ac:dyDescent="0.35">
      <c r="A12" s="144" t="s">
        <v>1689</v>
      </c>
      <c r="D12" s="143" t="s">
        <v>2453</v>
      </c>
      <c r="E12" s="805" t="str">
        <f>A5</f>
        <v>c7.3</v>
      </c>
      <c r="F12" s="959">
        <f>MIN(F4,F8)</f>
        <v>0</v>
      </c>
      <c r="I12" s="143" t="s">
        <v>2454</v>
      </c>
      <c r="J12" s="805" t="str">
        <f>A6</f>
        <v>c7.4</v>
      </c>
      <c r="K12" s="960">
        <f>TRUNC((F12*(DivHR_rate-DivBR_rate))+0.0099,2)</f>
        <v>0</v>
      </c>
      <c r="L12" s="1082" t="s">
        <v>1783</v>
      </c>
    </row>
    <row r="13" spans="1:12" x14ac:dyDescent="0.35">
      <c r="A13" s="144" t="s">
        <v>1052</v>
      </c>
      <c r="B13" s="760"/>
      <c r="C13" s="760"/>
      <c r="D13" s="760"/>
      <c r="E13" s="760"/>
      <c r="F13" s="760"/>
      <c r="G13" s="760"/>
      <c r="H13" s="760"/>
      <c r="I13" s="760"/>
      <c r="J13" s="760"/>
      <c r="K13" s="760"/>
    </row>
    <row r="14" spans="1:12" x14ac:dyDescent="0.35">
      <c r="A14" s="144" t="s">
        <v>7176</v>
      </c>
    </row>
    <row r="15" spans="1:12" x14ac:dyDescent="0.35">
      <c r="A15" s="144" t="s">
        <v>7177</v>
      </c>
      <c r="B15" s="140" t="s">
        <v>2275</v>
      </c>
    </row>
    <row r="16" spans="1:12" x14ac:dyDescent="0.35">
      <c r="A16" s="144" t="s">
        <v>7178</v>
      </c>
    </row>
    <row r="17" spans="1:12" x14ac:dyDescent="0.35">
      <c r="A17" s="144" t="s">
        <v>7181</v>
      </c>
      <c r="D17" s="141"/>
      <c r="F17" s="143" t="str">
        <f>E4&amp;" minus "&amp;E12</f>
        <v>c7.1 minus c7.3</v>
      </c>
    </row>
    <row r="18" spans="1:12" x14ac:dyDescent="0.35">
      <c r="A18" s="144" t="s">
        <v>7182</v>
      </c>
      <c r="D18" s="440" t="s">
        <v>970</v>
      </c>
      <c r="E18" s="805" t="str">
        <f>A7</f>
        <v>c7.5</v>
      </c>
      <c r="F18" s="959">
        <f>MAX(F4-F12,0)</f>
        <v>0</v>
      </c>
    </row>
    <row r="20" spans="1:12" x14ac:dyDescent="0.35">
      <c r="B20" s="3063" t="str">
        <f>"If the individual is a Scottish taxpayer, instead of calculating "&amp;E29&amp;" to "&amp;J32&amp;" calculate "&amp;E47&amp;" to "&amp;J68</f>
        <v>If the individual is a Scottish taxpayer, instead of calculating c7.6 to c7.8 calculate c7.9 to c7.15</v>
      </c>
      <c r="C20" s="3063"/>
      <c r="D20" s="3063"/>
      <c r="E20" s="3063"/>
      <c r="F20" s="3063"/>
      <c r="G20" s="3063"/>
      <c r="H20" s="3063"/>
      <c r="I20" s="3063"/>
    </row>
    <row r="21" spans="1:12" x14ac:dyDescent="0.35">
      <c r="B21" s="3063" t="str">
        <f>"If "&amp;'Status (c3a)'!D21&amp;" = 1"</f>
        <v>If c3a.1 = 1</v>
      </c>
      <c r="C21" s="3063"/>
    </row>
    <row r="22" spans="1:12" x14ac:dyDescent="0.35">
      <c r="B22" s="3063" t="str">
        <f>"calculate "&amp;E29&amp;" to "&amp;J32</f>
        <v>calculate c7.6 to c7.8</v>
      </c>
      <c r="C22" s="3063"/>
    </row>
    <row r="23" spans="1:12" x14ac:dyDescent="0.35">
      <c r="D23" s="440"/>
      <c r="E23" s="961"/>
      <c r="F23" s="962"/>
      <c r="J23" s="141"/>
    </row>
    <row r="24" spans="1:12" x14ac:dyDescent="0.35">
      <c r="D24" s="3544"/>
      <c r="E24" s="3092"/>
      <c r="F24" s="3093" t="str">
        <f>"if "&amp;'Status (c3a)'!D21&amp;" = 1"</f>
        <v>if c3a.1 = 1</v>
      </c>
    </row>
    <row r="25" spans="1:12" x14ac:dyDescent="0.35">
      <c r="D25" s="3545"/>
      <c r="E25" s="3545"/>
      <c r="F25" s="3546" t="str">
        <f>E29&amp;" = "&amp;'tax it (c6)'!F61&amp;" + "&amp;'tax it (c6)'!J61&amp;" + "&amp;'tax it (c6)'!R61&amp;" + "&amp;'tax it (c6)'!V61</f>
        <v>c7.6 = c6.9 + c6.21 + c6.43 + c6.55</v>
      </c>
    </row>
    <row r="26" spans="1:12" x14ac:dyDescent="0.35">
      <c r="D26" s="3545"/>
      <c r="E26" s="3545"/>
      <c r="F26" s="3545" t="s">
        <v>2520</v>
      </c>
    </row>
    <row r="27" spans="1:12" x14ac:dyDescent="0.35">
      <c r="D27" s="3545"/>
      <c r="E27" s="3545"/>
      <c r="F27" s="3094" t="str">
        <f>E29&amp;" = 0 (zero)"</f>
        <v>c7.6 = 0 (zero)</v>
      </c>
    </row>
    <row r="28" spans="1:12" x14ac:dyDescent="0.35">
      <c r="D28" s="3063"/>
      <c r="E28" s="3063"/>
      <c r="F28" s="3065" t="str">
        <f>'tax it (c6)'!F61&amp;" + "&amp;'tax it (c6)'!J61&amp;" + "&amp;'tax it (c6)'!R61&amp;" + "&amp;'tax it (c6)'!V61</f>
        <v>c6.9 + c6.21 + c6.43 + c6.55</v>
      </c>
    </row>
    <row r="29" spans="1:12" x14ac:dyDescent="0.35">
      <c r="D29" s="143" t="s">
        <v>1896</v>
      </c>
      <c r="E29" s="805" t="str">
        <f>A8</f>
        <v>c7.6</v>
      </c>
      <c r="F29" s="420">
        <f>IF('Status (c3a)'!E21=1,'tax it (c6)'!G61+'tax it (c6)'!K61+'tax it (c6)'!S61+'tax it (c6)'!W61,0)</f>
        <v>0</v>
      </c>
    </row>
    <row r="31" spans="1:12" x14ac:dyDescent="0.35">
      <c r="F31" s="143" t="str">
        <f>"lower of "&amp;E18&amp;" and "&amp;E29</f>
        <v>lower of c7.5 and c7.6</v>
      </c>
      <c r="I31" s="3063"/>
      <c r="J31" s="3063"/>
      <c r="K31" s="3064" t="str">
        <f>E32&amp;" x (HR_rate minus BR_rate) ("&amp;(HR_rate-BR_rate)*100&amp;"%)"</f>
        <v>c7.7 x (HR_rate minus BR_rate) (20%)</v>
      </c>
    </row>
    <row r="32" spans="1:12" x14ac:dyDescent="0.35">
      <c r="D32" s="143" t="s">
        <v>2453</v>
      </c>
      <c r="E32" s="805" t="str">
        <f>A9</f>
        <v>c7.7</v>
      </c>
      <c r="F32" s="959">
        <f>IF('Status (c3a)'!E21=1,MIN(F18,F29),0)</f>
        <v>0</v>
      </c>
      <c r="I32" s="143" t="s">
        <v>2454</v>
      </c>
      <c r="J32" s="805" t="str">
        <f>A10</f>
        <v>c7.8</v>
      </c>
      <c r="K32" s="960">
        <f>IF('Status (c3a)'!E21=1,TRUNC((F32*(HR_rate-BR_rate))+0.0099,2),0)</f>
        <v>0</v>
      </c>
      <c r="L32" s="1082" t="s">
        <v>1783</v>
      </c>
    </row>
    <row r="33" spans="2:12" x14ac:dyDescent="0.35">
      <c r="D33" s="143"/>
      <c r="E33" s="961"/>
      <c r="F33" s="962"/>
      <c r="I33" s="143"/>
      <c r="J33" s="961"/>
      <c r="K33" s="2959"/>
      <c r="L33" s="1082"/>
    </row>
    <row r="34" spans="2:12" x14ac:dyDescent="0.35">
      <c r="B34" s="3063" t="str">
        <f>"set "&amp;E47&amp;" to "&amp;J68&amp;" to 0 (zero)"</f>
        <v>set c7.9 to c7.15 to 0 (zero)</v>
      </c>
      <c r="C34" s="3063"/>
      <c r="D34" s="3064"/>
      <c r="E34" s="961"/>
      <c r="F34" s="962"/>
      <c r="I34" s="143"/>
      <c r="J34" s="961"/>
      <c r="K34" s="2959"/>
      <c r="L34" s="1082"/>
    </row>
    <row r="35" spans="2:12" x14ac:dyDescent="0.35">
      <c r="B35" s="3063" t="s">
        <v>2520</v>
      </c>
      <c r="C35" s="3063"/>
      <c r="D35" s="3063"/>
    </row>
    <row r="36" spans="2:12" x14ac:dyDescent="0.35">
      <c r="B36" s="3063" t="str">
        <f>"set "&amp;E29&amp;" to "&amp;J32&amp;" to 0 (zero)"</f>
        <v>set c7.6 to c7.8 to 0 (zero)</v>
      </c>
      <c r="C36" s="3063"/>
      <c r="D36" s="3063"/>
    </row>
    <row r="37" spans="2:12" x14ac:dyDescent="0.35">
      <c r="B37" s="1637"/>
    </row>
    <row r="38" spans="2:12" x14ac:dyDescent="0.35">
      <c r="B38" s="140" t="s">
        <v>7722</v>
      </c>
    </row>
    <row r="40" spans="2:12" x14ac:dyDescent="0.35">
      <c r="D40" s="3045"/>
      <c r="E40" s="3045"/>
    </row>
    <row r="41" spans="2:12" x14ac:dyDescent="0.35">
      <c r="D41" s="3063"/>
      <c r="E41" s="3063"/>
      <c r="F41" s="3093" t="s">
        <v>8349</v>
      </c>
    </row>
    <row r="42" spans="2:12" x14ac:dyDescent="0.35">
      <c r="D42" s="3063"/>
      <c r="E42" s="3063"/>
      <c r="F42" s="3065" t="str">
        <f>" if SHR_rate ("&amp;SHR_rate*100&amp;"%) &gt;= HR_rate ("&amp;HR_rate*100&amp;"%)"</f>
        <v xml:space="preserve"> if SHR_rate (40%) &gt;= HR_rate (40%)</v>
      </c>
    </row>
    <row r="43" spans="2:12" x14ac:dyDescent="0.35">
      <c r="D43" s="3063"/>
      <c r="E43" s="3063"/>
      <c r="F43" s="3065" t="str">
        <f>E47&amp;" = "&amp;'tax it (c6)'!F61&amp;" + "&amp;'tax it (c6)'!R61</f>
        <v>c7.9 = c6.9 + c6.43</v>
      </c>
    </row>
    <row r="44" spans="2:12" x14ac:dyDescent="0.35">
      <c r="D44" s="3063"/>
      <c r="E44" s="3063"/>
      <c r="F44" s="3063" t="s">
        <v>2520</v>
      </c>
      <c r="H44" s="3063"/>
      <c r="I44" s="3063"/>
      <c r="J44" s="3063"/>
      <c r="K44" s="3093" t="s">
        <v>8349</v>
      </c>
    </row>
    <row r="45" spans="2:12" x14ac:dyDescent="0.35">
      <c r="D45" s="3063"/>
      <c r="E45" s="3063"/>
      <c r="F45" s="3064" t="str">
        <f>E47&amp;" = "&amp;'tax it (c6)'!J61&amp;" + "&amp;'tax it (c6)'!V61</f>
        <v>c7.9 = c6.21 + c6.55</v>
      </c>
      <c r="H45" s="3063"/>
      <c r="I45" s="3063"/>
      <c r="J45" s="3063"/>
      <c r="K45" s="3065" t="str">
        <f>"if SHR_rate ("&amp;SHR_rate*100&amp;"%) &gt;= HR_rate ("&amp;HR_rate*100&amp;"%)"</f>
        <v>if SHR_rate (40%) &gt;= HR_rate (40%)</v>
      </c>
    </row>
    <row r="46" spans="2:12" x14ac:dyDescent="0.35">
      <c r="D46" s="3063"/>
      <c r="E46" s="3063"/>
      <c r="F46" s="3066" t="s">
        <v>2638</v>
      </c>
      <c r="H46" s="3063"/>
      <c r="I46" s="3063"/>
      <c r="J46" s="3063"/>
      <c r="K46" s="3065" t="str">
        <f>J50&amp;" = "&amp;E50&amp;" x (SHR_rate minus SBR_rate) ("&amp;(SHR_rate-SBR_rate)*100&amp;"%)"</f>
        <v>c7.11 = c7.10 x (SHR_rate minus SBR_rate) (20%)</v>
      </c>
    </row>
    <row r="47" spans="2:12" x14ac:dyDescent="0.35">
      <c r="D47" s="143" t="s">
        <v>1896</v>
      </c>
      <c r="E47" s="3067" t="str">
        <f>A11</f>
        <v>c7.9</v>
      </c>
      <c r="F47" s="960">
        <f>IF('Status (c3a)'!E21=2,IF(SHR_rate&gt;=HR_rate,'tax it (c6)'!G61+'tax it (c6)'!S61,'tax it (c6)'!K61+'tax it (c6)'!W61),0)</f>
        <v>0</v>
      </c>
      <c r="H47" s="3063"/>
      <c r="I47" s="3063"/>
      <c r="J47" s="3063"/>
      <c r="K47" s="3063" t="s">
        <v>2520</v>
      </c>
    </row>
    <row r="48" spans="2:12" x14ac:dyDescent="0.35">
      <c r="H48" s="3063"/>
      <c r="I48" s="3063"/>
      <c r="J48" s="3063"/>
      <c r="K48" s="3064" t="str">
        <f>J50&amp;" = "&amp;E50&amp;" x (HR_rate minus BR_rate) ("&amp;(HR_rate-BR_rate)*100&amp;"%)"</f>
        <v>c7.11 = c7.10 x (HR_rate minus BR_rate) (20%)</v>
      </c>
    </row>
    <row r="49" spans="2:12" x14ac:dyDescent="0.35">
      <c r="E49" s="3063"/>
      <c r="F49" s="3065" t="str">
        <f>"lower of "&amp;E18&amp;" and "&amp;E47</f>
        <v>lower of c7.5 and c7.9</v>
      </c>
      <c r="H49" s="3063"/>
      <c r="I49" s="3063"/>
      <c r="J49" s="3063"/>
      <c r="K49" s="3066" t="s">
        <v>2638</v>
      </c>
    </row>
    <row r="50" spans="2:12" x14ac:dyDescent="0.35">
      <c r="D50" s="143" t="s">
        <v>2453</v>
      </c>
      <c r="E50" s="3067" t="str">
        <f>A12</f>
        <v>c7.10</v>
      </c>
      <c r="F50" s="960">
        <f>MIN(F18,F47)</f>
        <v>0</v>
      </c>
      <c r="I50" s="143" t="s">
        <v>2454</v>
      </c>
      <c r="J50" s="3067" t="str">
        <f>A13</f>
        <v>c7.11</v>
      </c>
      <c r="K50" s="960">
        <f>IF('Status (c3a)'!E21=2,IF(SHR_rate&gt;=HR_rate,TRUNC(F50*(SHR_rate-SBR_rate)+0.0099,2),TRUNC(F50*(HR_rate-BR_rate)+0.0099,2)),0)</f>
        <v>0</v>
      </c>
      <c r="L50" s="1082" t="s">
        <v>1783</v>
      </c>
    </row>
    <row r="52" spans="2:12" x14ac:dyDescent="0.35">
      <c r="B52" s="140" t="s">
        <v>7719</v>
      </c>
    </row>
    <row r="54" spans="2:12" x14ac:dyDescent="0.35">
      <c r="E54" s="3063"/>
      <c r="F54" s="3065" t="str">
        <f>E18&amp;" minus ("&amp;E32&amp;" + "&amp;E50&amp;")"</f>
        <v>c7.5 minus (c7.7 + c7.10)</v>
      </c>
    </row>
    <row r="55" spans="2:12" x14ac:dyDescent="0.35">
      <c r="D55" s="440" t="s">
        <v>970</v>
      </c>
      <c r="E55" s="3067" t="str">
        <f>A14</f>
        <v>c7.12</v>
      </c>
      <c r="F55" s="960">
        <f>MAX(0,F18-(F32+F50))</f>
        <v>0</v>
      </c>
    </row>
    <row r="58" spans="2:12" x14ac:dyDescent="0.35">
      <c r="D58" s="3053"/>
      <c r="E58" s="3045"/>
      <c r="F58" s="3044"/>
    </row>
    <row r="59" spans="2:12" x14ac:dyDescent="0.35">
      <c r="D59" s="3045"/>
      <c r="E59" s="3045"/>
      <c r="F59" s="3093" t="s">
        <v>8349</v>
      </c>
    </row>
    <row r="60" spans="2:12" x14ac:dyDescent="0.35">
      <c r="D60" s="3063"/>
      <c r="E60" s="3063"/>
      <c r="F60" s="3065" t="str">
        <f>"if SHR_rate ("&amp;SHR_rate*100&amp;"%) &lt; HR_rate ("&amp;HR_rate*100&amp;"%)"</f>
        <v>if SHR_rate (40%) &lt; HR_rate (40%)</v>
      </c>
    </row>
    <row r="61" spans="2:12" x14ac:dyDescent="0.35">
      <c r="D61" s="3063"/>
      <c r="E61" s="3063"/>
      <c r="F61" s="3064" t="str">
        <f>E65&amp;" = "&amp;'tax it (c6)'!F61&amp;" + "&amp;'tax it (c6)'!R61</f>
        <v>c7.13 = c6.9 + c6.43</v>
      </c>
    </row>
    <row r="62" spans="2:12" x14ac:dyDescent="0.35">
      <c r="D62" s="3063"/>
      <c r="E62" s="3063"/>
      <c r="F62" s="3063" t="s">
        <v>2520</v>
      </c>
      <c r="H62" s="3063"/>
      <c r="I62" s="3063"/>
      <c r="J62" s="3063"/>
      <c r="K62" s="3093" t="s">
        <v>8349</v>
      </c>
    </row>
    <row r="63" spans="2:12" x14ac:dyDescent="0.35">
      <c r="D63" s="3063"/>
      <c r="E63" s="3063"/>
      <c r="F63" s="3065" t="str">
        <f>E65&amp;" = "&amp;'tax it (c6)'!J61&amp;" + "&amp;'tax it (c6)'!V61</f>
        <v>c7.13 = c6.21 + c6.55</v>
      </c>
      <c r="H63" s="3063"/>
      <c r="I63" s="3063"/>
      <c r="J63" s="3063"/>
      <c r="K63" s="3065" t="str">
        <f>"if SHR_rate ("&amp;SHR_rate*100&amp;"%) &lt; HR_rate ("&amp;HR_rate*100&amp;"%)"</f>
        <v>if SHR_rate (40%) &lt; HR_rate (40%)</v>
      </c>
    </row>
    <row r="64" spans="2:12" x14ac:dyDescent="0.35">
      <c r="D64" s="3063"/>
      <c r="E64" s="3063"/>
      <c r="F64" s="3066" t="s">
        <v>2638</v>
      </c>
      <c r="H64" s="3063"/>
      <c r="I64" s="3063"/>
      <c r="J64" s="3063"/>
      <c r="K64" s="3065" t="str">
        <f>J68&amp;" = "&amp;E68&amp;" x (SHR_rate minus SBR_rate) ("&amp;(SHR_rate-SBR_rate)*100&amp;"%)"</f>
        <v>c7.15 = c7.14 x (SHR_rate minus SBR_rate) (20%)</v>
      </c>
    </row>
    <row r="65" spans="2:12" x14ac:dyDescent="0.35">
      <c r="D65" s="143" t="s">
        <v>1896</v>
      </c>
      <c r="E65" s="3067" t="str">
        <f>A15</f>
        <v>c7.13</v>
      </c>
      <c r="F65" s="960">
        <f>IF('Status (c3a)'!E21=2,IF(SHR_rate&lt;HR_rate,'tax it (c6)'!G61+'tax it (c6)'!S61,'tax it (c6)'!K61+'tax it (c6)'!W61),0)</f>
        <v>0</v>
      </c>
      <c r="H65" s="3063"/>
      <c r="I65" s="3063"/>
      <c r="J65" s="3063"/>
      <c r="K65" s="3063" t="s">
        <v>2520</v>
      </c>
    </row>
    <row r="66" spans="2:12" x14ac:dyDescent="0.35">
      <c r="H66" s="3063"/>
      <c r="I66" s="3063"/>
      <c r="J66" s="3063"/>
      <c r="K66" s="3064" t="str">
        <f>J68&amp;" = "&amp;E68&amp;" x (HR_rate minus BR_rate) ("&amp;(HR_rate-BR_rate)*100&amp;"%)"</f>
        <v>c7.15 = c7.14 x (HR_rate minus BR_rate) (20%)</v>
      </c>
    </row>
    <row r="67" spans="2:12" x14ac:dyDescent="0.35">
      <c r="E67" s="3063"/>
      <c r="F67" s="3064" t="str">
        <f>"lower of "&amp;E55&amp;" and "&amp;E65</f>
        <v>lower of c7.12 and c7.13</v>
      </c>
      <c r="H67" s="3063"/>
      <c r="I67" s="3063"/>
      <c r="J67" s="3063"/>
      <c r="K67" s="3066" t="s">
        <v>2638</v>
      </c>
    </row>
    <row r="68" spans="2:12" x14ac:dyDescent="0.35">
      <c r="D68" s="143" t="s">
        <v>2453</v>
      </c>
      <c r="E68" s="3067" t="str">
        <f>A16</f>
        <v>c7.14</v>
      </c>
      <c r="F68" s="960">
        <f>MIN(F55,F65)</f>
        <v>0</v>
      </c>
      <c r="I68" s="143" t="s">
        <v>2454</v>
      </c>
      <c r="J68" s="3067" t="str">
        <f>A17</f>
        <v>c7.15</v>
      </c>
      <c r="K68" s="960">
        <f>IF('Status (c3a)'!E21=2,IF(SHR_rate&gt;=HR_rate,TRUNC(F68*(SHR_rate-SBR_rate)+0.0099,2),TRUNC(F68*(HR_rate-BR_rate)+0.0099,2)),0)</f>
        <v>0</v>
      </c>
      <c r="L68" s="1082" t="s">
        <v>1783</v>
      </c>
    </row>
    <row r="70" spans="2:12" x14ac:dyDescent="0.35">
      <c r="B70" s="3063" t="s">
        <v>2638</v>
      </c>
    </row>
    <row r="71" spans="2:12" x14ac:dyDescent="0.35">
      <c r="K71" s="3064" t="str">
        <f>J12&amp;" + "&amp;J32&amp;" + "&amp;J50&amp;" + "&amp;J68</f>
        <v>c7.4 + c7.8 + c7.11 + c7.15</v>
      </c>
    </row>
    <row r="72" spans="2:12" x14ac:dyDescent="0.35">
      <c r="I72" s="143" t="s">
        <v>7183</v>
      </c>
      <c r="J72" s="3067" t="str">
        <f>A18</f>
        <v>c7.16</v>
      </c>
      <c r="K72" s="818">
        <f>K12+K32+K50+K68</f>
        <v>0</v>
      </c>
    </row>
    <row r="73" spans="2:12" x14ac:dyDescent="0.35">
      <c r="L73" s="440" t="str">
        <f>"copy to box "&amp;'Tax adj (c9)'!I8</f>
        <v>copy to box c9.2</v>
      </c>
    </row>
  </sheetData>
  <phoneticPr fontId="68" type="noConversion"/>
  <pageMargins left="0.19685039370078741" right="0.19685039370078741" top="0.19685039370078741" bottom="0.19685039370078741" header="0" footer="0"/>
  <pageSetup paperSize="9"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FF00"/>
  </sheetPr>
  <dimension ref="A1:O91"/>
  <sheetViews>
    <sheetView showGridLines="0" topLeftCell="B85" workbookViewId="0">
      <selection activeCell="R71" sqref="R71"/>
    </sheetView>
  </sheetViews>
  <sheetFormatPr defaultColWidth="9.1328125" defaultRowHeight="11.65" x14ac:dyDescent="0.35"/>
  <cols>
    <col min="1" max="1" width="5.265625" style="413" hidden="1" customWidth="1"/>
    <col min="2" max="2" width="15.86328125" style="413" customWidth="1"/>
    <col min="3" max="3" width="6.265625" style="413" customWidth="1"/>
    <col min="4" max="4" width="13.265625" style="413" customWidth="1"/>
    <col min="5" max="5" width="19" style="413" customWidth="1"/>
    <col min="6" max="7" width="6.265625" style="413" customWidth="1"/>
    <col min="8" max="8" width="13.265625" style="413" customWidth="1"/>
    <col min="9" max="9" width="6.265625" style="413" bestFit="1" customWidth="1"/>
    <col min="10" max="10" width="9" style="413" customWidth="1"/>
    <col min="11" max="11" width="4.86328125" style="413" customWidth="1"/>
    <col min="12" max="12" width="5.73046875" style="413" customWidth="1"/>
    <col min="13" max="14" width="9.1328125" style="413"/>
    <col min="15" max="15" width="13.1328125" style="413" customWidth="1"/>
    <col min="16" max="16384" width="9.1328125" style="413"/>
  </cols>
  <sheetData>
    <row r="1" spans="1:15" ht="17.649999999999999" x14ac:dyDescent="0.5">
      <c r="B1" s="1364" t="s">
        <v>5384</v>
      </c>
      <c r="C1" s="806"/>
      <c r="J1" s="806"/>
      <c r="K1" s="810"/>
      <c r="L1" s="810"/>
      <c r="M1" s="810"/>
      <c r="N1" s="810"/>
      <c r="O1" s="806"/>
    </row>
    <row r="2" spans="1:15" x14ac:dyDescent="0.35">
      <c r="J2" s="806"/>
      <c r="K2" s="810"/>
      <c r="L2" s="810"/>
      <c r="M2" s="806"/>
      <c r="N2" s="806"/>
      <c r="O2" s="806"/>
    </row>
    <row r="3" spans="1:15" x14ac:dyDescent="0.35">
      <c r="E3" s="807" t="s">
        <v>1955</v>
      </c>
      <c r="F3" s="808"/>
      <c r="G3" s="808"/>
      <c r="H3" s="809"/>
      <c r="K3" s="810"/>
      <c r="L3" s="810"/>
      <c r="M3" s="806"/>
      <c r="N3" s="810"/>
      <c r="O3" s="806"/>
    </row>
    <row r="4" spans="1:15" x14ac:dyDescent="0.35">
      <c r="A4" s="812" t="s">
        <v>3779</v>
      </c>
      <c r="K4" s="810"/>
      <c r="L4" s="810"/>
      <c r="M4" s="806"/>
      <c r="N4" s="810"/>
      <c r="O4" s="806"/>
    </row>
    <row r="5" spans="1:15" x14ac:dyDescent="0.35">
      <c r="A5" s="812" t="s">
        <v>2500</v>
      </c>
      <c r="B5" s="413" t="str">
        <f>"The pseudo box at "&amp;YPD&amp;'INC(1)'!C7&amp;" is for the Scottish taxpayer signal"</f>
        <v>The pseudo box at YPDTR is for the Scottish taxpayer signal</v>
      </c>
      <c r="K5" s="810"/>
      <c r="L5" s="810"/>
      <c r="M5" s="806"/>
      <c r="N5" s="810"/>
      <c r="O5" s="806"/>
    </row>
    <row r="6" spans="1:15" x14ac:dyDescent="0.35">
      <c r="A6" s="812" t="s">
        <v>2501</v>
      </c>
      <c r="B6" s="146" t="s">
        <v>5672</v>
      </c>
      <c r="K6" s="810"/>
      <c r="L6" s="810"/>
      <c r="M6" s="806"/>
      <c r="N6" s="810"/>
      <c r="O6" s="806"/>
    </row>
    <row r="7" spans="1:15" x14ac:dyDescent="0.35">
      <c r="A7" s="812" t="s">
        <v>3780</v>
      </c>
      <c r="K7" s="810"/>
      <c r="L7" s="810"/>
      <c r="M7" s="806"/>
      <c r="N7" s="810"/>
      <c r="O7" s="806"/>
    </row>
    <row r="8" spans="1:15" x14ac:dyDescent="0.35">
      <c r="A8" s="812" t="s">
        <v>3781</v>
      </c>
      <c r="B8" s="811" t="s">
        <v>2835</v>
      </c>
      <c r="F8" s="3092"/>
      <c r="G8" s="3092"/>
      <c r="H8" s="3093" t="str">
        <f>"If pseudo box "&amp;YPD&amp;'INC(1)'!C7&amp;" = S, and"</f>
        <v>If pseudo box YPDTR = S, and</v>
      </c>
      <c r="J8" s="806"/>
      <c r="K8" s="810"/>
      <c r="L8" s="810"/>
      <c r="M8" s="806"/>
      <c r="N8" s="810"/>
      <c r="O8" s="806"/>
    </row>
    <row r="9" spans="1:15" x14ac:dyDescent="0.35">
      <c r="A9" s="812" t="s">
        <v>3782</v>
      </c>
      <c r="F9" s="3092"/>
      <c r="G9" s="3092"/>
      <c r="H9" s="3093" t="s">
        <v>6627</v>
      </c>
      <c r="J9" s="806"/>
      <c r="K9" s="810"/>
    </row>
    <row r="10" spans="1:15" x14ac:dyDescent="0.35">
      <c r="A10" s="812" t="s">
        <v>3116</v>
      </c>
      <c r="F10" s="3092"/>
      <c r="G10" s="3092"/>
      <c r="H10" s="3093" t="str">
        <f>G15&amp;" = "&amp;C15&amp;" x SBR_rate ("&amp;SBR_rate*100&amp;"%)"</f>
        <v>c8.2 = c8.1 x SBR_rate (20%)</v>
      </c>
      <c r="K10" s="810"/>
    </row>
    <row r="11" spans="1:15" x14ac:dyDescent="0.35">
      <c r="A11" s="812" t="s">
        <v>3117</v>
      </c>
      <c r="F11" s="3092"/>
      <c r="G11" s="3092"/>
      <c r="H11" s="3092" t="s">
        <v>2520</v>
      </c>
      <c r="K11" s="810"/>
    </row>
    <row r="12" spans="1:15" x14ac:dyDescent="0.35">
      <c r="A12" s="812" t="s">
        <v>3118</v>
      </c>
      <c r="F12" s="3092"/>
      <c r="G12" s="3092"/>
      <c r="H12" s="3094" t="str">
        <f>G15&amp;" = "&amp;C15&amp;" x BR_rate ("&amp;BR_rate*100&amp;"%)"</f>
        <v>c8.2 = c8.1 x BR_rate (20%)</v>
      </c>
      <c r="K12" s="810"/>
    </row>
    <row r="13" spans="1:15" x14ac:dyDescent="0.35">
      <c r="A13" s="812" t="s">
        <v>3119</v>
      </c>
      <c r="F13" s="3092"/>
      <c r="G13" s="3092"/>
      <c r="H13" s="3095" t="s">
        <v>2638</v>
      </c>
      <c r="K13" s="810"/>
      <c r="L13" s="810"/>
      <c r="M13" s="806"/>
      <c r="N13" s="810"/>
      <c r="O13" s="810"/>
    </row>
    <row r="14" spans="1:15" x14ac:dyDescent="0.35">
      <c r="A14" s="812" t="s">
        <v>3772</v>
      </c>
      <c r="D14" s="2824" t="str">
        <f>'tax it (c6)'!F48&amp;" + "&amp;'tax it (c6)'!R48</f>
        <v>c6.6 + c6.40</v>
      </c>
      <c r="F14" s="806"/>
      <c r="H14" s="3042" t="str">
        <f>C15&amp;" x "&amp;'Status (c3a)'!D31</f>
        <v>c8.1 x c3a.4</v>
      </c>
      <c r="K14" s="810"/>
    </row>
    <row r="15" spans="1:15" x14ac:dyDescent="0.35">
      <c r="A15" s="812" t="s">
        <v>3773</v>
      </c>
      <c r="B15" s="916" t="s">
        <v>5589</v>
      </c>
      <c r="C15" s="816" t="str">
        <f>A4</f>
        <v>c8.1</v>
      </c>
      <c r="D15" s="844">
        <f>'tax it (c6)'!G48+'tax it (c6)'!S48</f>
        <v>0</v>
      </c>
      <c r="F15" s="806"/>
      <c r="G15" s="816" t="str">
        <f>A5</f>
        <v>c8.2</v>
      </c>
      <c r="H15" s="818">
        <f>TRUNC(D15*'Status (c3a)'!E31,2)</f>
        <v>0</v>
      </c>
      <c r="I15" s="1083" t="s">
        <v>2872</v>
      </c>
      <c r="J15" s="3036"/>
      <c r="K15" s="1636"/>
    </row>
    <row r="16" spans="1:15" x14ac:dyDescent="0.35">
      <c r="A16" s="812" t="s">
        <v>3774</v>
      </c>
      <c r="J16" s="806"/>
    </row>
    <row r="17" spans="1:15" x14ac:dyDescent="0.35">
      <c r="A17" s="812" t="s">
        <v>3775</v>
      </c>
      <c r="B17" s="810"/>
      <c r="H17" s="109"/>
      <c r="I17" s="810"/>
      <c r="J17" s="806"/>
    </row>
    <row r="18" spans="1:15" x14ac:dyDescent="0.35">
      <c r="A18" s="812" t="s">
        <v>3776</v>
      </c>
      <c r="F18" s="3092"/>
      <c r="G18" s="3092"/>
      <c r="H18" s="3093" t="str">
        <f>G23&amp;" = "&amp;C23&amp;" x SHR_rate ("&amp;SHR_rate*100&amp;"%)"</f>
        <v>c8.4 = c8.3 x SHR_rate (40%)</v>
      </c>
    </row>
    <row r="19" spans="1:15" x14ac:dyDescent="0.35">
      <c r="A19" s="812" t="s">
        <v>3777</v>
      </c>
      <c r="F19" s="3092"/>
      <c r="G19" s="3092"/>
      <c r="H19" s="3092" t="s">
        <v>2520</v>
      </c>
    </row>
    <row r="20" spans="1:15" x14ac:dyDescent="0.35">
      <c r="A20" s="812" t="s">
        <v>3778</v>
      </c>
      <c r="F20" s="3092"/>
      <c r="G20" s="3092"/>
      <c r="H20" s="3094" t="str">
        <f>G23&amp;" = "&amp;C23&amp;" x HR_rate ("&amp;HR_rate*100&amp;"%)"</f>
        <v>c8.4 = c8.3 x HR_rate (40%)</v>
      </c>
    </row>
    <row r="21" spans="1:15" x14ac:dyDescent="0.35">
      <c r="A21" s="812" t="s">
        <v>2276</v>
      </c>
      <c r="F21" s="1141"/>
      <c r="G21" s="1141"/>
      <c r="H21" s="3095" t="s">
        <v>2638</v>
      </c>
    </row>
    <row r="22" spans="1:15" x14ac:dyDescent="0.35">
      <c r="A22" s="812" t="s">
        <v>2277</v>
      </c>
      <c r="D22" s="2824" t="str">
        <f>'tax it (c6)'!F61&amp;" + "&amp;'tax it (c6)'!R61</f>
        <v>c6.9 + c6.43</v>
      </c>
      <c r="F22" s="806"/>
      <c r="H22" s="3042" t="str">
        <f>C23&amp;" x "&amp;'Status (c3a)'!H31</f>
        <v>c8.3 x c3a.5</v>
      </c>
    </row>
    <row r="23" spans="1:15" x14ac:dyDescent="0.35">
      <c r="A23" s="812" t="s">
        <v>796</v>
      </c>
      <c r="B23" s="916" t="s">
        <v>5590</v>
      </c>
      <c r="C23" s="816" t="str">
        <f>A6</f>
        <v>c8.3</v>
      </c>
      <c r="D23" s="844">
        <f>'tax it (c6)'!G61+'tax it (c6)'!S61</f>
        <v>0</v>
      </c>
      <c r="F23" s="806"/>
      <c r="G23" s="816" t="str">
        <f>A7</f>
        <v>c8.4</v>
      </c>
      <c r="H23" s="818">
        <f>TRUNC(D23*'Status (c3a)'!I31,2)</f>
        <v>0</v>
      </c>
      <c r="I23" s="1083" t="s">
        <v>2872</v>
      </c>
      <c r="J23" s="806"/>
    </row>
    <row r="24" spans="1:15" x14ac:dyDescent="0.35">
      <c r="A24" s="812" t="s">
        <v>797</v>
      </c>
      <c r="J24" s="810"/>
    </row>
    <row r="25" spans="1:15" x14ac:dyDescent="0.35">
      <c r="A25" s="812" t="s">
        <v>798</v>
      </c>
      <c r="C25" s="916"/>
      <c r="D25" s="772"/>
      <c r="F25" s="3096"/>
      <c r="G25" s="3092"/>
      <c r="H25" s="3093" t="str">
        <f>"if "&amp;'Status (c3a)'!D21&amp;" = 2"</f>
        <v>if c3a.1 = 2</v>
      </c>
      <c r="I25" s="810"/>
      <c r="J25" s="810"/>
    </row>
    <row r="26" spans="1:15" x14ac:dyDescent="0.35">
      <c r="A26" s="812" t="s">
        <v>1727</v>
      </c>
      <c r="F26" s="3092"/>
      <c r="G26" s="3092"/>
      <c r="H26" s="3093" t="str">
        <f>G31&amp;" = "&amp;C31&amp;" x SAHR_rate ("&amp;SAHR_rate*100&amp;"%)"</f>
        <v>c8.6 = c8.5 x SAHR_rate (45%)</v>
      </c>
    </row>
    <row r="27" spans="1:15" x14ac:dyDescent="0.35">
      <c r="A27" s="812" t="s">
        <v>4762</v>
      </c>
      <c r="F27" s="3092"/>
      <c r="G27" s="3092"/>
      <c r="H27" s="3092" t="s">
        <v>2520</v>
      </c>
    </row>
    <row r="28" spans="1:15" x14ac:dyDescent="0.35">
      <c r="A28" s="812" t="s">
        <v>6549</v>
      </c>
      <c r="F28" s="3092"/>
      <c r="G28" s="3092"/>
      <c r="H28" s="3094" t="str">
        <f>G31&amp;" = "&amp;C31&amp;" x AHR_rate ("&amp;AHR_rate*100&amp;"%)"</f>
        <v>c8.6 = c8.5 x AHR_rate (45%)</v>
      </c>
    </row>
    <row r="29" spans="1:15" x14ac:dyDescent="0.35">
      <c r="A29" s="812" t="s">
        <v>6550</v>
      </c>
      <c r="F29" s="3092"/>
      <c r="G29" s="3092"/>
      <c r="H29" s="3095" t="s">
        <v>2638</v>
      </c>
    </row>
    <row r="30" spans="1:15" x14ac:dyDescent="0.35">
      <c r="D30" s="2824" t="str">
        <f>'tax it (c6)'!F65&amp;" + "&amp;'tax it (c6)'!R65</f>
        <v>c6.10 + c6.44</v>
      </c>
      <c r="F30" s="806"/>
      <c r="H30" s="3042" t="str">
        <f>C31&amp;" x "&amp;'Status (c3a)'!L31</f>
        <v>c8.5 x c3a.6</v>
      </c>
      <c r="K30" s="810"/>
      <c r="O30" s="806"/>
    </row>
    <row r="31" spans="1:15" x14ac:dyDescent="0.35">
      <c r="B31" s="916" t="s">
        <v>5591</v>
      </c>
      <c r="C31" s="816" t="str">
        <f>A8</f>
        <v>c8.5</v>
      </c>
      <c r="D31" s="844">
        <f>'tax it (c6)'!G65+'tax it (c6)'!S65</f>
        <v>0</v>
      </c>
      <c r="F31" s="806"/>
      <c r="G31" s="816" t="str">
        <f>A9</f>
        <v>c8.6</v>
      </c>
      <c r="H31" s="818">
        <f>TRUNC(D31*'Status (c3a)'!M31,2)</f>
        <v>0</v>
      </c>
      <c r="I31" s="1083" t="s">
        <v>2872</v>
      </c>
      <c r="J31" s="810"/>
      <c r="K31" s="810"/>
      <c r="L31" s="810"/>
      <c r="M31" s="810"/>
      <c r="N31" s="810"/>
      <c r="O31" s="806"/>
    </row>
    <row r="32" spans="1:15" x14ac:dyDescent="0.35">
      <c r="B32" s="789"/>
      <c r="C32" s="789"/>
      <c r="D32" s="789"/>
      <c r="E32" s="789"/>
      <c r="F32" s="789"/>
      <c r="G32" s="789"/>
      <c r="H32" s="789"/>
      <c r="I32" s="789"/>
      <c r="J32" s="789"/>
      <c r="K32" s="810"/>
      <c r="L32" s="810"/>
      <c r="M32" s="810"/>
      <c r="N32" s="810"/>
      <c r="O32" s="813"/>
    </row>
    <row r="33" spans="2:10" x14ac:dyDescent="0.35">
      <c r="I33" s="810"/>
      <c r="J33" s="806"/>
    </row>
    <row r="34" spans="2:10" x14ac:dyDescent="0.35">
      <c r="B34" s="811" t="s">
        <v>3912</v>
      </c>
      <c r="C34" s="810"/>
      <c r="D34" s="794"/>
      <c r="E34" s="810"/>
      <c r="F34" s="806"/>
      <c r="G34" s="810"/>
      <c r="H34" s="810"/>
      <c r="I34" s="810"/>
      <c r="J34" s="806"/>
    </row>
    <row r="35" spans="2:10" x14ac:dyDescent="0.35">
      <c r="B35" s="806"/>
      <c r="C35" s="810"/>
      <c r="D35" s="2824" t="str">
        <f>'tax it (c6)'!J27&amp;" + "&amp;'tax it (c6)'!V27</f>
        <v>c6.14 + c6.48</v>
      </c>
      <c r="E35" s="806"/>
      <c r="F35" s="806"/>
      <c r="G35" s="810"/>
      <c r="H35" s="963" t="str">
        <f>C36&amp;" x SR_rate ("&amp;SR_rate*100&amp;"%)"</f>
        <v>c8.7 x SR_rate (0%)</v>
      </c>
      <c r="I35" s="810"/>
      <c r="J35" s="810"/>
    </row>
    <row r="36" spans="2:10" x14ac:dyDescent="0.35">
      <c r="B36" s="961" t="s">
        <v>3290</v>
      </c>
      <c r="C36" s="816" t="str">
        <f>A10</f>
        <v>c8.7</v>
      </c>
      <c r="D36" s="415">
        <f>'tax it (c6)'!K27+'tax it (c6)'!W27</f>
        <v>0</v>
      </c>
      <c r="F36" s="806"/>
      <c r="G36" s="816" t="str">
        <f>A11</f>
        <v>c8.8</v>
      </c>
      <c r="H36" s="1047">
        <f>TRUNC(D36*SR_rate,2)</f>
        <v>0</v>
      </c>
      <c r="I36" s="1083" t="s">
        <v>2872</v>
      </c>
      <c r="J36" s="806"/>
    </row>
    <row r="37" spans="2:10" x14ac:dyDescent="0.35">
      <c r="B37" s="810"/>
      <c r="C37" s="806"/>
      <c r="D37" s="794"/>
      <c r="E37" s="806"/>
      <c r="F37" s="806"/>
      <c r="I37" s="810"/>
      <c r="J37" s="810"/>
    </row>
    <row r="38" spans="2:10" x14ac:dyDescent="0.35">
      <c r="D38" s="773" t="str">
        <f>'tax it (c6)'!J38&amp;" + "&amp;'tax it (c6)'!V38</f>
        <v>c6.17 + c6.51</v>
      </c>
      <c r="H38" s="773" t="str">
        <f>C39&amp;" x SNil_rate ("&amp;SNil_rate*100&amp;"%)"</f>
        <v>c8.9 x SNil_rate (0%)</v>
      </c>
    </row>
    <row r="39" spans="2:10" x14ac:dyDescent="0.35">
      <c r="B39" s="961" t="s">
        <v>5588</v>
      </c>
      <c r="C39" s="816" t="str">
        <f>A12</f>
        <v>c8.9</v>
      </c>
      <c r="D39" s="415">
        <f>'tax it (c6)'!K38+'tax it (c6)'!W38</f>
        <v>0</v>
      </c>
      <c r="G39" s="816" t="str">
        <f>A13</f>
        <v>c8.10</v>
      </c>
      <c r="H39" s="1047">
        <f>D39*SNil_rate</f>
        <v>0</v>
      </c>
    </row>
    <row r="41" spans="2:10" x14ac:dyDescent="0.35">
      <c r="B41" s="810"/>
      <c r="C41" s="810"/>
      <c r="D41" s="794" t="str">
        <f>'tax it (c6)'!J48&amp;" + "&amp;'tax it (c6)'!V48</f>
        <v>c6.18 + c6.52</v>
      </c>
      <c r="E41" s="810"/>
      <c r="F41" s="810"/>
      <c r="G41" s="810"/>
      <c r="H41" s="963" t="str">
        <f>C42&amp;" x BR_rate ("&amp;BR_rate*100&amp;"%)"</f>
        <v>c8.11 x BR_rate (20%)</v>
      </c>
      <c r="I41" s="810"/>
      <c r="J41" s="810"/>
    </row>
    <row r="42" spans="2:10" x14ac:dyDescent="0.35">
      <c r="B42" s="916" t="s">
        <v>5589</v>
      </c>
      <c r="C42" s="816" t="str">
        <f>A14</f>
        <v>c8.11</v>
      </c>
      <c r="D42" s="415">
        <f>'tax it (c6)'!K48+'tax it (c6)'!W48</f>
        <v>0</v>
      </c>
      <c r="F42" s="806"/>
      <c r="G42" s="816" t="str">
        <f>A15</f>
        <v>c8.12</v>
      </c>
      <c r="H42" s="1047">
        <f>TRUNC(D42*BR_rate,2)</f>
        <v>0</v>
      </c>
      <c r="I42" s="1083" t="s">
        <v>2872</v>
      </c>
      <c r="J42" s="810"/>
    </row>
    <row r="43" spans="2:10" x14ac:dyDescent="0.35">
      <c r="B43" s="810"/>
      <c r="F43" s="810"/>
      <c r="I43" s="810"/>
      <c r="J43" s="810"/>
    </row>
    <row r="44" spans="2:10" x14ac:dyDescent="0.35">
      <c r="B44" s="811"/>
      <c r="C44" s="810"/>
      <c r="D44" s="794" t="str">
        <f>'tax it (c6)'!J61&amp;" + "&amp;'tax it (c6)'!V61</f>
        <v>c6.21 + c6.55</v>
      </c>
      <c r="F44" s="810"/>
      <c r="G44" s="810"/>
      <c r="H44" s="963" t="str">
        <f>C45&amp;" x HR_rate ("&amp;HR_rate*100&amp;"%)"</f>
        <v>c8.13 x HR_rate (40%)</v>
      </c>
      <c r="J44" s="810"/>
    </row>
    <row r="45" spans="2:10" x14ac:dyDescent="0.35">
      <c r="B45" s="916" t="s">
        <v>5590</v>
      </c>
      <c r="C45" s="816" t="str">
        <f>A16</f>
        <v>c8.13</v>
      </c>
      <c r="D45" s="844">
        <f>'tax it (c6)'!K61+'tax it (c6)'!W61</f>
        <v>0</v>
      </c>
      <c r="F45" s="806"/>
      <c r="G45" s="816" t="str">
        <f>A17</f>
        <v>c8.14</v>
      </c>
      <c r="H45" s="1047">
        <f>TRUNC(D45*HR_rate,2)</f>
        <v>0</v>
      </c>
      <c r="I45" s="1083" t="s">
        <v>2872</v>
      </c>
      <c r="J45" s="810"/>
    </row>
    <row r="46" spans="2:10" x14ac:dyDescent="0.35">
      <c r="B46" s="806"/>
      <c r="C46" s="916"/>
      <c r="D46" s="772"/>
      <c r="F46" s="806"/>
      <c r="H46" s="806"/>
      <c r="J46" s="810"/>
    </row>
    <row r="47" spans="2:10" x14ac:dyDescent="0.35">
      <c r="B47" s="806"/>
      <c r="D47" s="2824" t="str">
        <f>'tax it (c6)'!J65&amp;" + "&amp;'tax it (c6)'!V65</f>
        <v>c6.22 + c6.56</v>
      </c>
      <c r="F47" s="806"/>
      <c r="G47" s="916"/>
      <c r="H47" s="963" t="str">
        <f>C48&amp;" x AHR_rate ("&amp;AHR_rate*100&amp;"%)"</f>
        <v>c8.15 x AHR_rate (45%)</v>
      </c>
      <c r="J47" s="810"/>
    </row>
    <row r="48" spans="2:10" x14ac:dyDescent="0.35">
      <c r="B48" s="916" t="s">
        <v>5591</v>
      </c>
      <c r="C48" s="816" t="str">
        <f>A18</f>
        <v>c8.15</v>
      </c>
      <c r="D48" s="844">
        <f>'tax it (c6)'!K65+'tax it (c6)'!W65</f>
        <v>0</v>
      </c>
      <c r="F48" s="806"/>
      <c r="G48" s="816" t="str">
        <f>A19</f>
        <v>c8.16</v>
      </c>
      <c r="H48" s="1047">
        <f>TRUNC(D48*AHR_rate,2)</f>
        <v>0</v>
      </c>
      <c r="I48" s="1083" t="s">
        <v>2872</v>
      </c>
      <c r="J48" s="810"/>
    </row>
    <row r="49" spans="2:10" x14ac:dyDescent="0.35">
      <c r="B49" s="789"/>
      <c r="C49" s="789"/>
      <c r="D49" s="789"/>
      <c r="E49" s="789"/>
      <c r="F49" s="789"/>
      <c r="G49" s="789"/>
      <c r="H49" s="789"/>
      <c r="I49" s="789"/>
      <c r="J49" s="789"/>
    </row>
    <row r="50" spans="2:10" x14ac:dyDescent="0.35">
      <c r="J50" s="810"/>
    </row>
    <row r="51" spans="2:10" x14ac:dyDescent="0.35">
      <c r="B51" s="811" t="s">
        <v>3913</v>
      </c>
      <c r="C51" s="806"/>
      <c r="D51" s="810"/>
      <c r="E51" s="810"/>
      <c r="F51" s="810"/>
      <c r="G51" s="810"/>
      <c r="H51" s="810"/>
      <c r="J51" s="810"/>
    </row>
    <row r="52" spans="2:10" x14ac:dyDescent="0.35">
      <c r="D52" s="1507" t="str">
        <f>"from "&amp;'tax it (c6)'!N38</f>
        <v>from c6.25</v>
      </c>
      <c r="H52" s="773" t="str">
        <f>C53&amp;" x DivNil_rate ("&amp;DivNil_rate*100&amp;"%)"</f>
        <v>c8.17 x DivNil_rate (0%)</v>
      </c>
    </row>
    <row r="53" spans="2:10" x14ac:dyDescent="0.35">
      <c r="B53" s="961" t="s">
        <v>5588</v>
      </c>
      <c r="C53" s="816" t="str">
        <f>A20</f>
        <v>c8.17</v>
      </c>
      <c r="D53" s="844">
        <f>'tax it (c6)'!O38</f>
        <v>0</v>
      </c>
      <c r="G53" s="816" t="str">
        <f>A21</f>
        <v>c8.18</v>
      </c>
      <c r="H53" s="1047">
        <f>D53*DivNil_rate</f>
        <v>0</v>
      </c>
    </row>
    <row r="55" spans="2:10" x14ac:dyDescent="0.35">
      <c r="B55" s="810"/>
      <c r="C55" s="806"/>
      <c r="D55" s="2824" t="str">
        <f>"from "&amp;'tax it (c6)'!N48</f>
        <v>from c6.28</v>
      </c>
      <c r="E55" s="810"/>
      <c r="F55" s="810"/>
      <c r="G55" s="810"/>
      <c r="H55" s="963" t="str">
        <f>C56&amp;" x DivBR_rate ("&amp;DivBR_rate*100&amp;"%)"</f>
        <v>c8.19 x DivBR_rate (7.5%)</v>
      </c>
      <c r="J55" s="810"/>
    </row>
    <row r="56" spans="2:10" x14ac:dyDescent="0.35">
      <c r="B56" s="916" t="s">
        <v>5589</v>
      </c>
      <c r="C56" s="816" t="str">
        <f xml:space="preserve"> A22</f>
        <v>c8.19</v>
      </c>
      <c r="D56" s="844">
        <f>'tax it (c6)'!O48</f>
        <v>0</v>
      </c>
      <c r="F56" s="806"/>
      <c r="G56" s="816" t="str">
        <f>A23</f>
        <v>c8.20</v>
      </c>
      <c r="H56" s="1047">
        <f>TRUNC(D56*DivBR_rate,2)</f>
        <v>0</v>
      </c>
      <c r="I56" s="1083" t="s">
        <v>2872</v>
      </c>
      <c r="J56" s="810"/>
    </row>
    <row r="57" spans="2:10" x14ac:dyDescent="0.35">
      <c r="B57" s="810"/>
      <c r="C57" s="810"/>
      <c r="D57" s="810"/>
      <c r="E57" s="810"/>
      <c r="F57" s="810"/>
      <c r="G57" s="810"/>
      <c r="H57" s="810"/>
      <c r="J57" s="810"/>
    </row>
    <row r="58" spans="2:10" x14ac:dyDescent="0.35">
      <c r="B58" s="811"/>
      <c r="C58" s="806"/>
      <c r="D58" s="2824" t="str">
        <f>"from "&amp;'tax it (c6)'!N61</f>
        <v>from c6.33</v>
      </c>
      <c r="E58" s="810"/>
      <c r="F58" s="810"/>
      <c r="G58" s="810"/>
      <c r="H58" s="963" t="str">
        <f>C59&amp;" x DivHR_rate ("&amp;DivHR_rate*100&amp;"%)"</f>
        <v>c8.21 x DivHR_rate (32.5%)</v>
      </c>
    </row>
    <row r="59" spans="2:10" x14ac:dyDescent="0.35">
      <c r="B59" s="916" t="s">
        <v>5590</v>
      </c>
      <c r="C59" s="816" t="str">
        <f>A24</f>
        <v>c8.21</v>
      </c>
      <c r="D59" s="415">
        <f>'tax it (c6)'!O61</f>
        <v>0</v>
      </c>
      <c r="F59" s="806"/>
      <c r="G59" s="816" t="str">
        <f>A25</f>
        <v>c8.22</v>
      </c>
      <c r="H59" s="1047">
        <f>TRUNC(D59*DivHR_rate,2)</f>
        <v>0</v>
      </c>
      <c r="I59" s="1083" t="s">
        <v>2872</v>
      </c>
    </row>
    <row r="60" spans="2:10" x14ac:dyDescent="0.35">
      <c r="B60" s="806"/>
    </row>
    <row r="61" spans="2:10" x14ac:dyDescent="0.35">
      <c r="B61" s="806"/>
      <c r="D61" s="2824" t="str">
        <f>"from "&amp;'tax it (c6)'!N65</f>
        <v>from c6.34</v>
      </c>
      <c r="G61" s="810"/>
      <c r="H61" s="963" t="str">
        <f>C62&amp;" x DivAR_rate ("&amp;DivAR_rate*100&amp;"%)"</f>
        <v>c8.23 x DivAR_rate (38.1%)</v>
      </c>
    </row>
    <row r="62" spans="2:10" x14ac:dyDescent="0.35">
      <c r="B62" s="916" t="s">
        <v>5591</v>
      </c>
      <c r="C62" s="816" t="str">
        <f>A26</f>
        <v>c8.23</v>
      </c>
      <c r="D62" s="415">
        <f>'tax it (c6)'!O65</f>
        <v>0</v>
      </c>
      <c r="G62" s="816" t="str">
        <f>A27</f>
        <v>c8.24</v>
      </c>
      <c r="H62" s="1047">
        <f>TRUNC(D62*DivAR_rate,2)</f>
        <v>0</v>
      </c>
      <c r="I62" s="1083" t="s">
        <v>2872</v>
      </c>
    </row>
    <row r="63" spans="2:10" x14ac:dyDescent="0.35">
      <c r="B63" s="789"/>
      <c r="C63" s="789"/>
      <c r="D63" s="789"/>
      <c r="E63" s="789"/>
      <c r="F63" s="789"/>
      <c r="G63" s="789"/>
      <c r="H63" s="789"/>
      <c r="I63" s="789"/>
      <c r="J63" s="789"/>
    </row>
    <row r="65" spans="2:10" x14ac:dyDescent="0.35">
      <c r="H65" s="44" t="s">
        <v>4334</v>
      </c>
    </row>
    <row r="66" spans="2:10" x14ac:dyDescent="0.35">
      <c r="D66" s="810"/>
      <c r="H66" s="773" t="str">
        <f>G70&amp;" = "&amp;'non-res (c91)'!R118</f>
        <v>c8.25 = c91.35</v>
      </c>
    </row>
    <row r="67" spans="2:10" x14ac:dyDescent="0.35">
      <c r="G67" s="109"/>
      <c r="H67" s="110" t="s">
        <v>2520</v>
      </c>
    </row>
    <row r="68" spans="2:10" x14ac:dyDescent="0.35">
      <c r="H68" s="773" t="str">
        <f>G70&amp;" = 0 (zero)"</f>
        <v>c8.25 = 0 (zero)</v>
      </c>
    </row>
    <row r="69" spans="2:10" x14ac:dyDescent="0.35">
      <c r="G69" s="109"/>
      <c r="H69" s="146" t="s">
        <v>2638</v>
      </c>
    </row>
    <row r="70" spans="2:10" x14ac:dyDescent="0.35">
      <c r="B70" s="773" t="s">
        <v>4066</v>
      </c>
      <c r="G70" s="816" t="str">
        <f>A28</f>
        <v>c8.25</v>
      </c>
      <c r="H70" s="1047">
        <f>IF(non_resident,'non-res (c91)'!S118,0)</f>
        <v>0</v>
      </c>
    </row>
    <row r="73" spans="2:10" x14ac:dyDescent="0.35">
      <c r="F73" s="810"/>
      <c r="G73" s="810"/>
      <c r="H73" s="963" t="str">
        <f>G15&amp;" + "&amp;G23&amp;" + "&amp;G31&amp;" + "&amp;G36&amp;" + "&amp;G42&amp;" + "&amp;G45</f>
        <v>c8.2 + c8.4 + c8.6 + c8.8 + c8.12 + c8.14</v>
      </c>
    </row>
    <row r="74" spans="2:10" x14ac:dyDescent="0.35">
      <c r="F74" s="810"/>
      <c r="G74" s="810"/>
      <c r="H74" s="794" t="str">
        <f>" + "&amp;G48&amp;" + "&amp;G56&amp;" + "&amp;G59&amp;" + "&amp;G62&amp;" + "&amp;G70</f>
        <v xml:space="preserve"> + c8.16 + c8.20 + c8.22 + c8.24 + c8.25</v>
      </c>
    </row>
    <row r="75" spans="2:10" x14ac:dyDescent="0.35">
      <c r="B75" s="814" t="s">
        <v>2846</v>
      </c>
      <c r="G75" s="816" t="str">
        <f>A29</f>
        <v>c8.26</v>
      </c>
      <c r="H75" s="1047">
        <f>H15+H23+H31+H36+H42+H45+H48+H56+H59+H62+H70</f>
        <v>0</v>
      </c>
    </row>
    <row r="76" spans="2:10" x14ac:dyDescent="0.35">
      <c r="F76" s="810"/>
      <c r="H76" s="963" t="str">
        <f>"copy to "&amp;'Tax adj (c9)'!L5</f>
        <v>copy to c9.1</v>
      </c>
    </row>
    <row r="77" spans="2:10" x14ac:dyDescent="0.35">
      <c r="B77" s="789"/>
      <c r="C77" s="789"/>
      <c r="D77" s="789"/>
      <c r="E77" s="789"/>
      <c r="F77" s="789"/>
      <c r="G77" s="789"/>
      <c r="H77" s="789"/>
      <c r="I77" s="789"/>
      <c r="J77" s="789"/>
    </row>
    <row r="79" spans="2:10" x14ac:dyDescent="0.35">
      <c r="D79" s="773" t="str">
        <f>"If "&amp;C23&amp;" + "&amp;C45&amp;" + "&amp;C59&amp;" &gt; 0 (zero)"</f>
        <v>If c8.3 + c8.13 + c8.21 &gt; 0 (zero)</v>
      </c>
    </row>
    <row r="80" spans="2:10" x14ac:dyDescent="0.35">
      <c r="D80" s="413" t="str">
        <f>C84&amp;" = 'Y'"</f>
        <v xml:space="preserve"> = 'Y'</v>
      </c>
    </row>
    <row r="81" spans="2:4" x14ac:dyDescent="0.35">
      <c r="D81" s="146" t="s">
        <v>2520</v>
      </c>
    </row>
    <row r="82" spans="2:4" x14ac:dyDescent="0.35">
      <c r="D82" s="413" t="str">
        <f>C84&amp;" = 'N'"</f>
        <v xml:space="preserve"> = 'N'</v>
      </c>
    </row>
    <row r="83" spans="2:4" x14ac:dyDescent="0.35">
      <c r="D83" s="146" t="s">
        <v>3508</v>
      </c>
    </row>
    <row r="84" spans="2:4" x14ac:dyDescent="0.35">
      <c r="B84" s="919" t="s">
        <v>1424</v>
      </c>
      <c r="C84" s="816"/>
      <c r="D84" s="922" t="str">
        <f>IF(D23+D45+D59&gt;0,"Y","N")</f>
        <v>N</v>
      </c>
    </row>
    <row r="86" spans="2:4" x14ac:dyDescent="0.35">
      <c r="D86" s="773" t="str">
        <f>"If "&amp;C31&amp;" + "&amp;C48&amp;" + "&amp;C62&amp;" &gt; 0 (zero)"</f>
        <v>If c8.5 + c8.15 + c8.23 &gt; 0 (zero)</v>
      </c>
    </row>
    <row r="87" spans="2:4" x14ac:dyDescent="0.35">
      <c r="D87" s="413" t="str">
        <f>C91&amp;" = 'Y'"</f>
        <v xml:space="preserve"> = 'Y'</v>
      </c>
    </row>
    <row r="88" spans="2:4" x14ac:dyDescent="0.35">
      <c r="D88" s="146" t="s">
        <v>2520</v>
      </c>
    </row>
    <row r="89" spans="2:4" x14ac:dyDescent="0.35">
      <c r="D89" s="413" t="str">
        <f>C91&amp;" = 'N'"</f>
        <v xml:space="preserve"> = 'N'</v>
      </c>
    </row>
    <row r="90" spans="2:4" x14ac:dyDescent="0.35">
      <c r="D90" s="146" t="s">
        <v>3508</v>
      </c>
    </row>
    <row r="91" spans="2:4" x14ac:dyDescent="0.35">
      <c r="B91" s="919" t="s">
        <v>854</v>
      </c>
      <c r="C91" s="816"/>
      <c r="D91" s="922" t="str">
        <f>IF(D31+D48+D62&gt;0,"Y","N")</f>
        <v>N</v>
      </c>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Q134"/>
  <sheetViews>
    <sheetView showGridLines="0" topLeftCell="B121" zoomScaleNormal="100" workbookViewId="0">
      <selection activeCell="O66" sqref="O66"/>
    </sheetView>
  </sheetViews>
  <sheetFormatPr defaultColWidth="8.86328125" defaultRowHeight="11.65" x14ac:dyDescent="0.35"/>
  <cols>
    <col min="1" max="1" width="6.59765625" style="402" hidden="1" customWidth="1"/>
    <col min="2" max="2" width="12.73046875" style="402" customWidth="1"/>
    <col min="3" max="3" width="6" style="402" customWidth="1"/>
    <col min="4" max="4" width="13.1328125" style="402" customWidth="1"/>
    <col min="5" max="5" width="8.86328125" style="402" customWidth="1"/>
    <col min="6" max="6" width="6" style="402" customWidth="1"/>
    <col min="7" max="7" width="16" style="402" customWidth="1"/>
    <col min="8" max="8" width="5.86328125" style="402" customWidth="1"/>
    <col min="9" max="9" width="6" style="402" customWidth="1"/>
    <col min="10" max="10" width="12.1328125" style="402" customWidth="1"/>
    <col min="11" max="11" width="7.1328125" style="402" customWidth="1"/>
    <col min="12" max="12" width="6" style="402" customWidth="1"/>
    <col min="13" max="13" width="16" style="402" customWidth="1"/>
    <col min="14" max="14" width="6.265625" style="402" bestFit="1" customWidth="1"/>
    <col min="15" max="15" width="6.1328125" style="402" customWidth="1"/>
    <col min="16" max="16" width="8.86328125" style="402" customWidth="1"/>
    <col min="17" max="17" width="4.73046875" style="402" customWidth="1"/>
    <col min="18" max="18" width="5.86328125" style="402" customWidth="1"/>
    <col min="19" max="19" width="8.86328125" style="402" customWidth="1"/>
    <col min="20" max="20" width="4.73046875" style="402" customWidth="1"/>
    <col min="21" max="21" width="5.86328125" style="402" customWidth="1"/>
    <col min="22" max="22" width="8.86328125" style="402" customWidth="1"/>
    <col min="23" max="24" width="4.73046875" style="402" customWidth="1"/>
    <col min="25" max="25" width="8.86328125" style="402" customWidth="1"/>
    <col min="26" max="27" width="4.73046875" style="402" customWidth="1"/>
    <col min="28" max="16384" width="8.86328125" style="402"/>
  </cols>
  <sheetData>
    <row r="1" spans="1:15" ht="17.649999999999999" x14ac:dyDescent="0.5">
      <c r="A1" s="125" t="s">
        <v>3120</v>
      </c>
      <c r="B1" s="1365" t="s">
        <v>5385</v>
      </c>
      <c r="C1" s="398"/>
      <c r="D1" s="398"/>
      <c r="E1" s="398"/>
      <c r="F1" s="398"/>
    </row>
    <row r="2" spans="1:15" x14ac:dyDescent="0.35">
      <c r="A2" s="125" t="s">
        <v>3121</v>
      </c>
      <c r="G2" s="756" t="s">
        <v>1955</v>
      </c>
      <c r="H2" s="472"/>
      <c r="I2" s="472"/>
      <c r="J2" s="472"/>
      <c r="K2" s="134"/>
    </row>
    <row r="3" spans="1:15" x14ac:dyDescent="0.35">
      <c r="A3" s="125" t="s">
        <v>3122</v>
      </c>
    </row>
    <row r="4" spans="1:15" x14ac:dyDescent="0.35">
      <c r="A4" s="125" t="s">
        <v>3123</v>
      </c>
      <c r="B4" s="398"/>
      <c r="H4" s="398"/>
      <c r="I4" s="398"/>
      <c r="M4" s="720" t="str">
        <f>"from "&amp;'tax it (c8)'!G75</f>
        <v>from c8.26</v>
      </c>
    </row>
    <row r="5" spans="1:15" x14ac:dyDescent="0.35">
      <c r="A5" s="125" t="s">
        <v>3124</v>
      </c>
      <c r="B5" s="448" t="s">
        <v>686</v>
      </c>
      <c r="H5" s="398"/>
      <c r="I5" s="398"/>
      <c r="L5" s="821" t="str">
        <f>A1</f>
        <v>c9.1</v>
      </c>
      <c r="M5" s="144">
        <f>'tax it (c8)'!H75</f>
        <v>0</v>
      </c>
    </row>
    <row r="6" spans="1:15" x14ac:dyDescent="0.35">
      <c r="A6" s="125" t="s">
        <v>3125</v>
      </c>
    </row>
    <row r="7" spans="1:15" x14ac:dyDescent="0.35">
      <c r="A7" s="125" t="s">
        <v>3126</v>
      </c>
      <c r="B7" s="815" t="s">
        <v>4742</v>
      </c>
      <c r="J7" s="2662" t="str">
        <f>"from "&amp;'CDR (c7)'!J72</f>
        <v>from c7.16</v>
      </c>
    </row>
    <row r="8" spans="1:15" x14ac:dyDescent="0.35">
      <c r="A8" s="125" t="s">
        <v>3127</v>
      </c>
      <c r="B8" s="762" t="s">
        <v>969</v>
      </c>
      <c r="I8" s="821" t="str">
        <f>A2</f>
        <v>c9.2</v>
      </c>
      <c r="J8" s="144">
        <f>'CDR (c7)'!K72</f>
        <v>0</v>
      </c>
    </row>
    <row r="9" spans="1:15" x14ac:dyDescent="0.35">
      <c r="A9" s="125" t="s">
        <v>3128</v>
      </c>
      <c r="O9" s="398"/>
    </row>
    <row r="10" spans="1:15" x14ac:dyDescent="0.35">
      <c r="A10" s="125" t="s">
        <v>3129</v>
      </c>
      <c r="C10" s="398"/>
      <c r="D10" s="398"/>
      <c r="E10" s="398"/>
      <c r="F10" s="398"/>
      <c r="H10" s="398"/>
      <c r="J10" s="153" t="str">
        <f>"from "&amp;'TSR (c17)'!L170</f>
        <v>from c17.48</v>
      </c>
      <c r="K10" s="398"/>
      <c r="L10" s="398"/>
      <c r="M10" s="398"/>
      <c r="O10" s="398"/>
    </row>
    <row r="11" spans="1:15" x14ac:dyDescent="0.35">
      <c r="A11" s="125" t="s">
        <v>3130</v>
      </c>
      <c r="B11" s="762" t="s">
        <v>1522</v>
      </c>
      <c r="E11" s="398"/>
      <c r="F11" s="398"/>
      <c r="G11" s="398"/>
      <c r="I11" s="821" t="str">
        <f>A3</f>
        <v>c9.3</v>
      </c>
      <c r="J11" s="818">
        <f>'TSR (c17)'!M170</f>
        <v>0</v>
      </c>
      <c r="K11" s="398"/>
      <c r="L11" s="398"/>
      <c r="M11" s="398"/>
      <c r="N11" s="398"/>
      <c r="O11" s="398"/>
    </row>
    <row r="12" spans="1:15" x14ac:dyDescent="0.35">
      <c r="A12" s="125" t="s">
        <v>3131</v>
      </c>
      <c r="B12" s="822"/>
      <c r="N12" s="398"/>
      <c r="O12" s="398"/>
    </row>
    <row r="13" spans="1:15" x14ac:dyDescent="0.35">
      <c r="A13" s="125" t="s">
        <v>3132</v>
      </c>
      <c r="B13" s="822"/>
      <c r="D13" s="153"/>
      <c r="G13" s="820" t="str">
        <f>"from "&amp;AOR&amp;AOR!C5</f>
        <v>from AOR1</v>
      </c>
      <c r="I13" s="398"/>
      <c r="J13" s="153" t="str">
        <f>F14&amp;" x "&amp;VCT_rate * 100&amp;"%"</f>
        <v>c9.4 x 30%</v>
      </c>
      <c r="K13" s="398"/>
      <c r="L13" s="398"/>
      <c r="M13" s="398"/>
      <c r="N13" s="398"/>
      <c r="O13" s="398"/>
    </row>
    <row r="14" spans="1:15" x14ac:dyDescent="0.35">
      <c r="A14" s="125" t="s">
        <v>3133</v>
      </c>
      <c r="B14" s="762" t="s">
        <v>2739</v>
      </c>
      <c r="F14" s="821" t="str">
        <f>A4</f>
        <v>c9.4</v>
      </c>
      <c r="G14" s="125">
        <f>TRUNC(AOR!D6+0.99,0)</f>
        <v>0</v>
      </c>
      <c r="H14" s="1081" t="s">
        <v>3966</v>
      </c>
      <c r="I14" s="821" t="str">
        <f>A5</f>
        <v>c9.5</v>
      </c>
      <c r="J14" s="144">
        <f>TRUNC((G14*VCT_rate),2)</f>
        <v>0</v>
      </c>
      <c r="K14" s="1081" t="s">
        <v>1783</v>
      </c>
      <c r="M14" s="398"/>
      <c r="N14" s="398"/>
      <c r="O14" s="398"/>
    </row>
    <row r="15" spans="1:15" x14ac:dyDescent="0.35">
      <c r="A15" s="125" t="s">
        <v>3134</v>
      </c>
      <c r="B15" s="762"/>
      <c r="F15" s="407"/>
      <c r="G15" s="398"/>
      <c r="H15" s="398"/>
      <c r="I15" s="407"/>
      <c r="J15" s="141"/>
      <c r="K15" s="398"/>
      <c r="L15" s="398"/>
      <c r="M15" s="398"/>
      <c r="N15" s="398"/>
      <c r="O15" s="398"/>
    </row>
    <row r="16" spans="1:15" x14ac:dyDescent="0.35">
      <c r="A16" s="125" t="s">
        <v>3135</v>
      </c>
      <c r="B16" s="823"/>
      <c r="F16" s="407"/>
      <c r="G16" s="820" t="str">
        <f>"from "&amp;AOR&amp;AOR!C8</f>
        <v>from AOR2</v>
      </c>
      <c r="H16" s="398"/>
      <c r="J16" s="153" t="str">
        <f>F17&amp;" x "&amp;EIS_rate * 100&amp;"%"</f>
        <v>c9.6 x 30%</v>
      </c>
      <c r="K16" s="398"/>
      <c r="L16" s="398"/>
      <c r="M16" s="398"/>
      <c r="N16" s="398"/>
      <c r="O16" s="398"/>
    </row>
    <row r="17" spans="1:15" x14ac:dyDescent="0.35">
      <c r="A17" s="125" t="s">
        <v>3136</v>
      </c>
      <c r="B17" s="762" t="s">
        <v>648</v>
      </c>
      <c r="F17" s="821" t="str">
        <f>A6</f>
        <v>c9.6</v>
      </c>
      <c r="G17" s="125">
        <f>TRUNC(AOR!D9+0.99,0)</f>
        <v>0</v>
      </c>
      <c r="H17" s="1081" t="s">
        <v>3966</v>
      </c>
      <c r="I17" s="821" t="str">
        <f>A7</f>
        <v>c9.7</v>
      </c>
      <c r="J17" s="144">
        <f>G17*EIS_rate</f>
        <v>0</v>
      </c>
      <c r="K17" s="1081" t="s">
        <v>1783</v>
      </c>
      <c r="L17" s="398"/>
      <c r="M17" s="398"/>
      <c r="N17" s="398"/>
      <c r="O17" s="398"/>
    </row>
    <row r="18" spans="1:15" x14ac:dyDescent="0.35">
      <c r="A18" s="125" t="s">
        <v>3137</v>
      </c>
      <c r="B18" s="762"/>
      <c r="E18" s="820"/>
      <c r="F18" s="835"/>
      <c r="G18" s="398"/>
      <c r="H18" s="398"/>
      <c r="J18" s="141"/>
      <c r="K18" s="398"/>
      <c r="L18" s="398"/>
      <c r="M18" s="398"/>
      <c r="N18" s="398"/>
      <c r="O18" s="398"/>
    </row>
    <row r="19" spans="1:15" x14ac:dyDescent="0.35">
      <c r="A19" s="125" t="s">
        <v>3138</v>
      </c>
      <c r="B19" s="762"/>
      <c r="E19" s="820"/>
      <c r="F19" s="835"/>
      <c r="G19" s="820" t="str">
        <f>"from "&amp;AOR&amp;AOR!G14</f>
        <v>from AOR10</v>
      </c>
      <c r="H19" s="398"/>
      <c r="J19" s="153" t="str">
        <f>F20&amp;" x "&amp;SEIS_rate * 100&amp;"%"</f>
        <v>c9.8 x 50%</v>
      </c>
      <c r="K19" s="398"/>
      <c r="L19" s="398"/>
      <c r="M19" s="398"/>
      <c r="N19" s="398"/>
      <c r="O19" s="398"/>
    </row>
    <row r="20" spans="1:15" x14ac:dyDescent="0.35">
      <c r="A20" s="125" t="s">
        <v>904</v>
      </c>
      <c r="B20" s="762" t="s">
        <v>3299</v>
      </c>
      <c r="F20" s="821" t="str">
        <f>A8</f>
        <v>c9.8</v>
      </c>
      <c r="G20" s="125">
        <f>TRUNC(AOR!H15+0.99,0)</f>
        <v>0</v>
      </c>
      <c r="H20" s="1081" t="s">
        <v>3966</v>
      </c>
      <c r="I20" s="821" t="str">
        <f>A9</f>
        <v>c9.9</v>
      </c>
      <c r="J20" s="144">
        <f>G20*SEIS_rate</f>
        <v>0</v>
      </c>
      <c r="K20" s="1081" t="s">
        <v>1783</v>
      </c>
      <c r="L20" s="398"/>
      <c r="M20" s="398"/>
      <c r="N20" s="398"/>
      <c r="O20" s="398"/>
    </row>
    <row r="21" spans="1:15" x14ac:dyDescent="0.35">
      <c r="A21" s="125" t="s">
        <v>905</v>
      </c>
      <c r="B21" s="823"/>
      <c r="E21" s="825"/>
      <c r="N21" s="398"/>
      <c r="O21" s="398"/>
    </row>
    <row r="22" spans="1:15" x14ac:dyDescent="0.35">
      <c r="A22" s="125" t="s">
        <v>906</v>
      </c>
      <c r="B22" s="823"/>
      <c r="E22" s="825"/>
      <c r="F22" s="407"/>
      <c r="G22" s="820" t="str">
        <f>"from "&amp;AOR&amp;AOR!C11</f>
        <v>from AOR3</v>
      </c>
      <c r="J22" s="153" t="str">
        <f>F23&amp;" x "&amp;CITR_rate * 100&amp;"%"</f>
        <v>c9.10 x 5%</v>
      </c>
      <c r="N22" s="398"/>
      <c r="O22" s="398"/>
    </row>
    <row r="23" spans="1:15" x14ac:dyDescent="0.35">
      <c r="A23" s="125" t="s">
        <v>907</v>
      </c>
      <c r="B23" s="823" t="str">
        <f>AOR!D11</f>
        <v>Community Investment Tax relief</v>
      </c>
      <c r="F23" s="821" t="str">
        <f>A10</f>
        <v>c9.10</v>
      </c>
      <c r="G23" s="125">
        <f>TRUNC(AOR!D12+0.99,0)</f>
        <v>0</v>
      </c>
      <c r="H23" s="1081" t="s">
        <v>3966</v>
      </c>
      <c r="I23" s="821" t="str">
        <f>A11</f>
        <v>c9.11</v>
      </c>
      <c r="J23" s="144">
        <f>G23*CITR_rate</f>
        <v>0</v>
      </c>
      <c r="K23" s="1081" t="s">
        <v>1783</v>
      </c>
      <c r="N23" s="398"/>
      <c r="O23" s="398"/>
    </row>
    <row r="24" spans="1:15" x14ac:dyDescent="0.35">
      <c r="A24" s="125" t="s">
        <v>908</v>
      </c>
      <c r="B24" s="823"/>
      <c r="E24" s="820"/>
      <c r="F24" s="835"/>
      <c r="G24" s="398"/>
      <c r="H24" s="1081"/>
      <c r="J24" s="141"/>
      <c r="K24" s="1081"/>
      <c r="N24" s="398"/>
      <c r="O24" s="398"/>
    </row>
    <row r="25" spans="1:15" x14ac:dyDescent="0.35">
      <c r="A25" s="125" t="s">
        <v>909</v>
      </c>
      <c r="B25" s="823"/>
      <c r="E25" s="820"/>
      <c r="F25" s="835"/>
      <c r="G25" s="820" t="str">
        <f>"from "&amp;AOR&amp;AOR!G17</f>
        <v>from AOR11</v>
      </c>
      <c r="H25" s="1081"/>
      <c r="I25" s="835"/>
      <c r="J25" s="153" t="str">
        <f>F26&amp;" x "&amp;SITR_rate * 100&amp;"%"</f>
        <v>c9.12 x 30%</v>
      </c>
      <c r="K25" s="398"/>
      <c r="N25" s="398"/>
      <c r="O25" s="398"/>
    </row>
    <row r="26" spans="1:15" x14ac:dyDescent="0.35">
      <c r="A26" s="125" t="s">
        <v>910</v>
      </c>
      <c r="B26" s="823" t="str">
        <f>AOR!H17</f>
        <v>Social Investment Tax Relief</v>
      </c>
      <c r="F26" s="821" t="str">
        <f>A12</f>
        <v>c9.12</v>
      </c>
      <c r="G26" s="125">
        <f>TRUNC(AOR!H18+0.99,0)</f>
        <v>0</v>
      </c>
      <c r="H26" s="1081" t="s">
        <v>3966</v>
      </c>
      <c r="I26" s="821" t="str">
        <f>A13</f>
        <v>c9.13</v>
      </c>
      <c r="J26" s="144">
        <f>G26*SITR_rate</f>
        <v>0</v>
      </c>
      <c r="K26" s="1081" t="s">
        <v>1783</v>
      </c>
      <c r="N26" s="398"/>
      <c r="O26" s="398"/>
    </row>
    <row r="27" spans="1:15" x14ac:dyDescent="0.35">
      <c r="A27" s="125" t="s">
        <v>911</v>
      </c>
      <c r="B27" s="43"/>
      <c r="D27" s="43"/>
      <c r="E27" s="43"/>
      <c r="G27" s="407"/>
      <c r="J27" s="141"/>
      <c r="N27" s="398"/>
      <c r="O27" s="398"/>
    </row>
    <row r="28" spans="1:15" x14ac:dyDescent="0.35">
      <c r="A28" s="125" t="s">
        <v>912</v>
      </c>
      <c r="B28" s="43"/>
      <c r="D28" s="43"/>
      <c r="E28" s="43"/>
      <c r="G28" s="407"/>
      <c r="I28" s="407"/>
      <c r="N28" s="398"/>
      <c r="O28" s="398"/>
    </row>
    <row r="29" spans="1:15" x14ac:dyDescent="0.35">
      <c r="A29" s="125" t="s">
        <v>913</v>
      </c>
      <c r="B29" s="43"/>
      <c r="D29" s="43"/>
      <c r="E29" s="43"/>
      <c r="G29" s="407"/>
      <c r="I29" s="407"/>
      <c r="J29" s="141"/>
      <c r="M29" s="720" t="str">
        <f>I8&amp;" + "&amp;I11&amp;" + "&amp;I14&amp;" + "&amp;I17&amp;" + "&amp;I20&amp;" + "&amp;I23&amp;" + "&amp;I26</f>
        <v>c9.2 + c9.3 + c9.5 + c9.7 + c9.9 + c9.11 + c9.13</v>
      </c>
      <c r="N29" s="398"/>
      <c r="O29" s="398"/>
    </row>
    <row r="30" spans="1:15" x14ac:dyDescent="0.35">
      <c r="A30" s="125" t="s">
        <v>914</v>
      </c>
      <c r="B30" s="43"/>
      <c r="D30" s="43"/>
      <c r="E30" s="43"/>
      <c r="G30" s="407"/>
      <c r="I30" s="407"/>
      <c r="J30" s="141"/>
      <c r="L30" s="821" t="str">
        <f>A14</f>
        <v>c9.14</v>
      </c>
      <c r="M30" s="144">
        <f>J8+J11+J14+J17+J20+J23+J26</f>
        <v>0</v>
      </c>
      <c r="N30" s="398"/>
      <c r="O30" s="398"/>
    </row>
    <row r="31" spans="1:15" x14ac:dyDescent="0.35">
      <c r="A31" s="125" t="s">
        <v>4014</v>
      </c>
      <c r="O31" s="398"/>
    </row>
    <row r="32" spans="1:15" x14ac:dyDescent="0.35">
      <c r="A32" s="125" t="s">
        <v>1788</v>
      </c>
      <c r="B32" s="815" t="s">
        <v>616</v>
      </c>
      <c r="J32" s="3170" t="str">
        <f>"lower of "&amp;AOR&amp;AOR!G5&amp;" and "&amp;DOLLAR(SMP,0)</f>
        <v>lower of AOR7 and £3,260</v>
      </c>
      <c r="N32" s="398"/>
      <c r="O32" s="398"/>
    </row>
    <row r="33" spans="1:15" x14ac:dyDescent="0.35">
      <c r="A33" s="125" t="s">
        <v>1789</v>
      </c>
      <c r="B33" s="791" t="s">
        <v>669</v>
      </c>
      <c r="C33" s="43"/>
      <c r="I33" s="821" t="str">
        <f>A15</f>
        <v>c9.15</v>
      </c>
      <c r="J33" s="443">
        <f>IF(AOR!H6&gt;SMP,SMP,TRUNC(AOR!H6+0.99,0))</f>
        <v>0</v>
      </c>
      <c r="K33" s="1081" t="s">
        <v>3966</v>
      </c>
      <c r="N33" s="398"/>
      <c r="O33" s="398"/>
    </row>
    <row r="34" spans="1:15" x14ac:dyDescent="0.35">
      <c r="A34" s="125" t="s">
        <v>3198</v>
      </c>
      <c r="N34" s="398"/>
      <c r="O34" s="398"/>
    </row>
    <row r="35" spans="1:15" x14ac:dyDescent="0.35">
      <c r="A35" s="125" t="s">
        <v>3576</v>
      </c>
      <c r="B35" s="402" t="str">
        <f>"If ("&amp;NRD!P10&amp;" = Y and "&amp;NRD!P11&amp;" = N and "&amp;NRD!P9&amp;" = N)"</f>
        <v>If (box_NRD28 = Y and box_NRD29 = N and box_NRD16 = N)</v>
      </c>
      <c r="N35" s="398"/>
    </row>
    <row r="36" spans="1:15" x14ac:dyDescent="0.35">
      <c r="A36" s="125" t="s">
        <v>855</v>
      </c>
      <c r="B36" s="402" t="str">
        <f>"OR ("&amp;NRD!P4&amp;" = Y and "&amp;NRD!P8&amp;" and "&amp;NRD!P9&amp;" = N)"</f>
        <v>OR (box_NRD1 = Y and box_NRD15 and box_NRD16 = N)</v>
      </c>
      <c r="N36" s="398"/>
      <c r="O36" s="398"/>
    </row>
    <row r="37" spans="1:15" x14ac:dyDescent="0.35">
      <c r="A37" s="125" t="s">
        <v>3297</v>
      </c>
      <c r="B37" s="402" t="s">
        <v>5378</v>
      </c>
      <c r="O37" s="398"/>
    </row>
    <row r="38" spans="1:15" x14ac:dyDescent="0.35">
      <c r="A38" s="125" t="s">
        <v>3298</v>
      </c>
      <c r="B38" s="402" t="str">
        <f>"Set boxes "&amp;I50&amp;" to "&amp;I53&amp;" to 0 (zero)"</f>
        <v>Set boxes c9.16 to c9.17 to 0 (zero)</v>
      </c>
      <c r="N38" s="398"/>
      <c r="O38" s="398"/>
    </row>
    <row r="39" spans="1:15" x14ac:dyDescent="0.35">
      <c r="A39" s="125" t="s">
        <v>1560</v>
      </c>
      <c r="B39" s="402" t="s">
        <v>1370</v>
      </c>
      <c r="O39" s="398"/>
    </row>
    <row r="40" spans="1:15" x14ac:dyDescent="0.35">
      <c r="A40" s="125" t="s">
        <v>5483</v>
      </c>
      <c r="B40" s="402" t="s">
        <v>4041</v>
      </c>
      <c r="O40" s="398"/>
    </row>
    <row r="41" spans="1:15" x14ac:dyDescent="0.35">
      <c r="A41" s="125" t="s">
        <v>5761</v>
      </c>
      <c r="J41" s="720" t="s">
        <v>5354</v>
      </c>
      <c r="O41" s="398"/>
    </row>
    <row r="42" spans="1:15" x14ac:dyDescent="0.35">
      <c r="A42" s="125" t="s">
        <v>6348</v>
      </c>
      <c r="J42" s="720" t="str">
        <f>I50&amp;" = "&amp;'allowances (c14c15)'!K148</f>
        <v>c9.16 = c15.21</v>
      </c>
      <c r="O42" s="398"/>
    </row>
    <row r="43" spans="1:15" x14ac:dyDescent="0.35">
      <c r="A43" s="125" t="s">
        <v>6386</v>
      </c>
      <c r="I43" s="817"/>
      <c r="J43" s="402" t="s">
        <v>2520</v>
      </c>
      <c r="O43" s="398"/>
    </row>
    <row r="44" spans="1:15" x14ac:dyDescent="0.35">
      <c r="A44" s="125" t="s">
        <v>6646</v>
      </c>
      <c r="J44" s="720" t="s">
        <v>5353</v>
      </c>
      <c r="O44" s="398"/>
    </row>
    <row r="45" spans="1:15" x14ac:dyDescent="0.35">
      <c r="A45" s="125" t="s">
        <v>6647</v>
      </c>
      <c r="J45" s="720" t="str">
        <f>I50&amp;" = "&amp;'allowances (c14c15)'!K132</f>
        <v>c9.16 = c15.20</v>
      </c>
      <c r="O45" s="398"/>
    </row>
    <row r="46" spans="1:15" x14ac:dyDescent="0.35">
      <c r="A46" s="125" t="s">
        <v>6890</v>
      </c>
      <c r="I46" s="720"/>
      <c r="J46" s="402" t="s">
        <v>2520</v>
      </c>
      <c r="O46" s="398"/>
    </row>
    <row r="47" spans="1:15" x14ac:dyDescent="0.35">
      <c r="A47" s="125" t="s">
        <v>6960</v>
      </c>
      <c r="J47" s="720" t="str">
        <f>I50&amp;" = 0 (zero)"</f>
        <v>c9.16 = 0 (zero)</v>
      </c>
    </row>
    <row r="48" spans="1:15" x14ac:dyDescent="0.35">
      <c r="A48" s="125" t="s">
        <v>6961</v>
      </c>
      <c r="I48" s="720"/>
      <c r="J48" s="402" t="s">
        <v>2638</v>
      </c>
    </row>
    <row r="49" spans="1:15" x14ac:dyDescent="0.35">
      <c r="A49" s="398"/>
      <c r="I49" s="817"/>
      <c r="J49" s="402" t="s">
        <v>2638</v>
      </c>
    </row>
    <row r="50" spans="1:15" x14ac:dyDescent="0.35">
      <c r="A50" s="398"/>
      <c r="B50" s="791" t="s">
        <v>4041</v>
      </c>
      <c r="C50" s="398"/>
      <c r="I50" s="826" t="str">
        <f>A16</f>
        <v>c9.16</v>
      </c>
      <c r="J50" s="122">
        <f>IF(non_resident,0,IF(UK_allowance_claim,'allowances (c14c15)'!L148,0))</f>
        <v>0</v>
      </c>
    </row>
    <row r="51" spans="1:15" x14ac:dyDescent="0.35">
      <c r="A51" s="398"/>
    </row>
    <row r="52" spans="1:15" x14ac:dyDescent="0.35">
      <c r="J52" s="824" t="str">
        <f>"from "&amp;CAL&amp;CAL!G19</f>
        <v>from CAL13</v>
      </c>
      <c r="O52" s="398"/>
    </row>
    <row r="53" spans="1:15" x14ac:dyDescent="0.35">
      <c r="B53" s="762" t="s">
        <v>1863</v>
      </c>
      <c r="C53" s="43"/>
      <c r="I53" s="821" t="str">
        <f>A17</f>
        <v>c9.17</v>
      </c>
      <c r="J53" s="443">
        <f>IF(non_resident,0,IF(UK_allowance_claim,TRUNC(CAL!H20+0.99,0),0))</f>
        <v>0</v>
      </c>
      <c r="K53" s="1081" t="s">
        <v>3966</v>
      </c>
      <c r="L53" s="407"/>
      <c r="O53" s="398"/>
    </row>
    <row r="54" spans="1:15" x14ac:dyDescent="0.35">
      <c r="B54" s="402" t="s">
        <v>2638</v>
      </c>
      <c r="L54" s="407"/>
      <c r="M54" s="141"/>
    </row>
    <row r="55" spans="1:15" x14ac:dyDescent="0.35">
      <c r="J55" s="153" t="str">
        <f>I33&amp;" + "&amp;I50&amp;" + "&amp;I53</f>
        <v>c9.15 + c9.16 + c9.17</v>
      </c>
      <c r="L55" s="407"/>
      <c r="M55" s="153" t="str">
        <f>I56&amp;" x A_rate ("&amp;A_rate * 100&amp;"%)"</f>
        <v>c9.18 x A_rate (10%)</v>
      </c>
    </row>
    <row r="56" spans="1:15" x14ac:dyDescent="0.35">
      <c r="I56" s="821" t="str">
        <f>A18</f>
        <v>c9.18</v>
      </c>
      <c r="J56" s="123">
        <f>J33+J50+J53</f>
        <v>0</v>
      </c>
      <c r="L56" s="821" t="str">
        <f>A19</f>
        <v>c9.19</v>
      </c>
      <c r="M56" s="132">
        <f>J56*A_rate</f>
        <v>0</v>
      </c>
      <c r="N56" s="1081" t="s">
        <v>1783</v>
      </c>
    </row>
    <row r="58" spans="1:15" x14ac:dyDescent="0.35">
      <c r="B58" s="786" t="s">
        <v>4736</v>
      </c>
    </row>
    <row r="59" spans="1:15" x14ac:dyDescent="0.35">
      <c r="B59" s="2581" t="s">
        <v>4817</v>
      </c>
    </row>
    <row r="60" spans="1:15" x14ac:dyDescent="0.35">
      <c r="B60" s="782" t="s">
        <v>4818</v>
      </c>
    </row>
    <row r="61" spans="1:15" x14ac:dyDescent="0.35">
      <c r="B61" s="146"/>
    </row>
    <row r="62" spans="1:15" x14ac:dyDescent="0.35">
      <c r="B62" s="146" t="str">
        <f>"If ("&amp;NRD!P10&amp;" = Y and "&amp;NRD!P11&amp;" = N and "&amp;NRD!P9&amp;" = N)"</f>
        <v>If (box_NRD28 = Y and box_NRD29 = N and box_NRD16 = N)</v>
      </c>
    </row>
    <row r="63" spans="1:15" x14ac:dyDescent="0.35">
      <c r="B63" s="146" t="str">
        <f>"OR ("&amp;NRD!P4&amp;" = Y and "&amp;NRD!P8&amp;" and "&amp;NRD!P9&amp;" = N)"</f>
        <v>OR (box_NRD1 = Y and box_NRD15 and box_NRD16 = N)</v>
      </c>
    </row>
    <row r="64" spans="1:15" x14ac:dyDescent="0.35">
      <c r="B64" s="146" t="s">
        <v>5379</v>
      </c>
    </row>
    <row r="65" spans="2:15" x14ac:dyDescent="0.35">
      <c r="B65" s="146" t="str">
        <f>"Set boxes "&amp;I74&amp;" to "&amp;L74&amp;" to 0 (zero)"</f>
        <v>Set boxes c9.20 to c9.21 to 0 (zero)</v>
      </c>
    </row>
    <row r="66" spans="2:15" x14ac:dyDescent="0.35">
      <c r="B66" s="146" t="s">
        <v>2520</v>
      </c>
    </row>
    <row r="67" spans="2:15" x14ac:dyDescent="0.35">
      <c r="I67" s="146"/>
      <c r="J67" s="110" t="s">
        <v>5377</v>
      </c>
    </row>
    <row r="68" spans="2:15" x14ac:dyDescent="0.35">
      <c r="I68" s="146"/>
      <c r="J68" s="3044" t="str">
        <f>"AND "&amp;'Deductions (c4)'!P281&amp;" = 0 (zero)"</f>
        <v>AND c4.76c = 0 (zero)</v>
      </c>
    </row>
    <row r="69" spans="2:15" x14ac:dyDescent="0.35">
      <c r="I69" s="146"/>
      <c r="J69" s="109" t="str">
        <f>"AND ("&amp;'Tax adj (c9)'!I50&amp;" + "&amp;'Tax adj (c9)'!I53&amp;") = 0 (zero)"</f>
        <v>AND (c9.16 + c9.17) = 0 (zero)</v>
      </c>
    </row>
    <row r="70" spans="2:15" x14ac:dyDescent="0.35">
      <c r="I70" s="146"/>
      <c r="J70" s="3044" t="str">
        <f>I74&amp;" = T_P_A ("&amp;DOLLAR(T_P_A,0)&amp;")"</f>
        <v>c9.20 = T_P_A (£1,150)</v>
      </c>
    </row>
    <row r="71" spans="2:15" x14ac:dyDescent="0.35">
      <c r="I71" s="146"/>
      <c r="J71" s="146" t="s">
        <v>2520</v>
      </c>
    </row>
    <row r="72" spans="2:15" x14ac:dyDescent="0.35">
      <c r="I72" s="146"/>
      <c r="J72" s="146" t="str">
        <f>I74&amp;" = 0 (zero)"</f>
        <v>c9.20 = 0 (zero)</v>
      </c>
    </row>
    <row r="73" spans="2:15" x14ac:dyDescent="0.35">
      <c r="I73" s="146"/>
      <c r="J73" s="110" t="s">
        <v>2638</v>
      </c>
      <c r="M73" s="109" t="str">
        <f>I74&amp;" x BR_rate ("&amp;BR_rate*100&amp;"%)"</f>
        <v>c9.20 x BR_rate (20%)</v>
      </c>
    </row>
    <row r="74" spans="2:15" x14ac:dyDescent="0.35">
      <c r="I74" s="821" t="str">
        <f>A20</f>
        <v>c9.20</v>
      </c>
      <c r="J74" s="144">
        <f>IF(non_resident,0,IF(AND(MAT_IN,HR_case_MAT=0,MCA_claim=1),T_P_A,0))</f>
        <v>0</v>
      </c>
      <c r="L74" s="821" t="str">
        <f>A21</f>
        <v>c9.21</v>
      </c>
      <c r="M74" s="144">
        <f>IF(non_resident,0,J74*BR_rate)</f>
        <v>0</v>
      </c>
      <c r="O74" s="146"/>
    </row>
    <row r="75" spans="2:15" x14ac:dyDescent="0.35">
      <c r="B75" s="402" t="s">
        <v>2638</v>
      </c>
      <c r="O75" s="146"/>
    </row>
    <row r="76" spans="2:15" x14ac:dyDescent="0.35">
      <c r="O76" s="146"/>
    </row>
    <row r="77" spans="2:15" x14ac:dyDescent="0.35">
      <c r="B77" s="2661"/>
      <c r="C77" s="2661"/>
      <c r="D77" s="2661"/>
      <c r="E77" s="2661"/>
      <c r="F77" s="2661"/>
      <c r="G77" s="2661"/>
      <c r="H77" s="2661"/>
      <c r="I77" s="2661"/>
      <c r="J77" s="2662" t="str">
        <f>"from "&amp;'LLIR (c24)'!K80</f>
        <v>from c24.17</v>
      </c>
      <c r="K77" s="2661"/>
      <c r="L77" s="2661"/>
      <c r="M77" s="2662" t="str">
        <f>I78&amp;" x BR_rate ("&amp;BR_rate*100&amp;"%)"</f>
        <v>c9.22 x BR_rate (20%)</v>
      </c>
      <c r="O77" s="146"/>
    </row>
    <row r="78" spans="2:15" x14ac:dyDescent="0.35">
      <c r="B78" s="2752" t="s">
        <v>6937</v>
      </c>
      <c r="C78" s="2661"/>
      <c r="D78" s="2661"/>
      <c r="E78" s="2661"/>
      <c r="F78" s="2661"/>
      <c r="G78" s="2661"/>
      <c r="H78" s="2661"/>
      <c r="I78" s="2664" t="str">
        <f>A22</f>
        <v>c9.22</v>
      </c>
      <c r="J78" s="2683">
        <f>'LLIR (c24)'!L80</f>
        <v>0</v>
      </c>
      <c r="K78" s="2661"/>
      <c r="L78" s="2664" t="str">
        <f>A23</f>
        <v>c9.23</v>
      </c>
      <c r="M78" s="2683">
        <f>J78*BR_rate</f>
        <v>0</v>
      </c>
      <c r="N78" s="1516" t="s">
        <v>1783</v>
      </c>
      <c r="O78" s="146"/>
    </row>
    <row r="79" spans="2:15" x14ac:dyDescent="0.35">
      <c r="O79" s="146"/>
    </row>
    <row r="80" spans="2:15" x14ac:dyDescent="0.35">
      <c r="O80" s="146"/>
    </row>
    <row r="81" spans="2:15" x14ac:dyDescent="0.35">
      <c r="B81" s="448" t="s">
        <v>1523</v>
      </c>
      <c r="O81" s="146"/>
    </row>
    <row r="82" spans="2:15" x14ac:dyDescent="0.35">
      <c r="B82" s="448"/>
      <c r="J82" s="153" t="str">
        <f>"from "&amp;'Taxable (c5)'!AK137</f>
        <v>from c5.82</v>
      </c>
      <c r="K82" s="447"/>
      <c r="L82" s="2654"/>
      <c r="M82" s="2635" t="str">
        <f>I83&amp;" x BR_rate ("&amp;BR_rate * 100&amp;"%)"</f>
        <v>c9.24 x BR_rate (20%)</v>
      </c>
      <c r="O82" s="146"/>
    </row>
    <row r="83" spans="2:15" x14ac:dyDescent="0.35">
      <c r="B83" s="827" t="s">
        <v>850</v>
      </c>
      <c r="D83" s="43"/>
      <c r="I83" s="2664" t="str">
        <f>A24</f>
        <v>c9.24</v>
      </c>
      <c r="J83" s="420">
        <f>'Taxable (c5)'!AL137</f>
        <v>0</v>
      </c>
      <c r="L83" s="2664" t="str">
        <f>A25</f>
        <v>c9.25</v>
      </c>
      <c r="M83" s="132">
        <f>J83*BR_rate</f>
        <v>0</v>
      </c>
      <c r="N83" s="1516" t="s">
        <v>1783</v>
      </c>
      <c r="O83" s="146"/>
    </row>
    <row r="84" spans="2:15" x14ac:dyDescent="0.35">
      <c r="K84" s="398"/>
      <c r="L84" s="398"/>
      <c r="O84" s="146"/>
    </row>
    <row r="85" spans="2:15" x14ac:dyDescent="0.35">
      <c r="B85" s="825"/>
      <c r="J85" s="153" t="str">
        <f>"from  "&amp;'Notional (c21c23)'!K23</f>
        <v>from  c21.10</v>
      </c>
      <c r="M85" s="398"/>
      <c r="O85" s="146"/>
    </row>
    <row r="86" spans="2:15" x14ac:dyDescent="0.35">
      <c r="B86" s="1524" t="s">
        <v>4039</v>
      </c>
      <c r="I86" s="2664" t="str">
        <f>A26</f>
        <v>c9.26</v>
      </c>
      <c r="J86" s="818">
        <f>'Notional (c21c23)'!L23</f>
        <v>0</v>
      </c>
      <c r="M86" s="398"/>
      <c r="O86" s="146"/>
    </row>
    <row r="87" spans="2:15" x14ac:dyDescent="0.35">
      <c r="B87" s="1524"/>
      <c r="O87" s="146"/>
    </row>
    <row r="88" spans="2:15" x14ac:dyDescent="0.35">
      <c r="B88" s="1524" t="s">
        <v>5477</v>
      </c>
      <c r="J88" s="153" t="str">
        <f>"from  "&amp;'Notional (c21c23)'!K51</f>
        <v>from  c22.12</v>
      </c>
      <c r="O88" s="146"/>
    </row>
    <row r="89" spans="2:15" x14ac:dyDescent="0.35">
      <c r="B89" s="1524" t="s">
        <v>5478</v>
      </c>
      <c r="I89" s="2664" t="str">
        <f>A27</f>
        <v>c9.27</v>
      </c>
      <c r="J89" s="818">
        <f>'Notional (c21c23)'!L51</f>
        <v>0</v>
      </c>
      <c r="O89" s="146"/>
    </row>
    <row r="91" spans="2:15" x14ac:dyDescent="0.35">
      <c r="B91" s="1933"/>
      <c r="C91" s="1933"/>
      <c r="D91" s="1933"/>
      <c r="E91" s="1933"/>
      <c r="F91" s="1933"/>
      <c r="G91" s="1933"/>
      <c r="H91" s="1933"/>
      <c r="K91" s="1933"/>
      <c r="M91" s="2635" t="str">
        <f>I86&amp;" + "&amp;I89</f>
        <v>c9.26 + c9.27</v>
      </c>
    </row>
    <row r="92" spans="2:15" x14ac:dyDescent="0.35">
      <c r="B92" s="1933"/>
      <c r="C92" s="1933"/>
      <c r="D92" s="1933"/>
      <c r="E92" s="1933"/>
      <c r="F92" s="1933"/>
      <c r="G92" s="1933"/>
      <c r="H92" s="1933"/>
      <c r="K92" s="1933"/>
      <c r="L92" s="2664" t="str">
        <f>A28</f>
        <v>c9.28</v>
      </c>
      <c r="M92" s="818">
        <f>J86+J89</f>
        <v>0</v>
      </c>
    </row>
    <row r="93" spans="2:15" x14ac:dyDescent="0.35">
      <c r="B93" s="1933"/>
      <c r="C93" s="1933"/>
      <c r="D93" s="1933"/>
      <c r="E93" s="1933"/>
      <c r="F93" s="1933"/>
      <c r="G93" s="1933"/>
      <c r="H93" s="1933"/>
      <c r="I93" s="1933"/>
      <c r="J93" s="1933"/>
      <c r="K93" s="1933"/>
    </row>
    <row r="94" spans="2:15" x14ac:dyDescent="0.35">
      <c r="B94" s="2661"/>
      <c r="C94" s="2661"/>
      <c r="D94" s="2661"/>
      <c r="E94" s="2661"/>
      <c r="F94" s="2661"/>
      <c r="G94" s="2661"/>
      <c r="H94" s="2661"/>
      <c r="I94" s="2661"/>
      <c r="J94" s="2661"/>
      <c r="K94" s="2661"/>
      <c r="L94" s="2661"/>
      <c r="M94" s="2662" t="str">
        <f>"from "&amp;'Notional (c21c23)'!K75</f>
        <v>from c23.11</v>
      </c>
    </row>
    <row r="95" spans="2:15" x14ac:dyDescent="0.35">
      <c r="B95" s="2663" t="s">
        <v>2556</v>
      </c>
      <c r="C95" s="2661"/>
      <c r="D95" s="2661"/>
      <c r="E95" s="2661"/>
      <c r="F95" s="2661"/>
      <c r="G95" s="2661"/>
      <c r="H95" s="2661"/>
      <c r="I95" s="2661"/>
      <c r="J95" s="2661"/>
      <c r="K95" s="2661"/>
      <c r="L95" s="2664" t="str">
        <f>A29</f>
        <v>c9.29</v>
      </c>
      <c r="M95" s="2665">
        <f>'Notional (c21c23)'!L75</f>
        <v>0</v>
      </c>
    </row>
    <row r="96" spans="2:15" x14ac:dyDescent="0.35">
      <c r="J96" s="720"/>
    </row>
    <row r="97" spans="2:17" x14ac:dyDescent="0.35">
      <c r="K97" s="2661"/>
      <c r="L97" s="2661"/>
      <c r="M97" s="2635" t="str">
        <f>L5&amp;" minus ("&amp;L30&amp;" + "&amp;L56&amp;" + "&amp;L74&amp;" + "&amp;L78&amp;" + "&amp;L83&amp;" + "&amp;L92&amp;" + "&amp;L95&amp;")"</f>
        <v>c9.1 minus (c9.14 + c9.19 + c9.21 + c9.23 + c9.25 + c9.28 + c9.29)</v>
      </c>
    </row>
    <row r="98" spans="2:17" x14ac:dyDescent="0.35">
      <c r="B98" s="823" t="s">
        <v>1467</v>
      </c>
      <c r="L98" s="2660" t="str">
        <f>A30</f>
        <v>c9.30</v>
      </c>
      <c r="M98" s="144">
        <f>MAX(0,M5-(M30+M56+M74+M78+M83+M92+M95))</f>
        <v>0</v>
      </c>
    </row>
    <row r="99" spans="2:17" x14ac:dyDescent="0.35">
      <c r="J99" s="720"/>
    </row>
    <row r="100" spans="2:17" x14ac:dyDescent="0.35">
      <c r="M100" s="820" t="str">
        <f>"from "&amp;FOR&amp;FOR!C9</f>
        <v>from FOR2</v>
      </c>
    </row>
    <row r="101" spans="2:17" x14ac:dyDescent="0.35">
      <c r="B101" s="762" t="s">
        <v>4040</v>
      </c>
      <c r="J101" s="153"/>
      <c r="L101" s="2664" t="str">
        <f>A31</f>
        <v>c9.31</v>
      </c>
      <c r="M101" s="144">
        <f>FOR!D10+'Swiss (SW)'!M73</f>
        <v>0</v>
      </c>
    </row>
    <row r="102" spans="2:17" x14ac:dyDescent="0.35">
      <c r="O102" s="398"/>
    </row>
    <row r="103" spans="2:17" x14ac:dyDescent="0.35">
      <c r="H103" s="1210"/>
      <c r="I103" s="1210"/>
      <c r="J103" s="1210"/>
      <c r="K103" s="1210"/>
      <c r="L103" s="3193"/>
      <c r="M103" s="2653" t="str">
        <f>L98&amp;" minus "&amp;L101</f>
        <v>c9.30 minus c9.31</v>
      </c>
      <c r="O103" s="398"/>
    </row>
    <row r="104" spans="2:17" x14ac:dyDescent="0.35">
      <c r="H104" s="1210"/>
      <c r="I104" s="1210"/>
      <c r="J104" s="1210"/>
      <c r="K104" s="1201" t="s">
        <v>4508</v>
      </c>
      <c r="L104" s="2666" t="str">
        <f>A32</f>
        <v>c9.32</v>
      </c>
      <c r="M104" s="1200">
        <f>MAX(0,UK_FTCR-M101)</f>
        <v>0</v>
      </c>
      <c r="O104" s="398"/>
    </row>
    <row r="105" spans="2:17" x14ac:dyDescent="0.35">
      <c r="O105" s="398"/>
    </row>
    <row r="106" spans="2:17" x14ac:dyDescent="0.35">
      <c r="B106" s="815" t="s">
        <v>2701</v>
      </c>
      <c r="O106" s="398"/>
    </row>
    <row r="107" spans="2:17" x14ac:dyDescent="0.35">
      <c r="B107" s="402" t="s">
        <v>5380</v>
      </c>
      <c r="O107" s="398"/>
    </row>
    <row r="108" spans="2:17" x14ac:dyDescent="0.35">
      <c r="B108" s="402" t="s">
        <v>5381</v>
      </c>
      <c r="K108" s="447"/>
      <c r="M108" s="141"/>
      <c r="O108" s="398"/>
    </row>
    <row r="109" spans="2:17" x14ac:dyDescent="0.35">
      <c r="B109" s="402" t="s">
        <v>5382</v>
      </c>
      <c r="O109" s="398"/>
      <c r="P109" s="146"/>
      <c r="Q109" s="146"/>
    </row>
    <row r="110" spans="2:17" x14ac:dyDescent="0.35">
      <c r="B110" s="402" t="s">
        <v>5383</v>
      </c>
      <c r="P110" s="146"/>
      <c r="Q110" s="146"/>
    </row>
    <row r="111" spans="2:17" x14ac:dyDescent="0.35">
      <c r="D111" s="720" t="str">
        <f>"from "&amp;'Deductions (c4)'!H155</f>
        <v>from c4.57</v>
      </c>
      <c r="F111" s="2661"/>
      <c r="G111" s="153" t="str">
        <f>C112&amp;" x BR_rate ("&amp;BR_rate * 100&amp;"%)"</f>
        <v>c9.33 x BR_rate (20%)</v>
      </c>
      <c r="P111" s="146"/>
      <c r="Q111" s="146"/>
    </row>
    <row r="112" spans="2:17" x14ac:dyDescent="0.35">
      <c r="B112" s="759" t="s">
        <v>549</v>
      </c>
      <c r="C112" s="2664" t="str">
        <f>A33</f>
        <v>c9.33</v>
      </c>
      <c r="D112" s="125">
        <f>'Deductions (c4)'!I155</f>
        <v>0</v>
      </c>
      <c r="E112" s="1211" t="s">
        <v>1837</v>
      </c>
      <c r="F112" s="2664" t="str">
        <f>A34</f>
        <v>c9.34</v>
      </c>
      <c r="G112" s="132">
        <f>TRUNC(D112*BR_rate,0)</f>
        <v>0</v>
      </c>
      <c r="H112" s="1211" t="s">
        <v>1837</v>
      </c>
      <c r="P112" s="146"/>
      <c r="Q112" s="146"/>
    </row>
    <row r="113" spans="2:17" x14ac:dyDescent="0.35">
      <c r="P113" s="146"/>
      <c r="Q113" s="146"/>
    </row>
    <row r="114" spans="2:17" x14ac:dyDescent="0.35">
      <c r="F114" s="3056"/>
      <c r="G114" s="3720" t="str">
        <f>'CG (c18)'!O133&amp;" + "&amp;'CG (c18)'!O136&amp;" + "&amp;'CG (c18)'!O139</f>
        <v>c18.56 + c18.57 + c18.58</v>
      </c>
      <c r="P114" s="146"/>
      <c r="Q114" s="146"/>
    </row>
    <row r="115" spans="2:17" x14ac:dyDescent="0.35">
      <c r="B115" s="762" t="s">
        <v>1881</v>
      </c>
      <c r="F115" s="2664" t="str">
        <f>A35</f>
        <v>c9.35</v>
      </c>
      <c r="G115" s="144">
        <f>'CG (c18)'!P133+'CG (c18)'!P136+'CG (c18)'!P139</f>
        <v>0</v>
      </c>
      <c r="P115" s="146"/>
      <c r="Q115" s="146"/>
    </row>
    <row r="116" spans="2:17" x14ac:dyDescent="0.35">
      <c r="O116" s="398"/>
      <c r="P116" s="43"/>
      <c r="Q116" s="43"/>
    </row>
    <row r="117" spans="2:17" x14ac:dyDescent="0.35">
      <c r="G117" s="1212" t="str">
        <f>"from "&amp;'RBC (c19)'!C20</f>
        <v>from c19.1</v>
      </c>
      <c r="O117" s="43"/>
      <c r="P117" s="43"/>
      <c r="Q117" s="43"/>
    </row>
    <row r="118" spans="2:17" x14ac:dyDescent="0.35">
      <c r="B118" s="762" t="s">
        <v>2232</v>
      </c>
      <c r="F118" s="2664" t="str">
        <f>A36</f>
        <v>c9.36</v>
      </c>
      <c r="G118" s="818">
        <f>'RBC (c19)'!D20</f>
        <v>0</v>
      </c>
      <c r="O118" s="43"/>
      <c r="P118" s="43"/>
      <c r="Q118" s="43"/>
    </row>
    <row r="119" spans="2:17" x14ac:dyDescent="0.35">
      <c r="B119" s="762" t="s">
        <v>2233</v>
      </c>
      <c r="O119" s="43"/>
      <c r="P119" s="43"/>
      <c r="Q119" s="43"/>
    </row>
    <row r="120" spans="2:17" x14ac:dyDescent="0.35">
      <c r="G120" s="1212" t="str">
        <f>"from "&amp;'CBC(c28)'!I26</f>
        <v>from c28.14</v>
      </c>
      <c r="N120" s="146"/>
      <c r="O120" s="146"/>
      <c r="P120" s="146"/>
      <c r="Q120" s="146"/>
    </row>
    <row r="121" spans="2:17" x14ac:dyDescent="0.35">
      <c r="B121" s="762" t="s">
        <v>844</v>
      </c>
      <c r="F121" s="2664" t="str">
        <f>A37</f>
        <v>c9.37</v>
      </c>
      <c r="G121" s="818">
        <f>'CBC(c28)'!J26</f>
        <v>0</v>
      </c>
    </row>
    <row r="122" spans="2:17" x14ac:dyDescent="0.35">
      <c r="B122" s="762"/>
    </row>
    <row r="123" spans="2:17" x14ac:dyDescent="0.35">
      <c r="G123" s="3190" t="str">
        <f>"from "&amp;'Pensions (c25c26)'!J170</f>
        <v>from c25.56</v>
      </c>
    </row>
    <row r="124" spans="2:17" x14ac:dyDescent="0.35">
      <c r="B124" s="836" t="s">
        <v>6575</v>
      </c>
      <c r="C124" s="110"/>
      <c r="D124" s="110"/>
      <c r="F124" s="2664" t="str">
        <f>A38</f>
        <v>c9.38</v>
      </c>
      <c r="G124" s="818">
        <f>'Pensions (c25c26)'!K170</f>
        <v>0</v>
      </c>
    </row>
    <row r="126" spans="2:17" x14ac:dyDescent="0.35">
      <c r="D126" s="2661"/>
      <c r="E126" s="2661"/>
      <c r="F126" s="2661"/>
      <c r="G126" s="2635" t="str">
        <f>F112&amp;" minus ("&amp;F115&amp;" + "&amp;F118&amp;" + "&amp;F121&amp;" + "&amp;F124&amp;")"</f>
        <v>c9.34 minus (c9.35 + c9.36 + c9.37 + c9.38)</v>
      </c>
      <c r="M126" s="2662" t="str">
        <f>"Higher of boxes "&amp;L104&amp;" and "&amp;F127</f>
        <v>Higher of boxes c9.32 and c9.39</v>
      </c>
    </row>
    <row r="127" spans="2:17" x14ac:dyDescent="0.35">
      <c r="F127" s="2664" t="str">
        <f>A39</f>
        <v>c9.39</v>
      </c>
      <c r="G127" s="144">
        <f>MAX(0,G112-(G115+G118+G121+G124))</f>
        <v>0</v>
      </c>
      <c r="K127" s="447" t="s">
        <v>2703</v>
      </c>
      <c r="L127" s="2664" t="str">
        <f>A40</f>
        <v>c9.40</v>
      </c>
      <c r="M127" s="144">
        <f>MAX(G127,M104)</f>
        <v>0</v>
      </c>
      <c r="N127" s="146"/>
    </row>
    <row r="129" spans="2:14" x14ac:dyDescent="0.35">
      <c r="B129" s="819" t="s">
        <v>1018</v>
      </c>
      <c r="C129" s="146"/>
    </row>
    <row r="130" spans="2:14" x14ac:dyDescent="0.35">
      <c r="G130" s="766" t="str">
        <f>"("&amp;AOR&amp;AOR!C14&amp;" + "&amp;ASE&amp;ASE!G20&amp;") x NS_gross ("&amp;NS_gross_F&amp;")"</f>
        <v>(AOR4 + ASE15) x NS_gross (100/80)</v>
      </c>
      <c r="L130" s="2661"/>
      <c r="M130" s="153" t="str">
        <f>F131&amp;" x BR_rate ("&amp;BR_rate*100&amp;"%)"</f>
        <v>c9.41 x BR_rate (20%)</v>
      </c>
    </row>
    <row r="131" spans="2:14" x14ac:dyDescent="0.35">
      <c r="B131" s="146"/>
      <c r="C131" s="146"/>
      <c r="F131" s="2664" t="str">
        <f>A41</f>
        <v>c9.41</v>
      </c>
      <c r="G131" s="125">
        <f>TRUNC((AOR!D15+ASE!H21)*NS_gross,0)</f>
        <v>0</v>
      </c>
      <c r="H131" s="1211" t="s">
        <v>1837</v>
      </c>
      <c r="I131" s="398"/>
      <c r="L131" s="2664" t="str">
        <f>A42</f>
        <v>c9.42</v>
      </c>
      <c r="M131" s="144">
        <f>TRUNC(G131*BR_rate,2)</f>
        <v>0</v>
      </c>
      <c r="N131" s="1211" t="s">
        <v>2872</v>
      </c>
    </row>
    <row r="133" spans="2:14" x14ac:dyDescent="0.35">
      <c r="M133" s="2635" t="str">
        <f>'Tax adj (c9)'!L127&amp;" + "&amp;L131</f>
        <v>c9.40 + c9.42</v>
      </c>
    </row>
    <row r="134" spans="2:14" x14ac:dyDescent="0.35">
      <c r="B134" s="815" t="s">
        <v>5386</v>
      </c>
      <c r="D134" s="146"/>
      <c r="L134" s="2664" t="str">
        <f>A43</f>
        <v>c9.43</v>
      </c>
      <c r="M134" s="132">
        <f>M127+M131</f>
        <v>0</v>
      </c>
    </row>
  </sheetData>
  <phoneticPr fontId="68" type="noConversion"/>
  <pageMargins left="0.196850393700787" right="0.196850393700787" top="0.196850393700787" bottom="0.196850393700787" header="0" footer="0"/>
  <pageSetup paperSize="9" scale="94" orientation="portrait"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FFFF99"/>
  </sheetPr>
  <dimension ref="A1:G45"/>
  <sheetViews>
    <sheetView topLeftCell="A7" workbookViewId="0">
      <selection activeCell="C15" sqref="C15"/>
    </sheetView>
  </sheetViews>
  <sheetFormatPr defaultRowHeight="12.75" x14ac:dyDescent="0.35"/>
  <cols>
    <col min="2" max="2" width="37.59765625" customWidth="1"/>
    <col min="3" max="3" width="37.73046875" bestFit="1" customWidth="1"/>
    <col min="4" max="4" width="17.265625" customWidth="1"/>
    <col min="5" max="5" width="6.1328125" customWidth="1"/>
    <col min="6" max="6" width="37.73046875" bestFit="1" customWidth="1"/>
    <col min="7" max="7" width="35.59765625" bestFit="1" customWidth="1"/>
  </cols>
  <sheetData>
    <row r="1" spans="1:5" x14ac:dyDescent="0.35">
      <c r="A1" s="1907"/>
      <c r="B1" s="1908"/>
      <c r="C1" s="1908" t="s">
        <v>2136</v>
      </c>
      <c r="D1" s="1909" t="str">
        <f>tax_year</f>
        <v>2017-18</v>
      </c>
    </row>
    <row r="2" spans="1:5" x14ac:dyDescent="0.35">
      <c r="A2" s="1910"/>
      <c r="B2" s="1"/>
      <c r="C2" s="1"/>
      <c r="D2" s="1911"/>
    </row>
    <row r="3" spans="1:5" x14ac:dyDescent="0.35">
      <c r="A3" s="1910"/>
      <c r="B3" s="1"/>
      <c r="C3" s="1"/>
      <c r="D3" s="1911"/>
    </row>
    <row r="4" spans="1:5" x14ac:dyDescent="0.35">
      <c r="A4" s="1942" t="s">
        <v>6267</v>
      </c>
      <c r="B4" s="1912" t="s">
        <v>875</v>
      </c>
      <c r="C4" s="1102" t="str">
        <f>'Tax due (c12)'!I5&amp;"+"&amp;'Tax due (c12)'!F31&amp;"+"&amp;'Tax due (c12)'!F34&amp;"+"&amp;'Tax due (c12)'!F37&amp;"+"&amp;'Tax due (c12)'!F40&amp;"-NRD"&amp;NRD!K23</f>
        <v>c12.1+c12.8+c12.9+c12.10+c12.11-NRD36</v>
      </c>
      <c r="D4" s="1913">
        <f>MAX(0,'Tax due (c12)'!J5+'Tax due (c12)'!G31+'Tax due (c12)'!G34+'Tax due (c12)'!G37+'Tax due (c12)'!G40-NRD!L24)</f>
        <v>0</v>
      </c>
      <c r="E4" s="7"/>
    </row>
    <row r="5" spans="1:5" x14ac:dyDescent="0.35">
      <c r="A5" s="1942" t="s">
        <v>6268</v>
      </c>
      <c r="B5" s="1914" t="s">
        <v>3099</v>
      </c>
      <c r="C5" s="1984" t="s">
        <v>4204</v>
      </c>
      <c r="D5" s="1985" t="s">
        <v>4204</v>
      </c>
      <c r="E5" s="1834"/>
    </row>
    <row r="6" spans="1:5" x14ac:dyDescent="0.35">
      <c r="A6" s="1942" t="s">
        <v>6269</v>
      </c>
      <c r="B6" s="1912" t="s">
        <v>3072</v>
      </c>
      <c r="C6" s="1102" t="str">
        <f>'Tax due (c12)'!F59&amp;"+NRD"&amp;NRD!K23</f>
        <v>c12.17+NRD36</v>
      </c>
      <c r="D6" s="1913">
        <f>'Tax due (c12)'!G59+NRD!L24</f>
        <v>0</v>
      </c>
      <c r="E6" s="7"/>
    </row>
    <row r="7" spans="1:5" x14ac:dyDescent="0.35">
      <c r="A7" s="1942" t="s">
        <v>6270</v>
      </c>
      <c r="B7" s="1912" t="s">
        <v>927</v>
      </c>
      <c r="C7" s="1102" t="str">
        <f>'Tax due (c12)'!F8</f>
        <v>c12.2</v>
      </c>
      <c r="D7" s="1913">
        <f>'Tax due (c12)'!G8</f>
        <v>0</v>
      </c>
      <c r="E7" s="7"/>
    </row>
    <row r="8" spans="1:5" x14ac:dyDescent="0.35">
      <c r="A8" s="1942" t="s">
        <v>6271</v>
      </c>
      <c r="B8" s="1914" t="s">
        <v>4717</v>
      </c>
      <c r="C8" s="1102" t="str">
        <f>'Tax due (c12)'!F16</f>
        <v>c12.3</v>
      </c>
      <c r="D8" s="1913">
        <f>'Tax due (c12)'!G16</f>
        <v>0</v>
      </c>
      <c r="E8" s="7"/>
    </row>
    <row r="9" spans="1:5" x14ac:dyDescent="0.35">
      <c r="A9" s="1942" t="s">
        <v>6272</v>
      </c>
      <c r="B9" s="1914" t="s">
        <v>6311</v>
      </c>
      <c r="C9" s="1102" t="str">
        <f>'Tax due (c12)'!F28</f>
        <v>c12.7</v>
      </c>
      <c r="D9" s="1913">
        <f>'Tax due (c12)'!G28</f>
        <v>0</v>
      </c>
      <c r="E9" s="7"/>
    </row>
    <row r="10" spans="1:5" x14ac:dyDescent="0.35">
      <c r="A10" s="1942" t="s">
        <v>6273</v>
      </c>
      <c r="B10" s="1912" t="s">
        <v>928</v>
      </c>
      <c r="C10" s="1102" t="str">
        <f>"CAL"&amp;CAL!C6</f>
        <v>CAL7</v>
      </c>
      <c r="D10" s="1913">
        <f>CAL!D7</f>
        <v>0</v>
      </c>
      <c r="E10" s="7"/>
    </row>
    <row r="11" spans="1:5" x14ac:dyDescent="0.35">
      <c r="A11" s="1942" t="s">
        <v>6274</v>
      </c>
      <c r="B11" s="1914" t="s">
        <v>6653</v>
      </c>
      <c r="C11" s="1102" t="str">
        <f>'Tax due (c12)'!F46</f>
        <v>c12.13</v>
      </c>
      <c r="D11" s="1913">
        <f>'Tax due (c12)'!G46</f>
        <v>0</v>
      </c>
      <c r="E11" s="7"/>
    </row>
    <row r="12" spans="1:5" x14ac:dyDescent="0.35">
      <c r="A12" s="1942" t="s">
        <v>6275</v>
      </c>
      <c r="B12" s="1912" t="s">
        <v>3373</v>
      </c>
      <c r="C12" s="1102" t="str">
        <f>"CAL"&amp;CAL!C9</f>
        <v>CAL8</v>
      </c>
      <c r="D12" s="1913">
        <f>CAL!D10</f>
        <v>0</v>
      </c>
      <c r="E12" s="7"/>
    </row>
    <row r="13" spans="1:5" x14ac:dyDescent="0.35">
      <c r="A13" s="1942" t="s">
        <v>6276</v>
      </c>
      <c r="B13" s="1912" t="s">
        <v>3374</v>
      </c>
      <c r="C13" s="1102" t="str">
        <f>"CAL"&amp;CAL!C22</f>
        <v>CAL14</v>
      </c>
      <c r="D13" s="1913">
        <f>CAL!D23</f>
        <v>0</v>
      </c>
      <c r="E13" s="7"/>
    </row>
    <row r="14" spans="1:5" x14ac:dyDescent="0.35">
      <c r="A14" s="1942" t="s">
        <v>6277</v>
      </c>
      <c r="B14" s="1912" t="s">
        <v>2637</v>
      </c>
      <c r="C14" s="1835" t="s">
        <v>4204</v>
      </c>
      <c r="D14" s="1915" t="s">
        <v>4204</v>
      </c>
      <c r="E14" s="7"/>
    </row>
    <row r="15" spans="1:5" x14ac:dyDescent="0.35">
      <c r="A15" s="1942" t="s">
        <v>6278</v>
      </c>
      <c r="B15" s="3493" t="s">
        <v>6312</v>
      </c>
      <c r="C15" s="3491" t="str">
        <f>'Tax adj (c9)'!L83&amp;" + "&amp;'Tax adj (c9)'!L98&amp;" + "&amp;'Div Cr (c10)'!I12</f>
        <v>c9.25 + c9.30 + c10.4</v>
      </c>
      <c r="D15" s="3492">
        <f>'Tax adj (c9)'!M83+'Tax adj (c9)'!M92+'Div Cr (c10)'!J12</f>
        <v>0</v>
      </c>
      <c r="E15" s="7"/>
    </row>
    <row r="16" spans="1:5" x14ac:dyDescent="0.35">
      <c r="A16" s="1942" t="s">
        <v>6279</v>
      </c>
      <c r="B16" s="1912" t="s">
        <v>3369</v>
      </c>
      <c r="C16" s="1102" t="str">
        <f>"FIN"&amp;'REL(2)'!C40</f>
        <v>FIN1</v>
      </c>
      <c r="D16" s="1913">
        <f>'REL(2)'!D41</f>
        <v>0</v>
      </c>
      <c r="E16" s="7"/>
    </row>
    <row r="17" spans="1:6" x14ac:dyDescent="0.35">
      <c r="A17" s="1942" t="s">
        <v>6280</v>
      </c>
      <c r="B17" s="1912" t="s">
        <v>1692</v>
      </c>
      <c r="C17" s="1835" t="s">
        <v>3398</v>
      </c>
      <c r="D17" s="1915" t="s">
        <v>3398</v>
      </c>
      <c r="E17" s="7"/>
    </row>
    <row r="18" spans="1:6" x14ac:dyDescent="0.35">
      <c r="A18" s="1942" t="s">
        <v>6281</v>
      </c>
      <c r="B18" s="1916" t="s">
        <v>2134</v>
      </c>
      <c r="C18" s="985" t="s">
        <v>3398</v>
      </c>
      <c r="D18" s="1917" t="s">
        <v>3398</v>
      </c>
    </row>
    <row r="19" spans="1:6" x14ac:dyDescent="0.35">
      <c r="A19" s="1942" t="s">
        <v>6282</v>
      </c>
      <c r="B19" s="1916" t="s">
        <v>2135</v>
      </c>
      <c r="C19" s="985" t="s">
        <v>3398</v>
      </c>
      <c r="D19" s="1917" t="s">
        <v>3398</v>
      </c>
    </row>
    <row r="20" spans="1:6" x14ac:dyDescent="0.35">
      <c r="A20" s="1942" t="s">
        <v>6283</v>
      </c>
      <c r="B20" s="1914" t="s">
        <v>6313</v>
      </c>
      <c r="C20" s="1102" t="str">
        <f>'Tax paid (c11)'!I30</f>
        <v>c11.7</v>
      </c>
      <c r="D20" s="1913">
        <f>'Tax paid (c11)'!J30</f>
        <v>0</v>
      </c>
      <c r="E20" s="7"/>
    </row>
    <row r="21" spans="1:6" x14ac:dyDescent="0.35">
      <c r="A21" s="1941"/>
      <c r="B21" s="1916"/>
      <c r="C21" s="1943"/>
      <c r="D21" s="1917"/>
    </row>
    <row r="22" spans="1:6" x14ac:dyDescent="0.35">
      <c r="A22" s="1941"/>
      <c r="B22" s="1914" t="s">
        <v>6314</v>
      </c>
      <c r="C22" s="1942"/>
      <c r="D22" s="1913" t="str">
        <f>IF(NIC2_v,"Y","N")</f>
        <v>N</v>
      </c>
    </row>
    <row r="23" spans="1:6" x14ac:dyDescent="0.35">
      <c r="A23" s="1941"/>
      <c r="B23" s="1914" t="s">
        <v>6315</v>
      </c>
      <c r="C23" s="1942"/>
      <c r="D23" s="1913" t="str">
        <f>IF(NIC2_amount&gt;0,"N","Y")</f>
        <v>Y</v>
      </c>
    </row>
    <row r="24" spans="1:6" x14ac:dyDescent="0.35">
      <c r="A24" s="1941"/>
      <c r="B24" s="1943"/>
      <c r="C24" s="1943"/>
      <c r="D24" s="1917"/>
    </row>
    <row r="25" spans="1:6" x14ac:dyDescent="0.35">
      <c r="A25" s="1941"/>
      <c r="B25" s="1914" t="s">
        <v>6316</v>
      </c>
      <c r="C25" s="1942"/>
      <c r="D25" s="1913"/>
    </row>
    <row r="26" spans="1:6" x14ac:dyDescent="0.35">
      <c r="A26" s="1910"/>
      <c r="B26" s="1"/>
      <c r="C26" s="1"/>
      <c r="D26" s="1911"/>
    </row>
    <row r="27" spans="1:6" x14ac:dyDescent="0.35">
      <c r="A27" s="1941"/>
      <c r="B27" s="1943" t="s">
        <v>3386</v>
      </c>
      <c r="C27" s="1943"/>
      <c r="D27" s="1918">
        <f>'Tax due (c12)'!G34</f>
        <v>0</v>
      </c>
    </row>
    <row r="28" spans="1:6" x14ac:dyDescent="0.35">
      <c r="A28" s="1910"/>
      <c r="B28" s="1"/>
      <c r="C28" s="1"/>
      <c r="D28" s="1911"/>
    </row>
    <row r="29" spans="1:6" x14ac:dyDescent="0.35">
      <c r="A29" s="1910"/>
      <c r="B29" s="1"/>
      <c r="C29" s="1"/>
      <c r="D29" s="1911"/>
    </row>
    <row r="30" spans="1:6" ht="13.15" x14ac:dyDescent="0.4">
      <c r="A30" s="1910"/>
      <c r="B30" s="1940" t="s">
        <v>948</v>
      </c>
      <c r="C30" s="1"/>
      <c r="D30" s="1911"/>
    </row>
    <row r="31" spans="1:6" x14ac:dyDescent="0.35">
      <c r="A31" s="1944" t="s">
        <v>6332</v>
      </c>
      <c r="B31" s="1943" t="s">
        <v>4251</v>
      </c>
      <c r="C31" s="1948" t="str">
        <f>'S loans(c27)'!F51&amp;" + "&amp;'S loans(c27)'!F54</f>
        <v>c27.8 + c27.9</v>
      </c>
      <c r="D31" s="1919">
        <f>'S loans(c27)'!G51+'S loans(c27)'!G54</f>
        <v>0</v>
      </c>
      <c r="F31" t="s">
        <v>23</v>
      </c>
    </row>
    <row r="32" spans="1:6" x14ac:dyDescent="0.35">
      <c r="A32" s="1941"/>
      <c r="B32" s="1943"/>
      <c r="C32" s="1948"/>
      <c r="D32" s="1917"/>
    </row>
    <row r="33" spans="1:7" x14ac:dyDescent="0.35">
      <c r="A33" s="1944" t="s">
        <v>6333</v>
      </c>
      <c r="B33" s="1943" t="s">
        <v>4015</v>
      </c>
      <c r="C33" s="1948" t="str">
        <f>'S loans(c27)'!J157</f>
        <v>c27.40</v>
      </c>
      <c r="D33" s="1919">
        <f>IF(SL_type,'S loans(c27)'!K157,0)</f>
        <v>0</v>
      </c>
      <c r="F33" t="s">
        <v>4016</v>
      </c>
    </row>
    <row r="34" spans="1:7" x14ac:dyDescent="0.35">
      <c r="A34" s="1941"/>
      <c r="B34" s="1943"/>
      <c r="C34" s="1948"/>
      <c r="D34" s="1917"/>
    </row>
    <row r="35" spans="1:7" x14ac:dyDescent="0.35">
      <c r="A35" s="1944" t="s">
        <v>6334</v>
      </c>
      <c r="B35" s="1943" t="s">
        <v>16</v>
      </c>
      <c r="C35" s="1948" t="str">
        <f>'S loans(c27)'!J169</f>
        <v>c27.42</v>
      </c>
      <c r="D35" s="1919">
        <f>IF(SL_type,'S loans(c27)'!K169,0)</f>
        <v>0</v>
      </c>
      <c r="F35" t="s">
        <v>17</v>
      </c>
    </row>
    <row r="36" spans="1:7" x14ac:dyDescent="0.35">
      <c r="A36" s="1941"/>
      <c r="B36" s="1943"/>
      <c r="C36" s="1948"/>
      <c r="D36" s="1917"/>
    </row>
    <row r="37" spans="1:7" x14ac:dyDescent="0.35">
      <c r="A37" s="1944" t="s">
        <v>6335</v>
      </c>
      <c r="B37" s="1943" t="s">
        <v>18</v>
      </c>
      <c r="C37" s="1948" t="str">
        <f>'S loans(c27)'!J172</f>
        <v>c27.43</v>
      </c>
      <c r="D37" s="1919">
        <f>'S loans(c27)'!K172</f>
        <v>0</v>
      </c>
      <c r="F37" t="s">
        <v>3555</v>
      </c>
    </row>
    <row r="38" spans="1:7" x14ac:dyDescent="0.35">
      <c r="A38" s="1941"/>
      <c r="B38" s="1943"/>
      <c r="C38" s="1948"/>
      <c r="D38" s="1917"/>
      <c r="G38" s="1952" t="s">
        <v>6336</v>
      </c>
    </row>
    <row r="39" spans="1:7" x14ac:dyDescent="0.35">
      <c r="A39" s="1944" t="s">
        <v>6336</v>
      </c>
      <c r="B39" s="1943" t="s">
        <v>3556</v>
      </c>
      <c r="C39" s="1948" t="str">
        <f>'S loans(c27)'!J121&amp;" minus ("&amp;C31&amp;")"</f>
        <v>c27.29 minus (c27.8 + c27.9)</v>
      </c>
      <c r="D39" s="1919">
        <f>IF(SL_type,MAX('S loans(c27)'!K121-D31,0),0)</f>
        <v>0</v>
      </c>
      <c r="F39" t="s">
        <v>3557</v>
      </c>
      <c r="G39" s="1950" t="str">
        <f>"If "&amp;'S loans(c27)'!J121&amp;" minus ("&amp;C31&amp;") &gt; 0"</f>
        <v>If c27.29 minus (c27.8 + c27.9) &gt; 0</v>
      </c>
    </row>
    <row r="40" spans="1:7" x14ac:dyDescent="0.35">
      <c r="A40" s="1941"/>
      <c r="B40" s="1943"/>
      <c r="C40" s="1948"/>
      <c r="D40" s="1917"/>
      <c r="G40" s="1950" t="str">
        <f>A39&amp;" ="&amp;'S loans(c27)'!J121&amp;" minus ("&amp;C31&amp;")"</f>
        <v>c97.5 =c27.29 minus (c27.8 + c27.9)</v>
      </c>
    </row>
    <row r="41" spans="1:7" ht="13.15" thickBot="1" x14ac:dyDescent="0.4">
      <c r="A41" s="1945" t="s">
        <v>6337</v>
      </c>
      <c r="B41" s="1946" t="s">
        <v>4046</v>
      </c>
      <c r="C41" s="1949" t="str">
        <f>'S loans(c27)'!J181</f>
        <v>c27.44</v>
      </c>
      <c r="D41" s="1920">
        <f>IF(SL_type,'S loans(c27)'!K181,0)</f>
        <v>0</v>
      </c>
      <c r="F41" t="s">
        <v>4047</v>
      </c>
      <c r="G41" s="1950" t="s">
        <v>2520</v>
      </c>
    </row>
    <row r="42" spans="1:7" x14ac:dyDescent="0.35">
      <c r="G42" s="1950" t="str">
        <f>A39&amp;" = 0"</f>
        <v>c97.5 = 0</v>
      </c>
    </row>
    <row r="43" spans="1:7" x14ac:dyDescent="0.35">
      <c r="B43" s="1921" t="s">
        <v>6339</v>
      </c>
      <c r="G43" s="1951" t="s">
        <v>2638</v>
      </c>
    </row>
    <row r="44" spans="1:7" x14ac:dyDescent="0.35">
      <c r="B44" s="1862" t="s">
        <v>6340</v>
      </c>
    </row>
    <row r="45" spans="1:7" x14ac:dyDescent="0.35">
      <c r="A45" s="1947" t="s">
        <v>6338</v>
      </c>
      <c r="B45" s="1947" t="s">
        <v>6341</v>
      </c>
      <c r="C45" s="1947" t="s">
        <v>6353</v>
      </c>
      <c r="D45" s="1943"/>
    </row>
  </sheetData>
  <phoneticPr fontId="68" type="noConversion"/>
  <pageMargins left="0.19685039370078741" right="0.19685039370078741" top="0.39370078740157483" bottom="0.39370078740157483" header="0" footer="0"/>
  <pageSetup paperSize="9" orientation="portrait"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FF00"/>
  </sheetPr>
  <dimension ref="A1:N18"/>
  <sheetViews>
    <sheetView showGridLines="0" topLeftCell="B1" zoomScaleNormal="100" workbookViewId="0">
      <selection activeCell="L18" sqref="L18"/>
    </sheetView>
  </sheetViews>
  <sheetFormatPr defaultColWidth="9.1328125" defaultRowHeight="11.65" x14ac:dyDescent="0.35"/>
  <cols>
    <col min="1" max="1" width="5.73046875" style="146" hidden="1" customWidth="1"/>
    <col min="2" max="2" width="38" style="146" customWidth="1"/>
    <col min="3" max="3" width="7.3984375" style="146" customWidth="1"/>
    <col min="4" max="4" width="11.265625" style="146" customWidth="1"/>
    <col min="5" max="5" width="12" style="146" customWidth="1"/>
    <col min="6" max="6" width="7.59765625" style="146" customWidth="1"/>
    <col min="7" max="7" width="15.3984375" style="146" customWidth="1"/>
    <col min="8" max="8" width="6.3984375" style="146" customWidth="1"/>
    <col min="9" max="9" width="7.265625" style="146" customWidth="1"/>
    <col min="10" max="10" width="15.3984375" style="146" customWidth="1"/>
    <col min="11" max="11" width="7.86328125" style="146" customWidth="1"/>
    <col min="12" max="12" width="6.265625" style="146" customWidth="1"/>
    <col min="13" max="13" width="7.1328125" style="146" customWidth="1"/>
    <col min="14" max="14" width="3.86328125" style="146" customWidth="1"/>
    <col min="15" max="15" width="7" style="146" customWidth="1"/>
    <col min="16" max="16" width="11.59765625" style="146" customWidth="1"/>
    <col min="17" max="16384" width="9.1328125" style="146"/>
  </cols>
  <sheetData>
    <row r="1" spans="1:14" ht="17.649999999999999" x14ac:dyDescent="0.5">
      <c r="A1" s="125" t="s">
        <v>4093</v>
      </c>
      <c r="B1" s="2582" t="s">
        <v>6343</v>
      </c>
      <c r="C1" s="1141"/>
      <c r="D1" s="1141"/>
      <c r="E1" s="1141"/>
      <c r="F1" s="1141"/>
      <c r="G1" s="1141"/>
      <c r="H1" s="1141"/>
      <c r="I1" s="1141"/>
      <c r="J1" s="1141"/>
      <c r="K1" s="1141"/>
      <c r="L1" s="1141"/>
      <c r="M1" s="1141"/>
      <c r="N1" s="1141"/>
    </row>
    <row r="2" spans="1:14" x14ac:dyDescent="0.35">
      <c r="A2" s="125" t="s">
        <v>4094</v>
      </c>
      <c r="B2" s="1141"/>
      <c r="C2" s="1141"/>
      <c r="D2" s="1141"/>
      <c r="E2" s="1141"/>
      <c r="F2" s="1141"/>
      <c r="G2" s="2583" t="s">
        <v>1955</v>
      </c>
      <c r="H2" s="2584"/>
      <c r="I2" s="2584"/>
      <c r="J2" s="2585"/>
      <c r="K2" s="1141"/>
      <c r="L2" s="1141"/>
      <c r="M2" s="1141"/>
      <c r="N2" s="1141"/>
    </row>
    <row r="3" spans="1:14" x14ac:dyDescent="0.35">
      <c r="A3" s="125" t="s">
        <v>4095</v>
      </c>
      <c r="B3" s="1141"/>
      <c r="C3" s="1141"/>
      <c r="D3" s="1141"/>
      <c r="E3" s="1141"/>
      <c r="F3" s="1141"/>
      <c r="G3" s="1141"/>
      <c r="H3" s="1141"/>
      <c r="I3" s="1933"/>
      <c r="J3" s="1933"/>
      <c r="K3" s="1141"/>
      <c r="L3" s="1141"/>
      <c r="M3" s="1141"/>
      <c r="N3" s="1141"/>
    </row>
    <row r="4" spans="1:14" x14ac:dyDescent="0.35">
      <c r="A4" s="125" t="s">
        <v>4097</v>
      </c>
      <c r="B4" s="834" t="s">
        <v>558</v>
      </c>
      <c r="C4" s="402"/>
      <c r="E4" s="402"/>
      <c r="F4" s="402"/>
      <c r="H4" s="402"/>
      <c r="I4" s="402"/>
      <c r="J4" s="402"/>
      <c r="L4" s="1141"/>
      <c r="M4" s="1141"/>
      <c r="N4" s="1141"/>
    </row>
    <row r="5" spans="1:14" x14ac:dyDescent="0.35">
      <c r="A5" s="125" t="s">
        <v>4098</v>
      </c>
      <c r="G5" s="3449" t="str">
        <f>"from "&amp;LUN&amp;LUN!C16</f>
        <v>from LUN9</v>
      </c>
    </row>
    <row r="6" spans="1:14" x14ac:dyDescent="0.35">
      <c r="A6" s="125" t="s">
        <v>4099</v>
      </c>
      <c r="B6" s="759" t="s">
        <v>5635</v>
      </c>
      <c r="C6" s="402"/>
      <c r="F6" s="821" t="str">
        <f>A1</f>
        <v>c10.1</v>
      </c>
      <c r="G6" s="123">
        <f>TRUNC(LUN!D17,0)</f>
        <v>0</v>
      </c>
      <c r="H6" s="1076" t="s">
        <v>1837</v>
      </c>
      <c r="I6" s="402"/>
      <c r="J6" s="402"/>
      <c r="K6" s="402"/>
      <c r="L6" s="1141"/>
      <c r="M6" s="1141"/>
      <c r="N6" s="1141"/>
    </row>
    <row r="7" spans="1:14" x14ac:dyDescent="0.35">
      <c r="A7" s="125" t="s">
        <v>1458</v>
      </c>
      <c r="B7" s="402"/>
      <c r="C7" s="402"/>
      <c r="L7" s="1141"/>
      <c r="M7" s="1141"/>
      <c r="N7" s="1141"/>
    </row>
    <row r="8" spans="1:14" x14ac:dyDescent="0.35">
      <c r="A8" s="125" t="s">
        <v>1459</v>
      </c>
      <c r="G8" s="153" t="str">
        <f>"from  "&amp;'Notional (c21c23)'!H26</f>
        <v>from  c21.12</v>
      </c>
      <c r="L8" s="1141"/>
      <c r="M8" s="1141"/>
      <c r="N8" s="1141"/>
    </row>
    <row r="9" spans="1:14" x14ac:dyDescent="0.35">
      <c r="A9" s="125" t="s">
        <v>1460</v>
      </c>
      <c r="B9" s="759" t="s">
        <v>5634</v>
      </c>
      <c r="F9" s="821" t="str">
        <f>A2</f>
        <v>c10.2</v>
      </c>
      <c r="G9" s="123">
        <f>'Notional (c21c23)'!I26</f>
        <v>0</v>
      </c>
      <c r="H9" s="402"/>
      <c r="I9" s="402"/>
      <c r="J9" s="402"/>
      <c r="L9" s="1141"/>
      <c r="M9" s="1141"/>
      <c r="N9" s="1141"/>
    </row>
    <row r="10" spans="1:14" x14ac:dyDescent="0.35">
      <c r="A10" s="125" t="s">
        <v>1476</v>
      </c>
      <c r="B10" s="402"/>
      <c r="C10" s="402"/>
      <c r="L10" s="1141"/>
      <c r="M10" s="1141"/>
      <c r="N10" s="1141"/>
    </row>
    <row r="11" spans="1:14" x14ac:dyDescent="0.35">
      <c r="A11" s="125" t="s">
        <v>1477</v>
      </c>
      <c r="B11" s="402"/>
      <c r="C11" s="402"/>
      <c r="E11" s="402"/>
      <c r="F11" s="402"/>
      <c r="G11" s="720" t="str">
        <f>"lower of "&amp;F6&amp;" and "&amp;F9</f>
        <v>lower of c10.1 and c10.2</v>
      </c>
      <c r="H11" s="402"/>
      <c r="I11" s="402"/>
      <c r="J11" s="3195" t="str">
        <f>F12&amp;" x Ldiv_rate ("&amp;Ldiv_rate * 100&amp;"%)"</f>
        <v>c10.3 x Ldiv_rate (10%)</v>
      </c>
      <c r="L11" s="1141"/>
      <c r="M11" s="1141"/>
      <c r="N11" s="1141"/>
    </row>
    <row r="12" spans="1:14" x14ac:dyDescent="0.35">
      <c r="A12" s="125" t="s">
        <v>3139</v>
      </c>
      <c r="B12" s="819" t="s">
        <v>2586</v>
      </c>
      <c r="C12" s="402"/>
      <c r="F12" s="821" t="str">
        <f>A3</f>
        <v>c10.3</v>
      </c>
      <c r="G12" s="1659">
        <f>MIN(G6,G9)</f>
        <v>0</v>
      </c>
      <c r="H12" s="402"/>
      <c r="I12" s="821" t="str">
        <f>A4</f>
        <v>c10.4</v>
      </c>
      <c r="J12" s="1660">
        <f>TRUNC(G12*Ldiv_rate,2)</f>
        <v>0</v>
      </c>
      <c r="K12" s="1076" t="s">
        <v>2872</v>
      </c>
      <c r="L12" s="1141"/>
      <c r="M12" s="1141"/>
      <c r="N12" s="1141"/>
    </row>
    <row r="14" spans="1:14" x14ac:dyDescent="0.35">
      <c r="I14" s="3045"/>
      <c r="J14" s="3044" t="str">
        <f>"If "&amp;NRD&amp;NRD!C5&amp;" = N"</f>
        <v>If NRD1 = N</v>
      </c>
    </row>
    <row r="15" spans="1:14" x14ac:dyDescent="0.35">
      <c r="I15" s="3045"/>
      <c r="J15" s="3044" t="str">
        <f>I18&amp;" = 0 (zero)"</f>
        <v>c10.5 = 0 (zero)</v>
      </c>
    </row>
    <row r="16" spans="1:14" x14ac:dyDescent="0.35">
      <c r="I16" s="3045"/>
      <c r="J16" s="3044" t="s">
        <v>2520</v>
      </c>
    </row>
    <row r="17" spans="2:11" x14ac:dyDescent="0.35">
      <c r="H17" s="3045"/>
      <c r="I17" s="3045"/>
      <c r="J17" s="3044" t="str">
        <f>I18&amp;" = "&amp;INC&amp;'INC(1)'!I13&amp;" x DivBR_rate ("&amp;DivBR_rate*100&amp;"%)"</f>
        <v>c10.5 = INC4 x DivBR_rate (7.5%)</v>
      </c>
      <c r="K17" s="109"/>
    </row>
    <row r="18" spans="2:11" x14ac:dyDescent="0.35">
      <c r="B18" s="3045" t="s">
        <v>7819</v>
      </c>
      <c r="C18" s="3045"/>
      <c r="D18" s="3045"/>
      <c r="I18" s="3191" t="str">
        <f>A5</f>
        <v>c10.5</v>
      </c>
      <c r="J18" s="3192">
        <f>IF(Resident,0,TRUNC(('INC(1)'!J14)*DivBR_rate,2))</f>
        <v>0</v>
      </c>
      <c r="K18" s="1076" t="s">
        <v>2872</v>
      </c>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88"/>
  <sheetViews>
    <sheetView showGridLines="0" topLeftCell="B7" workbookViewId="0">
      <selection activeCell="Q27" sqref="Q27"/>
    </sheetView>
  </sheetViews>
  <sheetFormatPr defaultColWidth="9.1328125" defaultRowHeight="11.65" x14ac:dyDescent="0.35"/>
  <cols>
    <col min="1" max="1" width="4.73046875" style="146" hidden="1" customWidth="1"/>
    <col min="2" max="2" width="3" style="146" customWidth="1"/>
    <col min="3" max="3" width="16" style="146" customWidth="1"/>
    <col min="4" max="4" width="26.265625" style="146" customWidth="1"/>
    <col min="5" max="5" width="12.59765625" style="146" customWidth="1"/>
    <col min="6" max="6" width="6.265625" style="146" customWidth="1"/>
    <col min="7" max="7" width="13.265625" style="146" customWidth="1"/>
    <col min="8" max="8" width="5.265625" style="146" customWidth="1"/>
    <col min="9" max="9" width="7.73046875" style="146" customWidth="1"/>
    <col min="10" max="10" width="14" style="146" customWidth="1"/>
    <col min="11" max="11" width="12.1328125" style="146" bestFit="1" customWidth="1"/>
    <col min="12" max="12" width="9.1328125" style="146"/>
    <col min="13" max="14" width="4.73046875" style="146" customWidth="1"/>
    <col min="15" max="15" width="9.1328125" style="146"/>
    <col min="16" max="17" width="4.73046875" style="146" customWidth="1"/>
    <col min="18" max="18" width="9.1328125" style="146"/>
    <col min="19" max="20" width="4.73046875" style="146" customWidth="1"/>
    <col min="21" max="21" width="9.1328125" style="146"/>
    <col min="22" max="23" width="4.73046875" style="146" customWidth="1"/>
    <col min="24" max="16384" width="9.1328125" style="146"/>
  </cols>
  <sheetData>
    <row r="1" spans="1:13" ht="17.649999999999999" x14ac:dyDescent="0.5">
      <c r="B1" s="1927" t="s">
        <v>4795</v>
      </c>
      <c r="K1" s="43"/>
      <c r="L1" s="43"/>
    </row>
    <row r="2" spans="1:13" x14ac:dyDescent="0.35">
      <c r="A2" s="122" t="s">
        <v>4100</v>
      </c>
      <c r="D2" s="452" t="s">
        <v>884</v>
      </c>
      <c r="E2" s="472"/>
      <c r="F2" s="472"/>
      <c r="G2" s="472"/>
      <c r="H2" s="472"/>
      <c r="I2" s="134"/>
      <c r="L2" s="43"/>
      <c r="M2" s="43"/>
    </row>
    <row r="3" spans="1:13" x14ac:dyDescent="0.35">
      <c r="A3" s="122" t="s">
        <v>4101</v>
      </c>
      <c r="C3" s="712" t="s">
        <v>3660</v>
      </c>
      <c r="L3" s="43"/>
      <c r="M3" s="43"/>
    </row>
    <row r="4" spans="1:13" x14ac:dyDescent="0.35">
      <c r="A4" s="122" t="s">
        <v>4102</v>
      </c>
      <c r="B4" s="44"/>
      <c r="C4" s="712"/>
      <c r="D4" s="712"/>
      <c r="E4" s="712"/>
      <c r="F4" s="43"/>
      <c r="G4" s="43"/>
      <c r="I4" s="43"/>
      <c r="J4" s="757" t="str">
        <f>"Total all instances ("&amp;EMP&amp;EMP!C7&amp;")"</f>
        <v>Total all instances (EMP2)</v>
      </c>
      <c r="K4" s="43"/>
      <c r="L4" s="43"/>
      <c r="M4" s="43"/>
    </row>
    <row r="5" spans="1:13" x14ac:dyDescent="0.35">
      <c r="A5" s="122" t="s">
        <v>4103</v>
      </c>
      <c r="B5" s="43"/>
      <c r="C5" s="784" t="s">
        <v>2709</v>
      </c>
      <c r="D5" s="784"/>
      <c r="E5" s="784"/>
      <c r="F5" s="784"/>
      <c r="G5" s="784"/>
      <c r="I5" s="826" t="str">
        <f>A2</f>
        <v>c11.1</v>
      </c>
      <c r="J5" s="144">
        <f>MAX(0,EMP!D8+EMP!L8)</f>
        <v>0</v>
      </c>
      <c r="K5" s="1162" t="s">
        <v>4797</v>
      </c>
      <c r="L5" s="43"/>
      <c r="M5" s="43"/>
    </row>
    <row r="6" spans="1:13" x14ac:dyDescent="0.35">
      <c r="A6" s="122" t="s">
        <v>1827</v>
      </c>
      <c r="L6" s="43"/>
      <c r="M6" s="43"/>
    </row>
    <row r="7" spans="1:13" x14ac:dyDescent="0.35">
      <c r="A7" s="122" t="s">
        <v>1478</v>
      </c>
      <c r="J7" s="804" t="str">
        <f>"from "&amp;ASE&amp;ASE!C17</f>
        <v>from ASE6</v>
      </c>
      <c r="L7" s="43"/>
      <c r="M7" s="43"/>
    </row>
    <row r="8" spans="1:13" x14ac:dyDescent="0.35">
      <c r="A8" s="122" t="s">
        <v>2918</v>
      </c>
      <c r="B8" s="43"/>
      <c r="C8" s="784" t="s">
        <v>1500</v>
      </c>
      <c r="D8" s="784"/>
      <c r="E8" s="784"/>
      <c r="F8" s="759"/>
      <c r="G8" s="759"/>
      <c r="I8" s="826" t="str">
        <f>A3</f>
        <v>c11.2</v>
      </c>
      <c r="J8" s="818">
        <f>MAX(0,ASE!D18)</f>
        <v>0</v>
      </c>
      <c r="K8" s="43"/>
      <c r="L8" s="43"/>
      <c r="M8" s="43"/>
    </row>
    <row r="9" spans="1:13" x14ac:dyDescent="0.35">
      <c r="A9" s="122" t="s">
        <v>968</v>
      </c>
      <c r="L9" s="43"/>
      <c r="M9" s="43"/>
    </row>
    <row r="10" spans="1:13" x14ac:dyDescent="0.35">
      <c r="A10" s="122" t="s">
        <v>4226</v>
      </c>
      <c r="J10" s="757" t="str">
        <f>"Total all instances ("&amp;MOR&amp;MOR!G19&amp;")"</f>
        <v>Total all instances (MOR39)</v>
      </c>
      <c r="L10" s="43"/>
      <c r="M10" s="43"/>
    </row>
    <row r="11" spans="1:13" x14ac:dyDescent="0.35">
      <c r="A11" s="122" t="s">
        <v>4227</v>
      </c>
      <c r="B11" s="43"/>
      <c r="C11" s="784" t="s">
        <v>2710</v>
      </c>
      <c r="D11" s="759"/>
      <c r="E11" s="759"/>
      <c r="F11" s="759"/>
      <c r="G11" s="757"/>
      <c r="I11" s="826" t="str">
        <f>A4</f>
        <v>c11.3</v>
      </c>
      <c r="J11" s="828">
        <f>MAX(0,MOR!H20)</f>
        <v>0</v>
      </c>
      <c r="K11" s="1162" t="s">
        <v>4796</v>
      </c>
      <c r="L11" s="43"/>
      <c r="M11" s="43"/>
    </row>
    <row r="12" spans="1:13" x14ac:dyDescent="0.35">
      <c r="A12" s="122" t="s">
        <v>4228</v>
      </c>
      <c r="B12" s="43"/>
      <c r="C12" s="784"/>
      <c r="D12" s="759"/>
      <c r="E12" s="759"/>
      <c r="F12" s="759"/>
      <c r="G12" s="757"/>
      <c r="H12" s="757"/>
      <c r="I12" s="757"/>
      <c r="J12" s="757"/>
      <c r="K12" s="43"/>
      <c r="L12" s="43"/>
      <c r="M12" s="43"/>
    </row>
    <row r="13" spans="1:13" x14ac:dyDescent="0.35">
      <c r="A13" s="122" t="s">
        <v>4229</v>
      </c>
      <c r="B13" s="43"/>
      <c r="H13" s="784"/>
      <c r="I13" s="784"/>
      <c r="J13" s="757" t="str">
        <f>INC&amp;'INC(2)'!C10&amp;" + "&amp;INC&amp;'INC(2)'!G4&amp;" + "&amp;INC&amp;'INC(2)'!G10</f>
        <v>INC10 + INC12 + INC14</v>
      </c>
      <c r="L13" s="43"/>
      <c r="M13" s="43"/>
    </row>
    <row r="14" spans="1:13" x14ac:dyDescent="0.35">
      <c r="A14" s="122" t="s">
        <v>4230</v>
      </c>
      <c r="B14" s="43"/>
      <c r="C14" s="784" t="s">
        <v>3387</v>
      </c>
      <c r="D14" s="784"/>
      <c r="E14" s="784"/>
      <c r="I14" s="826" t="str">
        <f>A5</f>
        <v>c11.4</v>
      </c>
      <c r="J14" s="144">
        <f>'INC(2)'!D11+'INC(2)'!H5+'INC(2)'!H11</f>
        <v>0</v>
      </c>
      <c r="L14" s="43"/>
      <c r="M14" s="43"/>
    </row>
    <row r="15" spans="1:13" x14ac:dyDescent="0.35">
      <c r="A15" s="122" t="s">
        <v>4231</v>
      </c>
      <c r="B15" s="43"/>
      <c r="C15" s="784"/>
      <c r="D15" s="784"/>
      <c r="E15" s="784"/>
      <c r="F15" s="784"/>
      <c r="G15" s="784"/>
      <c r="H15" s="757"/>
      <c r="I15" s="757"/>
      <c r="J15" s="42" t="s">
        <v>1590</v>
      </c>
      <c r="L15" s="43"/>
      <c r="M15" s="43"/>
    </row>
    <row r="16" spans="1:13" x14ac:dyDescent="0.35">
      <c r="A16" s="122" t="s">
        <v>4232</v>
      </c>
      <c r="L16" s="43"/>
      <c r="M16" s="43"/>
    </row>
    <row r="17" spans="1:13" x14ac:dyDescent="0.35">
      <c r="A17" s="122" t="s">
        <v>4233</v>
      </c>
      <c r="B17" s="43"/>
      <c r="C17" s="784"/>
      <c r="D17" s="784"/>
      <c r="E17" s="784"/>
      <c r="F17" s="784"/>
      <c r="G17" s="784"/>
      <c r="H17" s="757"/>
      <c r="I17" s="757"/>
      <c r="J17" s="44" t="str">
        <f>I5&amp;" + "&amp;I8&amp;" + "&amp;I11&amp;" + "&amp;I14</f>
        <v>c11.1 + c11.2 + c11.3 + c11.4</v>
      </c>
      <c r="L17" s="43"/>
      <c r="M17" s="43"/>
    </row>
    <row r="18" spans="1:13" x14ac:dyDescent="0.35">
      <c r="A18" s="122" t="s">
        <v>4234</v>
      </c>
      <c r="B18" s="43"/>
      <c r="C18" s="784" t="s">
        <v>2612</v>
      </c>
      <c r="D18" s="784"/>
      <c r="E18" s="784"/>
      <c r="F18" s="784"/>
      <c r="G18" s="784"/>
      <c r="H18" s="757"/>
      <c r="I18" s="826" t="str">
        <f>A6</f>
        <v>c11.5</v>
      </c>
      <c r="J18" s="144">
        <f>MAX(0,J5+J8+J11+J14)</f>
        <v>0</v>
      </c>
      <c r="L18" s="43"/>
      <c r="M18" s="43"/>
    </row>
    <row r="19" spans="1:13" x14ac:dyDescent="0.35">
      <c r="A19" s="122" t="s">
        <v>3047</v>
      </c>
      <c r="B19" s="43"/>
      <c r="C19" s="784"/>
      <c r="D19" s="784"/>
      <c r="E19" s="784"/>
      <c r="F19" s="784"/>
      <c r="G19" s="784"/>
      <c r="H19" s="757"/>
      <c r="I19" s="757"/>
      <c r="J19" s="141"/>
      <c r="L19" s="43"/>
      <c r="M19" s="43"/>
    </row>
    <row r="20" spans="1:13" x14ac:dyDescent="0.35">
      <c r="A20" s="122" t="s">
        <v>892</v>
      </c>
      <c r="B20" s="43"/>
      <c r="J20" s="757" t="str">
        <f>"from CAL"&amp;CAL!G9</f>
        <v>from CAL9</v>
      </c>
      <c r="L20" s="43"/>
      <c r="M20" s="43"/>
    </row>
    <row r="21" spans="1:13" x14ac:dyDescent="0.35">
      <c r="A21" s="122" t="s">
        <v>893</v>
      </c>
      <c r="C21" s="784" t="s">
        <v>2614</v>
      </c>
      <c r="D21" s="784"/>
      <c r="E21" s="784"/>
      <c r="F21" s="784"/>
      <c r="G21" s="784"/>
      <c r="I21" s="826" t="str">
        <f>A7</f>
        <v>c11.6</v>
      </c>
      <c r="J21" s="144">
        <f>CAL!H10</f>
        <v>0</v>
      </c>
      <c r="L21" s="43"/>
      <c r="M21" s="43"/>
    </row>
    <row r="22" spans="1:13" x14ac:dyDescent="0.35">
      <c r="A22" s="122" t="s">
        <v>894</v>
      </c>
      <c r="C22" s="752"/>
      <c r="D22" s="784"/>
      <c r="E22" s="784"/>
      <c r="F22" s="784"/>
      <c r="G22" s="784"/>
      <c r="H22" s="757"/>
      <c r="I22" s="1041"/>
      <c r="J22" s="141"/>
      <c r="L22" s="43"/>
      <c r="M22" s="43"/>
    </row>
    <row r="23" spans="1:13" x14ac:dyDescent="0.35">
      <c r="A23" s="122" t="s">
        <v>895</v>
      </c>
      <c r="B23" s="1213"/>
      <c r="C23" s="1214"/>
      <c r="D23" s="1215"/>
      <c r="E23" s="1215"/>
      <c r="F23" s="1215"/>
      <c r="G23" s="1215"/>
      <c r="H23" s="1216"/>
      <c r="I23" s="1217"/>
      <c r="J23" s="1218"/>
      <c r="L23" s="43"/>
      <c r="M23" s="43"/>
    </row>
    <row r="24" spans="1:13" x14ac:dyDescent="0.35">
      <c r="A24" s="122" t="s">
        <v>896</v>
      </c>
      <c r="B24" s="1219"/>
      <c r="C24" s="793"/>
      <c r="D24" s="784"/>
      <c r="E24" s="784"/>
      <c r="F24" s="784"/>
      <c r="G24" s="784"/>
      <c r="H24" s="757"/>
      <c r="I24" s="1041"/>
      <c r="J24" s="1220"/>
      <c r="L24" s="43"/>
      <c r="M24" s="43"/>
    </row>
    <row r="25" spans="1:13" x14ac:dyDescent="0.35">
      <c r="A25" s="122" t="s">
        <v>1943</v>
      </c>
      <c r="B25" s="1221"/>
      <c r="C25" s="793"/>
      <c r="D25" s="784"/>
      <c r="E25" s="784"/>
      <c r="F25" s="784"/>
      <c r="G25" s="784"/>
      <c r="H25" s="757"/>
      <c r="I25" s="1041"/>
      <c r="J25" s="1220"/>
      <c r="L25" s="43"/>
      <c r="M25" s="43"/>
    </row>
    <row r="26" spans="1:13" x14ac:dyDescent="0.35">
      <c r="A26" s="122" t="s">
        <v>1466</v>
      </c>
      <c r="B26" s="1222"/>
      <c r="C26" s="793"/>
      <c r="D26" s="784"/>
      <c r="E26" s="784"/>
      <c r="F26" s="784"/>
      <c r="G26" s="784"/>
      <c r="H26" s="757"/>
      <c r="I26" s="1041"/>
      <c r="J26" s="1220"/>
      <c r="L26" s="43"/>
      <c r="M26" s="43"/>
    </row>
    <row r="27" spans="1:13" x14ac:dyDescent="0.35">
      <c r="A27" s="122" t="s">
        <v>1527</v>
      </c>
      <c r="B27" s="1221"/>
      <c r="C27" s="793"/>
      <c r="D27" s="784"/>
      <c r="E27" s="784"/>
      <c r="F27" s="784"/>
      <c r="G27" s="784"/>
      <c r="H27" s="757"/>
      <c r="I27" s="757"/>
      <c r="J27" s="1220"/>
      <c r="L27" s="43"/>
      <c r="M27" s="43"/>
    </row>
    <row r="28" spans="1:13" x14ac:dyDescent="0.35">
      <c r="A28" s="122" t="s">
        <v>856</v>
      </c>
      <c r="B28" s="1223"/>
      <c r="C28" s="1224"/>
      <c r="D28" s="1224"/>
      <c r="E28" s="1224"/>
      <c r="F28" s="1224"/>
      <c r="G28" s="1224"/>
      <c r="H28" s="1225"/>
      <c r="I28" s="1226"/>
      <c r="J28" s="2495"/>
      <c r="L28" s="43"/>
      <c r="M28" s="43"/>
    </row>
    <row r="29" spans="1:13" x14ac:dyDescent="0.35">
      <c r="A29" s="122" t="s">
        <v>2613</v>
      </c>
      <c r="J29" s="720" t="str">
        <f>"lower of "&amp;I18&amp;" and "&amp;I21</f>
        <v>lower of c11.5 and c11.6</v>
      </c>
      <c r="L29" s="43"/>
      <c r="M29" s="43"/>
    </row>
    <row r="30" spans="1:13" x14ac:dyDescent="0.35">
      <c r="A30" s="122" t="s">
        <v>2173</v>
      </c>
      <c r="B30" s="43"/>
      <c r="C30" s="784" t="s">
        <v>2172</v>
      </c>
      <c r="D30" s="784"/>
      <c r="E30" s="784"/>
      <c r="F30" s="784"/>
      <c r="G30" s="784"/>
      <c r="H30" s="757"/>
      <c r="I30" s="826" t="str">
        <f>A8</f>
        <v>c11.7</v>
      </c>
      <c r="J30" s="144">
        <f>MIN(J18,J21)</f>
        <v>0</v>
      </c>
      <c r="L30" s="43"/>
      <c r="M30" s="43"/>
    </row>
    <row r="31" spans="1:13" x14ac:dyDescent="0.35">
      <c r="A31" s="122" t="s">
        <v>6681</v>
      </c>
      <c r="B31" s="43"/>
      <c r="C31" s="784"/>
      <c r="D31" s="784"/>
      <c r="E31" s="784"/>
      <c r="F31" s="784"/>
      <c r="G31" s="784"/>
      <c r="H31" s="757"/>
      <c r="I31" s="757"/>
      <c r="J31" s="141"/>
      <c r="L31" s="43"/>
      <c r="M31" s="43"/>
    </row>
    <row r="32" spans="1:13" x14ac:dyDescent="0.35">
      <c r="A32" s="122" t="s">
        <v>6682</v>
      </c>
      <c r="B32" s="43"/>
      <c r="C32" s="784"/>
      <c r="D32" s="784"/>
      <c r="E32" s="784"/>
      <c r="F32" s="784"/>
      <c r="G32" s="784"/>
      <c r="H32" s="757"/>
      <c r="I32" s="1041"/>
      <c r="J32" s="143" t="str">
        <f>I18&amp;" minus "&amp;I30</f>
        <v>c11.5 minus c11.7</v>
      </c>
      <c r="L32" s="43"/>
      <c r="M32" s="43"/>
    </row>
    <row r="33" spans="1:13" x14ac:dyDescent="0.35">
      <c r="B33" s="43"/>
      <c r="C33" s="784" t="s">
        <v>2174</v>
      </c>
      <c r="D33" s="784"/>
      <c r="E33" s="784"/>
      <c r="F33" s="784"/>
      <c r="G33" s="784"/>
      <c r="H33" s="757"/>
      <c r="I33" s="826" t="str">
        <f>A9</f>
        <v>c11.8</v>
      </c>
      <c r="J33" s="144">
        <f>MAX(0,J18-J30)</f>
        <v>0</v>
      </c>
      <c r="L33" s="43"/>
      <c r="M33" s="43"/>
    </row>
    <row r="34" spans="1:13" x14ac:dyDescent="0.35">
      <c r="B34" s="43"/>
      <c r="C34" s="759"/>
      <c r="D34" s="759"/>
      <c r="E34" s="759"/>
      <c r="F34" s="759"/>
      <c r="G34" s="759"/>
      <c r="H34" s="759"/>
      <c r="I34" s="759"/>
      <c r="K34" s="43"/>
      <c r="L34" s="43"/>
      <c r="M34" s="43"/>
    </row>
    <row r="35" spans="1:13" x14ac:dyDescent="0.35">
      <c r="B35" s="43"/>
      <c r="J35" s="757" t="str">
        <f>"from "&amp;SSE&amp;SE!C20</f>
        <v>from SSE38</v>
      </c>
      <c r="L35" s="43"/>
    </row>
    <row r="36" spans="1:13" x14ac:dyDescent="0.35">
      <c r="B36" s="43"/>
      <c r="C36" s="784" t="s">
        <v>4302</v>
      </c>
      <c r="D36" s="784"/>
      <c r="E36" s="784"/>
      <c r="F36" s="784"/>
      <c r="G36" s="784"/>
      <c r="I36" s="826" t="str">
        <f>A10</f>
        <v>c11.9</v>
      </c>
      <c r="J36" s="828">
        <f>MAX(0,SE!D21)</f>
        <v>0</v>
      </c>
      <c r="K36" s="1080"/>
      <c r="L36" s="43"/>
    </row>
    <row r="37" spans="1:13" x14ac:dyDescent="0.35">
      <c r="B37" s="43"/>
      <c r="L37" s="43"/>
    </row>
    <row r="38" spans="1:13" x14ac:dyDescent="0.35">
      <c r="B38" s="43"/>
      <c r="J38" s="764" t="str">
        <f>FSE&amp;SE!G20&amp;" + "&amp;FSE&amp;SE!G23</f>
        <v>FSE81 + FSE82</v>
      </c>
      <c r="L38" s="43"/>
    </row>
    <row r="39" spans="1:13" x14ac:dyDescent="0.35">
      <c r="B39" s="43"/>
      <c r="C39" s="759"/>
      <c r="D39" s="759"/>
      <c r="E39" s="759"/>
      <c r="F39" s="759"/>
      <c r="G39" s="759"/>
      <c r="I39" s="826" t="str">
        <f>A11</f>
        <v>c11.10</v>
      </c>
      <c r="J39" s="828">
        <f>SE!H21+SE!H24</f>
        <v>0</v>
      </c>
      <c r="K39" s="1080"/>
      <c r="L39" s="43"/>
    </row>
    <row r="40" spans="1:13" x14ac:dyDescent="0.35">
      <c r="B40" s="43"/>
      <c r="C40" s="784"/>
      <c r="D40" s="784"/>
      <c r="E40" s="784"/>
      <c r="F40" s="784"/>
      <c r="G40" s="759"/>
      <c r="H40" s="759"/>
      <c r="I40" s="759"/>
      <c r="K40" s="43"/>
      <c r="L40" s="43"/>
      <c r="M40" s="43"/>
    </row>
    <row r="41" spans="1:13" x14ac:dyDescent="0.35">
      <c r="B41" s="43"/>
      <c r="J41" s="757" t="str">
        <f>LUN&amp;LUN!C4&amp;" + "&amp;LUN&amp;LUN!G4&amp;" + "&amp;LUN&amp;LUN!G13</f>
        <v>LUN4 + LUN14 + LUN17</v>
      </c>
      <c r="L41" s="43"/>
      <c r="M41" s="43"/>
    </row>
    <row r="42" spans="1:13" x14ac:dyDescent="0.35">
      <c r="B42" s="43"/>
      <c r="C42" s="784" t="s">
        <v>3658</v>
      </c>
      <c r="D42" s="784"/>
      <c r="E42" s="784"/>
      <c r="F42" s="784"/>
      <c r="G42" s="784"/>
      <c r="I42" s="826" t="str">
        <f>A12</f>
        <v>c11.11</v>
      </c>
      <c r="J42" s="144">
        <f>MAX(0,LUN!D5+LUN!H5+LUN!H14)</f>
        <v>0</v>
      </c>
      <c r="K42" s="43"/>
      <c r="L42" s="43"/>
      <c r="M42" s="43"/>
    </row>
    <row r="43" spans="1:13" x14ac:dyDescent="0.35">
      <c r="B43" s="43"/>
      <c r="C43" s="784"/>
      <c r="D43" s="784"/>
      <c r="E43" s="784"/>
      <c r="F43" s="784"/>
      <c r="G43" s="784"/>
      <c r="H43" s="784"/>
      <c r="I43" s="759"/>
      <c r="J43" s="43"/>
      <c r="K43" s="43"/>
      <c r="L43" s="43"/>
      <c r="M43" s="43"/>
    </row>
    <row r="44" spans="1:13" x14ac:dyDescent="0.35">
      <c r="B44" s="43"/>
      <c r="J44" s="757" t="str">
        <f>"Total all instances ("&amp;SPS&amp;PS!C31&amp;" + "&amp;SPS&amp;PS!C34&amp;")"</f>
        <v>Total all instances (SPS30 + SPS31)</v>
      </c>
      <c r="L44" s="43"/>
      <c r="M44" s="43"/>
    </row>
    <row r="45" spans="1:13" x14ac:dyDescent="0.35">
      <c r="B45" s="43"/>
      <c r="C45" s="784" t="s">
        <v>2891</v>
      </c>
      <c r="D45" s="759"/>
      <c r="E45" s="784"/>
      <c r="F45" s="784"/>
      <c r="G45" s="759"/>
      <c r="I45" s="826" t="str">
        <f>A13</f>
        <v>c11.12</v>
      </c>
      <c r="J45" s="144">
        <f>MAX(0,PS!D32+PS!D35)</f>
        <v>0</v>
      </c>
      <c r="K45" s="1080"/>
      <c r="L45" s="43"/>
      <c r="M45" s="43"/>
    </row>
    <row r="46" spans="1:13" x14ac:dyDescent="0.35">
      <c r="L46" s="43"/>
      <c r="M46" s="43"/>
    </row>
    <row r="47" spans="1:13" x14ac:dyDescent="0.35">
      <c r="B47" s="43"/>
      <c r="J47" s="757" t="str">
        <f>"Total all instances ("&amp;FPS&amp;PS!G37&amp;" + "&amp;FPS&amp;PS!G40&amp;" + "&amp;FPS&amp;PS!J40&amp;")"</f>
        <v>Total all instances (FPS77 + FPS78 + FPS79)</v>
      </c>
      <c r="L47" s="43"/>
      <c r="M47" s="43"/>
    </row>
    <row r="48" spans="1:13" x14ac:dyDescent="0.35">
      <c r="A48" s="43"/>
      <c r="B48" s="43"/>
      <c r="C48" s="784"/>
      <c r="D48" s="784"/>
      <c r="E48" s="784"/>
      <c r="F48" s="784"/>
      <c r="G48" s="784"/>
      <c r="I48" s="826" t="str">
        <f>A14</f>
        <v>c11.13</v>
      </c>
      <c r="J48" s="144">
        <f>PS!H38+PS!H41+PS!K41</f>
        <v>0</v>
      </c>
      <c r="K48" s="1080"/>
      <c r="L48" s="43"/>
      <c r="M48" s="43"/>
    </row>
    <row r="49" spans="2:13" x14ac:dyDescent="0.35">
      <c r="B49" s="43"/>
      <c r="C49" s="759"/>
      <c r="D49" s="759"/>
      <c r="E49" s="759"/>
      <c r="F49" s="759"/>
      <c r="G49" s="759"/>
      <c r="H49" s="759"/>
      <c r="I49" s="759"/>
      <c r="K49" s="43"/>
      <c r="L49" s="43"/>
      <c r="M49" s="43"/>
    </row>
    <row r="50" spans="2:13" x14ac:dyDescent="0.35">
      <c r="B50" s="43"/>
      <c r="J50" s="757" t="str">
        <f>"from "&amp;PRO&amp;PRO!C21</f>
        <v>from PRO21</v>
      </c>
    </row>
    <row r="51" spans="2:13" x14ac:dyDescent="0.35">
      <c r="B51" s="43"/>
      <c r="C51" s="784" t="s">
        <v>4187</v>
      </c>
      <c r="D51" s="784"/>
      <c r="E51" s="784"/>
      <c r="F51" s="784"/>
      <c r="G51" s="759"/>
      <c r="I51" s="826" t="str">
        <f>A15</f>
        <v>c11.14</v>
      </c>
      <c r="J51" s="828">
        <f>MAX(0,PRO!D22)</f>
        <v>0</v>
      </c>
      <c r="K51" s="43"/>
    </row>
    <row r="52" spans="2:13" x14ac:dyDescent="0.35">
      <c r="B52" s="43"/>
      <c r="C52" s="784"/>
      <c r="D52" s="784"/>
      <c r="E52" s="784"/>
      <c r="F52" s="784"/>
      <c r="G52" s="784"/>
      <c r="H52" s="784"/>
      <c r="I52" s="759"/>
      <c r="J52" s="43"/>
    </row>
    <row r="53" spans="2:13" x14ac:dyDescent="0.35">
      <c r="B53" s="43"/>
      <c r="J53" s="757" t="str">
        <f>FOR&amp;FOR!C16&amp;" + "&amp;FOR&amp;FOR!C19&amp;" + "&amp;FOR&amp;FOR!C27&amp;" + "&amp;FOR&amp;FOR!C30&amp;" + "&amp;FOR&amp;FOR!C33&amp;" + "&amp;FOR&amp;FOR!K13&amp;" + "&amp;FOR&amp;FOR!O23</f>
        <v>FOR3 + FOR5 + FOR8 + FOR10 + FOR12 + FOR29 + FOR40</v>
      </c>
    </row>
    <row r="54" spans="2:13" x14ac:dyDescent="0.35">
      <c r="B54" s="43"/>
      <c r="C54" s="784" t="s">
        <v>1423</v>
      </c>
      <c r="D54" s="784"/>
      <c r="E54" s="784"/>
      <c r="F54" s="784"/>
      <c r="G54" s="784"/>
      <c r="I54" s="826" t="str">
        <f>A16</f>
        <v>c11.15</v>
      </c>
      <c r="J54" s="144">
        <f>MAX(0,FOR!D17-'Swiss Tax'!H9)+MAX(0,FOR!D20-'Swiss Tax'!H16-'Swiss Tax'!H23)+FOR!D28+FOR!D31+FOR!D34+FOR!L14+FOR!P24</f>
        <v>0</v>
      </c>
      <c r="K54" s="43"/>
    </row>
    <row r="55" spans="2:13" x14ac:dyDescent="0.35">
      <c r="B55" s="43"/>
      <c r="F55" s="43"/>
      <c r="G55" s="43"/>
      <c r="H55" s="44"/>
      <c r="J55" s="43"/>
      <c r="K55" s="43"/>
    </row>
    <row r="56" spans="2:13" x14ac:dyDescent="0.35">
      <c r="B56" s="43"/>
      <c r="C56" s="784" t="s">
        <v>1984</v>
      </c>
      <c r="D56" s="784"/>
      <c r="E56" s="784"/>
      <c r="F56" s="759"/>
    </row>
    <row r="57" spans="2:13" x14ac:dyDescent="0.35">
      <c r="C57" s="759"/>
      <c r="D57" s="759"/>
      <c r="E57" s="757" t="str">
        <f>'NS income (c1)'!D114&amp;" x "&amp;BR_rate*100&amp;"%"</f>
        <v>(TRU3 + TRU7 + TRU16) x NS_gross (100/80) x 20%</v>
      </c>
      <c r="F57" s="826" t="str">
        <f>A17</f>
        <v>c11.16</v>
      </c>
      <c r="G57" s="829">
        <f>TRUNC(((TRU!D12+TRU!D21+TRU!L7)*savings_gross*BR_rate)+0.0099,2)</f>
        <v>0</v>
      </c>
      <c r="H57" s="1079" t="s">
        <v>1783</v>
      </c>
    </row>
    <row r="58" spans="2:13" x14ac:dyDescent="0.35">
      <c r="C58" s="759"/>
      <c r="D58" s="759"/>
      <c r="E58" s="757" t="str">
        <f>TRU&amp;TRU!C6&amp;" x trust_gross ("&amp;trust_gross_F&amp;")"&amp;" x AHR_rate ("&amp;AHR_rate*100&amp;"%)"</f>
        <v>TRU1 x trust_gross (100/55) x AHR_rate (45%)</v>
      </c>
      <c r="F58" s="826" t="str">
        <f t="shared" ref="F58:F63" si="0">A18</f>
        <v>c11.17</v>
      </c>
      <c r="G58" s="829">
        <f>TRUNC((TRU!D7*trust_gross*AHR_rate)+0.0099,2)</f>
        <v>0</v>
      </c>
      <c r="H58" s="1079" t="s">
        <v>1783</v>
      </c>
    </row>
    <row r="59" spans="2:13" x14ac:dyDescent="0.35">
      <c r="E59" s="757" t="str">
        <f>TRU&amp;TRU!C32&amp;" x trust_gross ("&amp;trust_gross_F&amp;") x AHR_rate ("&amp;AHR_rate*100&amp;"%)"</f>
        <v>TRU10 x trust_gross (100/55) x AHR_rate (45%)</v>
      </c>
      <c r="F59" s="826" t="str">
        <f t="shared" si="0"/>
        <v>c11.18</v>
      </c>
      <c r="G59" s="829">
        <f>TRUNC((TRU!D33*trust_gross*AHR_rate)+0.0099,2)</f>
        <v>0</v>
      </c>
      <c r="H59" s="1079" t="s">
        <v>1783</v>
      </c>
    </row>
    <row r="60" spans="2:13" x14ac:dyDescent="0.35">
      <c r="C60" s="759"/>
      <c r="D60" s="759"/>
      <c r="E60" s="757" t="str">
        <f>'NS income (c1)'!D118&amp;" x OLD_BR ("&amp;OLD_BR*100&amp;"%)"</f>
        <v>TRU20 x Gross_By_22 (100/78) x OLD_BR (22%)</v>
      </c>
      <c r="F60" s="826" t="str">
        <f t="shared" si="0"/>
        <v>c11.19</v>
      </c>
      <c r="G60" s="829">
        <f>TRUNC((TRU!P12*100/78*OLD_BR)+0.0099,2)</f>
        <v>0</v>
      </c>
      <c r="H60" s="1079" t="s">
        <v>1783</v>
      </c>
    </row>
    <row r="61" spans="2:13" x14ac:dyDescent="0.35">
      <c r="C61" s="759"/>
      <c r="D61" s="759"/>
      <c r="E61" s="757" t="str">
        <f>'Savings (c2)'!F45&amp;" "&amp;'Savings (c2)'!F46&amp;" x BR_rate ("&amp;BR_rate*100&amp;"%)"</f>
        <v>(TRU4 + TRU8 + TRU17) x savings_gross (100/80) x BR_rate (20%)</v>
      </c>
      <c r="F61" s="826" t="str">
        <f t="shared" si="0"/>
        <v>c11.20</v>
      </c>
      <c r="G61" s="829">
        <f>TRUNC(((TRU!D16+TRU!D25+TRU!L12)*savings_gross*BR_rate)+0.0099,2)</f>
        <v>0</v>
      </c>
      <c r="H61" s="1079" t="s">
        <v>1783</v>
      </c>
      <c r="K61" s="43"/>
    </row>
    <row r="62" spans="2:13" x14ac:dyDescent="0.35">
      <c r="C62" s="759"/>
      <c r="D62" s="759"/>
      <c r="E62" s="757" t="str">
        <f>'Savings (c2)'!F49&amp;" x AHR_rate ("&amp;AHR_rate*100&amp;"%)"</f>
        <v>TRU11 x trust_gross (100/55) x AHR_rate (45%)</v>
      </c>
      <c r="F62" s="826" t="str">
        <f t="shared" si="0"/>
        <v>c11.21</v>
      </c>
      <c r="G62" s="829">
        <f>TRUNC(((TRU!H21)*trust_gross*AHR_rate)+0.0099,2)</f>
        <v>0</v>
      </c>
      <c r="H62" s="1079" t="s">
        <v>1783</v>
      </c>
      <c r="K62" s="43"/>
    </row>
    <row r="63" spans="2:13" x14ac:dyDescent="0.35">
      <c r="C63" s="759"/>
      <c r="D63" s="2586"/>
      <c r="E63" s="757" t="str">
        <f>'Divs (c3)'!E28&amp;" x DivAR_rate ("&amp;(trust_div_gross_P*100)&amp;"%)"</f>
        <v>TRU12 x trust_div_gross (100/61.9) x DivAR_rate (38.1%)</v>
      </c>
      <c r="F63" s="826" t="str">
        <f t="shared" si="0"/>
        <v>c11.22</v>
      </c>
      <c r="G63" s="829">
        <f>TRUNC(((TRU!H25)*100/data!K54*DivAR_rate)+0.0099,2)</f>
        <v>0</v>
      </c>
      <c r="H63" s="1076" t="s">
        <v>1783</v>
      </c>
      <c r="J63" s="2503"/>
    </row>
    <row r="64" spans="2:13" x14ac:dyDescent="0.35">
      <c r="C64" s="759"/>
      <c r="D64" s="2586"/>
      <c r="E64" s="757" t="str">
        <f>"(TRU"&amp;TRU!G11&amp;" + TRU"&amp;TRU!C28&amp;" + TRU"&amp;TRU!K15&amp;") x divs_gross "&amp;divs_gross_F&amp;" x DivBR_rate ("&amp;divs_gross_P*100&amp;"%)"</f>
        <v>(TRU5 + TRU9 + TRU18) x divs_gross 100/92.5 x DivBR_rate (7.5%)</v>
      </c>
      <c r="F64" s="826" t="s">
        <v>896</v>
      </c>
      <c r="G64" s="829">
        <f>TRUNC(((TRU!H12+TRU!D29+TRU!L16)*100/data!K47*DivBR_rate)+0.0099,2)</f>
        <v>0</v>
      </c>
      <c r="H64" s="1076" t="s">
        <v>1783</v>
      </c>
    </row>
    <row r="65" spans="3:11" x14ac:dyDescent="0.35">
      <c r="C65" s="759"/>
      <c r="D65" s="757"/>
      <c r="E65" s="757" t="str">
        <f>"from "&amp;TRU&amp;TRU!G36</f>
        <v>from TRU15</v>
      </c>
      <c r="F65" s="826" t="str">
        <f>A25</f>
        <v>c11.24</v>
      </c>
      <c r="G65" s="829">
        <f>TRU!H37</f>
        <v>0</v>
      </c>
    </row>
    <row r="67" spans="3:11" x14ac:dyDescent="0.35">
      <c r="J67" s="44" t="str">
        <f>F57&amp;" + "&amp;F58&amp;" + "&amp;F59&amp;" + "&amp;F60&amp;" + "&amp;F61&amp;" + "&amp;F62&amp;" + "&amp;F63&amp;" + "&amp;F64&amp;" + "&amp;F65</f>
        <v>c11.16 + c11.17 + c11.18 + c11.19 + c11.20 + c11.21 + c11.22 + c11.23 + c11.24</v>
      </c>
    </row>
    <row r="68" spans="3:11" x14ac:dyDescent="0.35">
      <c r="F68" s="43"/>
      <c r="G68" s="43"/>
      <c r="I68" s="826" t="str">
        <f>A26</f>
        <v>c11.25</v>
      </c>
      <c r="J68" s="144">
        <f>MAX(0,G57+G58+G59+G60+G61+G62+G63+G64+G65)</f>
        <v>0</v>
      </c>
    </row>
    <row r="69" spans="3:11" x14ac:dyDescent="0.35">
      <c r="C69" s="43"/>
      <c r="D69" s="43"/>
      <c r="E69" s="43"/>
    </row>
    <row r="70" spans="3:11" x14ac:dyDescent="0.35">
      <c r="J70" s="757" t="str">
        <f>NRD&amp;NRD!D19&amp;" + "&amp;NRD&amp;NRD!D22</f>
        <v>NRD21 + NRD22</v>
      </c>
    </row>
    <row r="71" spans="3:11" x14ac:dyDescent="0.35">
      <c r="C71" s="791" t="s">
        <v>1985</v>
      </c>
      <c r="D71" s="791"/>
      <c r="E71" s="791"/>
      <c r="F71" s="757"/>
      <c r="G71" s="759"/>
      <c r="I71" s="826" t="str">
        <f>A27</f>
        <v>c11.26</v>
      </c>
      <c r="J71" s="828">
        <f>MAX(0,NRD!E20+NRD!E23)</f>
        <v>0</v>
      </c>
    </row>
    <row r="72" spans="3:11" x14ac:dyDescent="0.35">
      <c r="C72" s="784"/>
      <c r="D72" s="784"/>
      <c r="E72" s="784"/>
      <c r="F72" s="759"/>
      <c r="G72" s="759"/>
      <c r="H72" s="757"/>
      <c r="I72" s="759"/>
    </row>
    <row r="73" spans="3:11" x14ac:dyDescent="0.35">
      <c r="J73" s="757" t="str">
        <f>INC&amp;'INC(1)'!C13&amp;" x savings_gross ("&amp;savings_gross_F&amp;") x BR_rate ("&amp;BR_rate*100&amp;"%)"</f>
        <v>INC1 x savings_gross (100/80) x BR_rate (20%)</v>
      </c>
    </row>
    <row r="74" spans="3:11" x14ac:dyDescent="0.35">
      <c r="C74" s="784" t="s">
        <v>4455</v>
      </c>
      <c r="D74" s="759"/>
      <c r="E74" s="759"/>
      <c r="F74" s="784"/>
      <c r="G74" s="784"/>
      <c r="I74" s="826" t="str">
        <f>A28</f>
        <v>c11.27</v>
      </c>
      <c r="J74" s="144">
        <f>TRUNC(('INC(1)'!D14*savings_gross*BR_rate)+0.0099,2)</f>
        <v>0</v>
      </c>
      <c r="K74" s="1079" t="s">
        <v>1783</v>
      </c>
    </row>
    <row r="76" spans="3:11" x14ac:dyDescent="0.35">
      <c r="J76" s="764" t="str">
        <f>"from "&amp;AOI&amp;AOI!C5</f>
        <v>from AOI2</v>
      </c>
    </row>
    <row r="77" spans="3:11" x14ac:dyDescent="0.35">
      <c r="C77" s="759" t="s">
        <v>4766</v>
      </c>
      <c r="D77" s="759"/>
      <c r="E77" s="759"/>
      <c r="F77" s="759"/>
      <c r="G77" s="759"/>
      <c r="I77" s="826" t="str">
        <f>A29</f>
        <v>c11.28</v>
      </c>
      <c r="J77" s="144">
        <f>MAX(0,AOI!D6)</f>
        <v>0</v>
      </c>
    </row>
    <row r="78" spans="3:11" x14ac:dyDescent="0.35">
      <c r="C78" s="759"/>
      <c r="D78" s="759"/>
      <c r="E78" s="759"/>
      <c r="F78" s="759"/>
      <c r="G78" s="759"/>
      <c r="H78" s="759"/>
      <c r="I78" s="759"/>
    </row>
    <row r="79" spans="3:11" x14ac:dyDescent="0.35">
      <c r="J79" s="757" t="str">
        <f>"from "&amp;AOI&amp;AOI!G19</f>
        <v>from AOI10</v>
      </c>
    </row>
    <row r="80" spans="3:11" x14ac:dyDescent="0.35">
      <c r="C80" s="784" t="s">
        <v>3388</v>
      </c>
      <c r="D80" s="784"/>
      <c r="E80" s="784"/>
      <c r="F80" s="784"/>
      <c r="G80" s="759"/>
      <c r="I80" s="2587" t="str">
        <f>A30</f>
        <v>c11.29</v>
      </c>
      <c r="J80" s="828">
        <f>MAX(0,AOI!H20)</f>
        <v>0</v>
      </c>
    </row>
    <row r="81" spans="3:10" x14ac:dyDescent="0.35">
      <c r="C81" s="784"/>
      <c r="D81" s="784"/>
      <c r="E81" s="784"/>
      <c r="F81" s="784"/>
      <c r="G81" s="784"/>
      <c r="H81" s="784"/>
      <c r="I81" s="759"/>
    </row>
    <row r="82" spans="3:10" x14ac:dyDescent="0.35">
      <c r="J82" s="757" t="str">
        <f>"from "&amp;INC&amp;'INC(2)'!C28</f>
        <v>from INC19</v>
      </c>
    </row>
    <row r="83" spans="3:10" x14ac:dyDescent="0.35">
      <c r="C83" s="784" t="s">
        <v>3661</v>
      </c>
      <c r="D83" s="784"/>
      <c r="E83" s="784"/>
      <c r="F83" s="759"/>
      <c r="G83" s="757"/>
      <c r="I83" s="826" t="str">
        <f>A31</f>
        <v>c11.30</v>
      </c>
      <c r="J83" s="828">
        <f>MAX(0,'INC(2)'!D29)</f>
        <v>0</v>
      </c>
    </row>
    <row r="85" spans="3:10" x14ac:dyDescent="0.35">
      <c r="J85" s="146" t="str">
        <f>I33&amp;" to "&amp;I54</f>
        <v>c11.8 to c11.15</v>
      </c>
    </row>
    <row r="86" spans="3:10" x14ac:dyDescent="0.35">
      <c r="J86" s="109" t="str">
        <f>" + "&amp;I68&amp;" to "&amp;I83</f>
        <v xml:space="preserve"> + c11.25 to c11.30</v>
      </c>
    </row>
    <row r="87" spans="3:10" x14ac:dyDescent="0.35">
      <c r="C87" s="792" t="s">
        <v>2845</v>
      </c>
      <c r="I87" s="826" t="str">
        <f>A32</f>
        <v>c11.31</v>
      </c>
      <c r="J87" s="144">
        <f>MAX(0,J33+J36+J39+J42+J45+J48+J51+J54+J68+J71+J74+J77+J80+J83)</f>
        <v>0</v>
      </c>
    </row>
    <row r="88" spans="3:10" x14ac:dyDescent="0.35">
      <c r="J88" s="796" t="str">
        <f>"copy to box "&amp;'Tax due (c12)'!F46</f>
        <v>copy to box c12.13</v>
      </c>
    </row>
  </sheetData>
  <phoneticPr fontId="68" type="noConversion"/>
  <pageMargins left="0.196850393700787" right="0.196850393700787" top="0.196850393700787" bottom="0.196850393700787" header="0" footer="0"/>
  <pageSetup paperSize="9" fitToHeight="2" orientation="portrait"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FFFF00"/>
  </sheetPr>
  <dimension ref="A1:N94"/>
  <sheetViews>
    <sheetView showGridLines="0" topLeftCell="B76" workbookViewId="0">
      <selection activeCell="O10" sqref="O10"/>
    </sheetView>
  </sheetViews>
  <sheetFormatPr defaultColWidth="9.1328125" defaultRowHeight="11.65" x14ac:dyDescent="0.35"/>
  <cols>
    <col min="1" max="1" width="7.59765625" style="146" hidden="1" customWidth="1"/>
    <col min="2" max="2" width="12.1328125" style="146" customWidth="1"/>
    <col min="3" max="4" width="9.1328125" style="146"/>
    <col min="5" max="5" width="19.86328125" style="146" customWidth="1"/>
    <col min="6" max="6" width="6.73046875" style="146" customWidth="1"/>
    <col min="7" max="7" width="18.265625" style="146" customWidth="1"/>
    <col min="8" max="8" width="8.73046875" style="146" customWidth="1"/>
    <col min="9" max="9" width="7" style="146" customWidth="1"/>
    <col min="10" max="10" width="18.265625" style="146" customWidth="1"/>
    <col min="11" max="11" width="11" style="146" bestFit="1" customWidth="1"/>
    <col min="12" max="12" width="7.59765625" style="146" customWidth="1"/>
    <col min="13" max="13" width="10.1328125" style="146" customWidth="1"/>
    <col min="14" max="14" width="9.3984375" style="146" bestFit="1" customWidth="1"/>
    <col min="15" max="16384" width="9.1328125" style="146"/>
  </cols>
  <sheetData>
    <row r="1" spans="1:13" ht="17.649999999999999" x14ac:dyDescent="0.5">
      <c r="A1" s="125" t="s">
        <v>849</v>
      </c>
      <c r="B1" s="1364" t="s">
        <v>6344</v>
      </c>
    </row>
    <row r="2" spans="1:13" x14ac:dyDescent="0.35">
      <c r="A2" s="125" t="s">
        <v>3284</v>
      </c>
      <c r="D2" s="452" t="s">
        <v>884</v>
      </c>
      <c r="E2" s="472"/>
      <c r="F2" s="472"/>
      <c r="G2" s="472"/>
      <c r="H2" s="472"/>
      <c r="I2" s="134"/>
    </row>
    <row r="3" spans="1:13" x14ac:dyDescent="0.35">
      <c r="A3" s="125" t="s">
        <v>1628</v>
      </c>
    </row>
    <row r="4" spans="1:13" x14ac:dyDescent="0.35">
      <c r="A4" s="125" t="s">
        <v>1629</v>
      </c>
      <c r="B4" s="402"/>
      <c r="C4" s="402"/>
      <c r="D4" s="402"/>
      <c r="E4" s="402"/>
      <c r="F4" s="402"/>
      <c r="G4" s="398"/>
      <c r="H4" s="398"/>
      <c r="I4" s="2661"/>
      <c r="J4" s="2635" t="str">
        <f>'Tax adj (c9)'!L134&amp;" minus ("&amp;'Div Cr (c10)'!I12&amp;" + "&amp;'Div Cr (c10)'!I18&amp;")"</f>
        <v>c9.43 minus (c10.4 + c10.5)</v>
      </c>
    </row>
    <row r="5" spans="1:13" x14ac:dyDescent="0.35">
      <c r="A5" s="1185" t="s">
        <v>1630</v>
      </c>
      <c r="E5" s="402"/>
      <c r="F5" s="402"/>
      <c r="H5" s="109" t="s">
        <v>4307</v>
      </c>
      <c r="I5" s="821" t="str">
        <f>A1</f>
        <v>c12.1</v>
      </c>
      <c r="J5" s="818">
        <f>MAX(0,'Tax adj (c9)'!M134-('Div Cr (c10)'!J12+'Div Cr (c10)'!J18))</f>
        <v>0</v>
      </c>
    </row>
    <row r="6" spans="1:13" x14ac:dyDescent="0.35">
      <c r="A6" s="125" t="s">
        <v>1631</v>
      </c>
      <c r="B6" s="402"/>
      <c r="C6" s="402"/>
      <c r="D6" s="402"/>
      <c r="M6" s="402"/>
    </row>
    <row r="7" spans="1:13" x14ac:dyDescent="0.35">
      <c r="A7" s="125" t="s">
        <v>3079</v>
      </c>
      <c r="G7" s="153" t="str">
        <f>"from "&amp;'Class 4 NIC (c16)'!J150</f>
        <v>from c16.31</v>
      </c>
      <c r="H7" s="398"/>
      <c r="I7" s="402"/>
      <c r="J7" s="402"/>
      <c r="K7" s="402"/>
      <c r="L7" s="402"/>
    </row>
    <row r="8" spans="1:13" x14ac:dyDescent="0.35">
      <c r="A8" s="125" t="s">
        <v>3140</v>
      </c>
      <c r="B8" s="399" t="s">
        <v>3708</v>
      </c>
      <c r="C8" s="398"/>
      <c r="D8" s="402"/>
      <c r="F8" s="821" t="str">
        <f>A2</f>
        <v>c12.2</v>
      </c>
      <c r="G8" s="446">
        <f>'Class 4 NIC (c16)'!K150</f>
        <v>0</v>
      </c>
    </row>
    <row r="9" spans="1:13" x14ac:dyDescent="0.35">
      <c r="A9" s="125" t="s">
        <v>1579</v>
      </c>
    </row>
    <row r="10" spans="1:13" x14ac:dyDescent="0.35">
      <c r="A10" s="125" t="s">
        <v>1580</v>
      </c>
      <c r="B10" s="2588"/>
      <c r="C10" s="43"/>
      <c r="D10" s="43"/>
      <c r="E10" s="43"/>
    </row>
    <row r="11" spans="1:13" x14ac:dyDescent="0.35">
      <c r="A11" s="125" t="s">
        <v>897</v>
      </c>
      <c r="B11" s="1228"/>
      <c r="C11" s="1935"/>
      <c r="D11" s="1229"/>
      <c r="E11" s="2589"/>
      <c r="M11" s="398"/>
    </row>
    <row r="12" spans="1:13" x14ac:dyDescent="0.35">
      <c r="A12" s="125" t="s">
        <v>898</v>
      </c>
      <c r="B12" s="1230"/>
      <c r="C12" s="1156"/>
      <c r="D12" s="1231"/>
      <c r="E12" s="2590"/>
    </row>
    <row r="13" spans="1:13" x14ac:dyDescent="0.35">
      <c r="A13" s="125" t="s">
        <v>899</v>
      </c>
      <c r="B13" s="1232"/>
      <c r="C13" s="1233"/>
      <c r="D13" s="1234"/>
      <c r="E13" s="2591"/>
    </row>
    <row r="14" spans="1:13" x14ac:dyDescent="0.35">
      <c r="A14" s="125" t="s">
        <v>900</v>
      </c>
    </row>
    <row r="15" spans="1:13" x14ac:dyDescent="0.35">
      <c r="A15" s="125" t="s">
        <v>901</v>
      </c>
      <c r="G15" s="109" t="str">
        <f>"from "&amp;'Class 4 NIC (c16)'!J176</f>
        <v>from c16.32</v>
      </c>
    </row>
    <row r="16" spans="1:13" x14ac:dyDescent="0.35">
      <c r="A16" s="125" t="s">
        <v>902</v>
      </c>
      <c r="B16" s="399" t="s">
        <v>4636</v>
      </c>
      <c r="F16" s="821" t="str">
        <f>A3</f>
        <v>c12.3</v>
      </c>
      <c r="G16" s="446">
        <f>'Class 4 NIC (c16)'!K176</f>
        <v>0</v>
      </c>
    </row>
    <row r="17" spans="1:14" x14ac:dyDescent="0.35">
      <c r="A17" s="125" t="s">
        <v>903</v>
      </c>
      <c r="B17" s="2592"/>
      <c r="C17" s="2593"/>
      <c r="D17" s="2594"/>
    </row>
    <row r="18" spans="1:14" x14ac:dyDescent="0.35">
      <c r="A18" s="125" t="s">
        <v>4195</v>
      </c>
      <c r="J18" s="109" t="str">
        <f>F8&amp;" + "&amp;F16</f>
        <v>c12.2 + c12.3</v>
      </c>
    </row>
    <row r="19" spans="1:14" x14ac:dyDescent="0.35">
      <c r="A19" s="125" t="s">
        <v>845</v>
      </c>
      <c r="B19" s="399" t="s">
        <v>4641</v>
      </c>
      <c r="I19" s="821" t="str">
        <f>A4</f>
        <v>c12.4</v>
      </c>
      <c r="J19" s="446">
        <f>G8+G16</f>
        <v>0</v>
      </c>
    </row>
    <row r="20" spans="1:14" x14ac:dyDescent="0.35">
      <c r="A20" s="125" t="s">
        <v>4639</v>
      </c>
    </row>
    <row r="21" spans="1:14" x14ac:dyDescent="0.35">
      <c r="A21" s="125" t="s">
        <v>4640</v>
      </c>
      <c r="B21" s="398"/>
      <c r="C21" s="398"/>
      <c r="D21" s="398"/>
      <c r="E21" s="402"/>
      <c r="F21" s="402"/>
      <c r="G21" s="402"/>
      <c r="H21" s="402"/>
      <c r="I21" s="402"/>
      <c r="J21" s="153" t="str">
        <f>I5&amp;" + "&amp;I19</f>
        <v>c12.1 + c12.4</v>
      </c>
    </row>
    <row r="22" spans="1:14" x14ac:dyDescent="0.35">
      <c r="A22" s="125" t="s">
        <v>4738</v>
      </c>
      <c r="B22" s="448" t="s">
        <v>4637</v>
      </c>
      <c r="E22" s="398"/>
      <c r="F22" s="398"/>
      <c r="H22" s="447"/>
      <c r="I22" s="821" t="str">
        <f>A5</f>
        <v>c12.5</v>
      </c>
      <c r="J22" s="818">
        <f>J5+J19</f>
        <v>0</v>
      </c>
    </row>
    <row r="23" spans="1:14" x14ac:dyDescent="0.35">
      <c r="A23" s="125" t="s">
        <v>4739</v>
      </c>
    </row>
    <row r="24" spans="1:14" x14ac:dyDescent="0.35">
      <c r="A24" s="125" t="s">
        <v>4741</v>
      </c>
      <c r="G24" s="766" t="str">
        <f>"from "&amp;CAL&amp;CAL!C6</f>
        <v>from CAL7</v>
      </c>
      <c r="H24" s="449"/>
      <c r="I24" s="402"/>
      <c r="J24" s="402"/>
    </row>
    <row r="25" spans="1:14" x14ac:dyDescent="0.35">
      <c r="A25" s="125" t="s">
        <v>4782</v>
      </c>
      <c r="B25" s="762" t="str">
        <f>CAL!D6</f>
        <v>Underpaid tax for earlier years included in 2017-18 tax code</v>
      </c>
      <c r="F25" s="821" t="str">
        <f>A6</f>
        <v>c12.6</v>
      </c>
      <c r="G25" s="446">
        <f>CAL!D7</f>
        <v>0</v>
      </c>
      <c r="H25" s="153"/>
      <c r="I25" s="153"/>
      <c r="J25" s="398"/>
    </row>
    <row r="26" spans="1:14" x14ac:dyDescent="0.35">
      <c r="A26" s="125" t="s">
        <v>4798</v>
      </c>
      <c r="B26" s="822"/>
      <c r="C26" s="398"/>
      <c r="D26" s="398"/>
      <c r="E26" s="398"/>
      <c r="F26" s="835"/>
      <c r="G26" s="398"/>
      <c r="H26" s="398"/>
      <c r="I26" s="402"/>
      <c r="J26" s="402"/>
    </row>
    <row r="27" spans="1:14" x14ac:dyDescent="0.35">
      <c r="F27" s="759"/>
      <c r="G27" s="153" t="str">
        <f>"from "&amp;'S loans(c27)'!J181</f>
        <v>from c27.44</v>
      </c>
    </row>
    <row r="28" spans="1:14" x14ac:dyDescent="0.35">
      <c r="B28" s="823" t="s">
        <v>2705</v>
      </c>
      <c r="D28" s="402"/>
      <c r="F28" s="821" t="str">
        <f>A7</f>
        <v>c12.7</v>
      </c>
      <c r="G28" s="144">
        <f>'S loans(c27)'!K181</f>
        <v>0</v>
      </c>
      <c r="N28" s="952"/>
    </row>
    <row r="30" spans="1:14" x14ac:dyDescent="0.35">
      <c r="G30" s="109" t="str">
        <f>"from "&amp;'CBC(c28)'!I26</f>
        <v>from c28.14</v>
      </c>
    </row>
    <row r="31" spans="1:14" x14ac:dyDescent="0.35">
      <c r="B31" s="825" t="s">
        <v>844</v>
      </c>
      <c r="F31" s="821" t="str">
        <f>A8</f>
        <v>c12.8</v>
      </c>
      <c r="G31" s="144">
        <f>'CBC(c28)'!J26</f>
        <v>0</v>
      </c>
    </row>
    <row r="32" spans="1:14" x14ac:dyDescent="0.35">
      <c r="F32" s="759"/>
      <c r="H32" s="141"/>
      <c r="I32" s="402"/>
      <c r="J32" s="402"/>
    </row>
    <row r="33" spans="2:12" x14ac:dyDescent="0.35">
      <c r="B33" s="825"/>
      <c r="C33" s="402"/>
      <c r="D33" s="402"/>
      <c r="E33" s="402"/>
      <c r="F33" s="825"/>
      <c r="G33" s="3195" t="str">
        <f>"from "&amp;'Pensions (c25c26)'!J144</f>
        <v>from c25.50</v>
      </c>
      <c r="H33" s="141"/>
      <c r="I33" s="402"/>
      <c r="J33" s="402"/>
    </row>
    <row r="34" spans="2:12" x14ac:dyDescent="0.35">
      <c r="B34" s="834" t="s">
        <v>1745</v>
      </c>
      <c r="C34" s="402"/>
      <c r="D34" s="402"/>
      <c r="F34" s="821" t="str">
        <f>A9</f>
        <v>c12.9</v>
      </c>
      <c r="G34" s="446">
        <f>'Pensions (c25c26)'!K144</f>
        <v>0</v>
      </c>
      <c r="H34" s="141"/>
      <c r="I34" s="402"/>
      <c r="J34" s="402"/>
    </row>
    <row r="35" spans="2:12" x14ac:dyDescent="0.35">
      <c r="F35" s="759"/>
      <c r="H35" s="141"/>
      <c r="I35" s="402"/>
      <c r="J35" s="402"/>
    </row>
    <row r="36" spans="2:12" x14ac:dyDescent="0.35">
      <c r="B36" s="825"/>
      <c r="C36" s="402"/>
      <c r="D36" s="402"/>
      <c r="E36" s="402"/>
      <c r="F36" s="825"/>
      <c r="G36" s="153" t="str">
        <f>"from "&amp;'Pensions (c25c26)'!J207</f>
        <v>from c26.3</v>
      </c>
      <c r="H36" s="402"/>
      <c r="I36" s="402"/>
      <c r="J36" s="402"/>
    </row>
    <row r="37" spans="2:12" x14ac:dyDescent="0.35">
      <c r="B37" s="825" t="s">
        <v>1475</v>
      </c>
      <c r="C37" s="402"/>
      <c r="D37" s="402"/>
      <c r="F37" s="821" t="str">
        <f>A10</f>
        <v>c12.10</v>
      </c>
      <c r="G37" s="446">
        <f>'Pensions (c25c26)'!K207</f>
        <v>0</v>
      </c>
      <c r="H37" s="449"/>
      <c r="I37" s="402"/>
      <c r="J37" s="402"/>
    </row>
    <row r="38" spans="2:12" x14ac:dyDescent="0.35">
      <c r="F38" s="759"/>
      <c r="H38" s="402"/>
      <c r="I38" s="402"/>
      <c r="J38" s="402"/>
    </row>
    <row r="39" spans="2:12" x14ac:dyDescent="0.35">
      <c r="B39" s="825" t="s">
        <v>2232</v>
      </c>
      <c r="F39" s="759"/>
      <c r="G39" s="153" t="str">
        <f>"from "&amp;'RBC (c19)'!C20</f>
        <v>from c19.1</v>
      </c>
      <c r="H39" s="402"/>
      <c r="I39" s="402"/>
      <c r="J39" s="402"/>
    </row>
    <row r="40" spans="2:12" x14ac:dyDescent="0.35">
      <c r="B40" s="759" t="s">
        <v>2233</v>
      </c>
      <c r="C40" s="402"/>
      <c r="D40" s="402"/>
      <c r="F40" s="821" t="str">
        <f>A11</f>
        <v>c12.11</v>
      </c>
      <c r="G40" s="446">
        <f>'RBC (c19)'!D20</f>
        <v>0</v>
      </c>
      <c r="H40" s="449"/>
      <c r="I40" s="402"/>
      <c r="J40" s="402"/>
    </row>
    <row r="41" spans="2:12" x14ac:dyDescent="0.35">
      <c r="H41" s="402"/>
      <c r="I41" s="402"/>
      <c r="J41" s="402"/>
    </row>
    <row r="42" spans="2:12" x14ac:dyDescent="0.35">
      <c r="F42" s="402"/>
      <c r="G42" s="402"/>
      <c r="H42" s="402"/>
      <c r="I42" s="398"/>
      <c r="J42" s="3195" t="str">
        <f>I22&amp;" + "&amp;F25&amp;" + "&amp;F28&amp;" + "&amp;F31&amp;" + "&amp;F34&amp;" + "&amp;F37&amp;" + "&amp;F40&amp;" + ("&amp;'Pensions (c25c26)'!J170&amp;" minus "&amp;'Pensions (c25c26)'!J173&amp;")"</f>
        <v>c12.5 + c12.6 + c12.7 + c12.8 + c12.9 + c12.10 + c12.11 + (c25.56 minus c25.57)</v>
      </c>
      <c r="L42" s="952"/>
    </row>
    <row r="43" spans="2:12" x14ac:dyDescent="0.35">
      <c r="B43" s="402"/>
      <c r="C43" s="402"/>
      <c r="D43" s="402"/>
      <c r="E43" s="402"/>
      <c r="F43" s="402"/>
      <c r="G43" s="402"/>
      <c r="H43" s="402"/>
      <c r="I43" s="821" t="str">
        <f>A12</f>
        <v>c12.12</v>
      </c>
      <c r="J43" s="818">
        <f>J22+G25+G28+G31+G34+G37+G40+('Pensions (c25c26)'!K170-'Pensions (c25c26)'!K173)</f>
        <v>0</v>
      </c>
    </row>
    <row r="44" spans="2:12" x14ac:dyDescent="0.35">
      <c r="B44" s="402"/>
      <c r="C44" s="402"/>
      <c r="D44" s="402"/>
      <c r="E44" s="402"/>
      <c r="J44" s="831"/>
      <c r="K44" s="830"/>
      <c r="L44" s="833" t="s">
        <v>1590</v>
      </c>
    </row>
    <row r="45" spans="2:12" x14ac:dyDescent="0.35">
      <c r="G45" s="153" t="str">
        <f>"from "&amp;'Tax paid (c11)'!I87</f>
        <v>from c11.31</v>
      </c>
    </row>
    <row r="46" spans="2:12" x14ac:dyDescent="0.35">
      <c r="B46" s="448" t="s">
        <v>1481</v>
      </c>
      <c r="D46" s="398"/>
      <c r="F46" s="821" t="str">
        <f>A13</f>
        <v>c12.13</v>
      </c>
      <c r="G46" s="144">
        <f>'Tax paid (c11)'!J87</f>
        <v>0</v>
      </c>
    </row>
    <row r="48" spans="2:12" x14ac:dyDescent="0.35">
      <c r="G48" s="766" t="str">
        <f>"from "&amp;CAL&amp;CAL!C9</f>
        <v>from CAL8</v>
      </c>
    </row>
    <row r="49" spans="2:12" x14ac:dyDescent="0.35">
      <c r="B49" s="3168" t="str">
        <f>CAL!D9</f>
        <v>2017-18 underpaid tax included in 2018-19 tax code</v>
      </c>
      <c r="D49" s="3045"/>
      <c r="E49" s="3045"/>
      <c r="F49" s="821" t="str">
        <f>A14</f>
        <v>c12.14</v>
      </c>
      <c r="G49" s="446">
        <f>CAL!D10</f>
        <v>0</v>
      </c>
      <c r="H49" s="402"/>
      <c r="I49" s="402"/>
      <c r="J49" s="402"/>
    </row>
    <row r="50" spans="2:12" x14ac:dyDescent="0.35">
      <c r="H50" s="141"/>
      <c r="I50" s="398"/>
      <c r="J50" s="398"/>
    </row>
    <row r="51" spans="2:12" x14ac:dyDescent="0.35">
      <c r="C51" s="398"/>
      <c r="D51" s="398"/>
      <c r="E51" s="398"/>
      <c r="F51" s="398"/>
      <c r="G51" s="153"/>
      <c r="H51" s="402"/>
      <c r="I51" s="398"/>
      <c r="J51" s="153" t="str">
        <f>F46&amp;" + "&amp;F49</f>
        <v>c12.13 + c12.14</v>
      </c>
    </row>
    <row r="52" spans="2:12" x14ac:dyDescent="0.35">
      <c r="B52" s="398"/>
      <c r="H52" s="402"/>
      <c r="I52" s="821" t="str">
        <f>A15</f>
        <v>c12.15</v>
      </c>
      <c r="J52" s="144">
        <f>G46+G49</f>
        <v>0</v>
      </c>
    </row>
    <row r="53" spans="2:12" x14ac:dyDescent="0.35">
      <c r="B53" s="398"/>
      <c r="H53" s="153"/>
      <c r="I53" s="398"/>
      <c r="J53" s="398"/>
    </row>
    <row r="54" spans="2:12" x14ac:dyDescent="0.35">
      <c r="B54" s="398"/>
      <c r="C54" s="398"/>
      <c r="D54" s="398"/>
      <c r="E54" s="398"/>
      <c r="F54" s="398"/>
      <c r="H54" s="447"/>
      <c r="I54" s="398"/>
      <c r="J54" s="153" t="str">
        <f>I43&amp;" minus "&amp;I52</f>
        <v>c12.12 minus c12.15</v>
      </c>
    </row>
    <row r="55" spans="2:12" x14ac:dyDescent="0.35">
      <c r="B55" s="448" t="s">
        <v>4638</v>
      </c>
      <c r="C55" s="398"/>
      <c r="D55" s="398"/>
      <c r="E55" s="398"/>
      <c r="F55" s="398"/>
      <c r="G55" s="398"/>
      <c r="I55" s="1438" t="str">
        <f>A16</f>
        <v>c12.16</v>
      </c>
      <c r="J55" s="450">
        <f>J43-J52</f>
        <v>0</v>
      </c>
    </row>
    <row r="56" spans="2:12" x14ac:dyDescent="0.35">
      <c r="B56" s="398"/>
      <c r="C56" s="398"/>
      <c r="D56" s="398"/>
      <c r="E56" s="402"/>
      <c r="F56" s="402"/>
      <c r="G56" s="402"/>
      <c r="J56" s="831"/>
      <c r="K56" s="830"/>
      <c r="L56" s="833" t="s">
        <v>1590</v>
      </c>
    </row>
    <row r="58" spans="2:12" x14ac:dyDescent="0.35">
      <c r="G58" s="153" t="str">
        <f>"from "&amp;'CG (c18)'!O139</f>
        <v>from c18.58</v>
      </c>
    </row>
    <row r="59" spans="2:12" x14ac:dyDescent="0.35">
      <c r="B59" s="448" t="s">
        <v>1881</v>
      </c>
      <c r="C59" s="398"/>
      <c r="D59" s="398"/>
      <c r="F59" s="821" t="str">
        <f>A17</f>
        <v>c12.17</v>
      </c>
      <c r="G59" s="144">
        <f>'CG (c18)'!P139</f>
        <v>0</v>
      </c>
      <c r="H59" s="141"/>
      <c r="I59" s="402"/>
      <c r="J59" s="402"/>
    </row>
    <row r="60" spans="2:12" x14ac:dyDescent="0.35">
      <c r="B60" s="398"/>
      <c r="C60" s="398"/>
      <c r="D60" s="398"/>
      <c r="E60" s="398"/>
      <c r="H60" s="398"/>
      <c r="I60" s="398"/>
      <c r="J60" s="398"/>
    </row>
    <row r="61" spans="2:12" x14ac:dyDescent="0.35">
      <c r="B61" s="402"/>
      <c r="C61" s="402"/>
      <c r="D61" s="402"/>
      <c r="E61" s="398"/>
      <c r="F61" s="398"/>
      <c r="H61" s="447"/>
      <c r="I61" s="402"/>
      <c r="J61" s="153" t="str">
        <f>I55&amp;" + "&amp;F59</f>
        <v>c12.16 + c12.17</v>
      </c>
    </row>
    <row r="62" spans="2:12" x14ac:dyDescent="0.35">
      <c r="B62" s="448" t="s">
        <v>6551</v>
      </c>
      <c r="C62" s="402"/>
      <c r="D62" s="402"/>
      <c r="E62" s="402"/>
      <c r="G62" s="3056"/>
      <c r="H62" s="3044" t="s">
        <v>8164</v>
      </c>
      <c r="I62" s="821" t="str">
        <f>A18</f>
        <v>c12.18</v>
      </c>
      <c r="J62" s="144">
        <f>J55+G59</f>
        <v>0</v>
      </c>
    </row>
    <row r="63" spans="2:12" x14ac:dyDescent="0.35">
      <c r="J63" s="831"/>
      <c r="K63" s="832"/>
      <c r="L63" s="833" t="s">
        <v>1590</v>
      </c>
    </row>
    <row r="66" spans="2:12" x14ac:dyDescent="0.35">
      <c r="H66" s="1141"/>
      <c r="I66" s="3092"/>
      <c r="J66" s="3459" t="s">
        <v>7845</v>
      </c>
      <c r="K66" s="1141"/>
      <c r="L66" s="1141"/>
    </row>
    <row r="67" spans="2:12" x14ac:dyDescent="0.35">
      <c r="H67" s="3093" t="s">
        <v>7843</v>
      </c>
      <c r="I67" s="3460"/>
      <c r="J67" s="3461"/>
      <c r="K67" s="3093" t="s">
        <v>7846</v>
      </c>
      <c r="L67" s="1141"/>
    </row>
    <row r="68" spans="2:12" x14ac:dyDescent="0.35">
      <c r="H68" s="1457"/>
      <c r="I68" s="1141"/>
      <c r="J68" s="3462"/>
      <c r="K68" s="3463"/>
      <c r="L68" s="3464" t="s">
        <v>1590</v>
      </c>
    </row>
    <row r="69" spans="2:12" x14ac:dyDescent="0.35">
      <c r="H69" s="1457"/>
      <c r="I69" s="1141"/>
      <c r="J69" s="1514"/>
      <c r="K69" s="1141"/>
      <c r="L69" s="1141"/>
    </row>
    <row r="70" spans="2:12" x14ac:dyDescent="0.35">
      <c r="H70" s="1457"/>
      <c r="I70" s="3092"/>
      <c r="J70" s="3459" t="s">
        <v>7847</v>
      </c>
      <c r="K70" s="1141"/>
      <c r="L70" s="1141"/>
    </row>
    <row r="71" spans="2:12" ht="12.75" customHeight="1" x14ac:dyDescent="0.35">
      <c r="H71" s="3093" t="s">
        <v>7844</v>
      </c>
      <c r="I71" s="3460"/>
      <c r="J71" s="3461"/>
      <c r="K71" s="3093" t="s">
        <v>7848</v>
      </c>
      <c r="L71" s="1141"/>
    </row>
    <row r="72" spans="2:12" x14ac:dyDescent="0.35">
      <c r="H72" s="1141"/>
      <c r="I72" s="1141"/>
      <c r="J72" s="3462"/>
      <c r="K72" s="3463"/>
      <c r="L72" s="3464" t="s">
        <v>1590</v>
      </c>
    </row>
    <row r="73" spans="2:12" x14ac:dyDescent="0.35">
      <c r="B73" s="3471" t="str">
        <f>"The following 5 boxes are only used on the SA302 ("&amp;I81&amp;" is used in the calculation at Payments on Account "&amp;'POAs (c13)'!H39&amp;")"</f>
        <v>The following 5 boxes are only used on the SA302 (c12.21 is used in the calculation at Payments on Account c13.10)</v>
      </c>
      <c r="C73" s="3472"/>
      <c r="D73" s="1203"/>
      <c r="E73" s="1203"/>
      <c r="F73" s="1203"/>
      <c r="G73" s="1203"/>
      <c r="K73" s="402"/>
    </row>
    <row r="74" spans="2:12" x14ac:dyDescent="0.35">
      <c r="B74" s="1203"/>
      <c r="C74" s="1203"/>
      <c r="D74" s="1203"/>
      <c r="E74" s="1203"/>
      <c r="F74" s="1203"/>
      <c r="G74" s="1204" t="str">
        <f>"from "&amp;FIN&amp;'REL(2)'!C40</f>
        <v>from FIN1</v>
      </c>
      <c r="K74" s="1441"/>
    </row>
    <row r="75" spans="2:12" x14ac:dyDescent="0.35">
      <c r="B75" s="1202" t="s">
        <v>3369</v>
      </c>
      <c r="C75" s="1203"/>
      <c r="D75" s="1203"/>
      <c r="E75" s="1203"/>
      <c r="F75" s="1439" t="str">
        <f>A19</f>
        <v>c12.19</v>
      </c>
      <c r="G75" s="1205">
        <f>'REL(2)'!D41</f>
        <v>0</v>
      </c>
    </row>
    <row r="76" spans="2:12" x14ac:dyDescent="0.35">
      <c r="B76" s="1207"/>
      <c r="C76" s="1203"/>
      <c r="D76" s="1203"/>
      <c r="E76" s="1203"/>
      <c r="F76" s="1203"/>
      <c r="G76" s="1203"/>
    </row>
    <row r="77" spans="2:12" x14ac:dyDescent="0.35">
      <c r="B77" s="1207"/>
      <c r="C77" s="1203"/>
      <c r="D77" s="1206"/>
      <c r="E77" s="1203"/>
      <c r="F77" s="1203"/>
      <c r="G77" s="1204" t="str">
        <f>"from "&amp;CAL&amp;CAL!C22</f>
        <v>from CAL14</v>
      </c>
    </row>
    <row r="78" spans="2:12" ht="12.75" customHeight="1" x14ac:dyDescent="0.35">
      <c r="B78" s="1202" t="s">
        <v>3622</v>
      </c>
      <c r="C78" s="1203"/>
      <c r="D78" s="1206"/>
      <c r="E78" s="1203"/>
      <c r="F78" s="1439" t="str">
        <f>A20</f>
        <v>c12.20</v>
      </c>
      <c r="G78" s="1205">
        <f>CAL!D23</f>
        <v>0</v>
      </c>
    </row>
    <row r="80" spans="2:12" x14ac:dyDescent="0.35">
      <c r="J80" s="153" t="str">
        <f>I62&amp;" + "&amp;F75&amp;" + "&amp;F78</f>
        <v>c12.18 + c12.19 + c12.20</v>
      </c>
    </row>
    <row r="81" spans="5:12" x14ac:dyDescent="0.35">
      <c r="H81" s="447" t="s">
        <v>3623</v>
      </c>
      <c r="I81" s="2595" t="str">
        <f>A21</f>
        <v>c12.21</v>
      </c>
      <c r="J81" s="144">
        <f>box_18_3+G75+G78</f>
        <v>0</v>
      </c>
    </row>
    <row r="83" spans="5:12" ht="12.75" x14ac:dyDescent="0.35">
      <c r="E83" s="3748" t="s">
        <v>8334</v>
      </c>
      <c r="F83" s="3045"/>
      <c r="G83" s="3045"/>
      <c r="H83" s="3045"/>
      <c r="I83" s="3045"/>
      <c r="J83" s="3045"/>
      <c r="K83" s="3045"/>
    </row>
    <row r="84" spans="5:12" x14ac:dyDescent="0.35">
      <c r="E84" s="3045" t="s">
        <v>8332</v>
      </c>
      <c r="F84" s="3045"/>
      <c r="G84" s="3045"/>
    </row>
    <row r="85" spans="5:12" x14ac:dyDescent="0.35">
      <c r="E85" s="3763" t="s">
        <v>2520</v>
      </c>
    </row>
    <row r="86" spans="5:12" x14ac:dyDescent="0.35">
      <c r="E86" s="3763" t="s">
        <v>8333</v>
      </c>
      <c r="F86" s="3045"/>
    </row>
    <row r="87" spans="5:12" x14ac:dyDescent="0.35">
      <c r="E87" s="1141"/>
      <c r="I87" s="3045"/>
      <c r="J87" s="3195" t="s">
        <v>8152</v>
      </c>
    </row>
    <row r="88" spans="5:12" x14ac:dyDescent="0.35">
      <c r="E88" s="1141"/>
      <c r="G88" s="3045"/>
      <c r="H88" s="3044" t="s">
        <v>8165</v>
      </c>
      <c r="I88" s="3200" t="str">
        <f>A22</f>
        <v>c12.22</v>
      </c>
      <c r="J88" s="3196"/>
      <c r="K88" s="3044" t="s">
        <v>7846</v>
      </c>
    </row>
    <row r="89" spans="5:12" x14ac:dyDescent="0.35">
      <c r="E89" s="1141"/>
      <c r="H89" s="109"/>
      <c r="J89" s="3197"/>
      <c r="K89" s="3198"/>
      <c r="L89" s="3199" t="s">
        <v>1590</v>
      </c>
    </row>
    <row r="90" spans="5:12" x14ac:dyDescent="0.35">
      <c r="E90" s="1141"/>
      <c r="H90" s="109"/>
      <c r="J90" s="141"/>
    </row>
    <row r="91" spans="5:12" x14ac:dyDescent="0.35">
      <c r="E91" s="1141"/>
      <c r="H91" s="109"/>
      <c r="I91" s="3045"/>
      <c r="J91" s="3195" t="s">
        <v>8153</v>
      </c>
    </row>
    <row r="92" spans="5:12" x14ac:dyDescent="0.35">
      <c r="E92" s="1141"/>
      <c r="G92" s="3045"/>
      <c r="H92" s="3044" t="s">
        <v>8165</v>
      </c>
      <c r="I92" s="3200" t="str">
        <f>A23</f>
        <v>c12.23</v>
      </c>
      <c r="J92" s="3196"/>
      <c r="K92" s="3044" t="s">
        <v>7848</v>
      </c>
    </row>
    <row r="93" spans="5:12" x14ac:dyDescent="0.35">
      <c r="E93" s="1141"/>
      <c r="J93" s="3197"/>
      <c r="K93" s="3198"/>
      <c r="L93" s="3199" t="s">
        <v>1590</v>
      </c>
    </row>
    <row r="94" spans="5:12" x14ac:dyDescent="0.35">
      <c r="E94" s="3045" t="s">
        <v>2638</v>
      </c>
    </row>
  </sheetData>
  <phoneticPr fontId="68" type="noConversion"/>
  <pageMargins left="0.19685039370078741" right="0.19685039370078741" top="0.19685039370078741" bottom="0.19685039370078741" header="0" footer="0"/>
  <pageSetup paperSize="9" orientation="portrait" horizontalDpi="4294967293" verticalDpi="1200"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99"/>
  </sheetPr>
  <dimension ref="A1:O75"/>
  <sheetViews>
    <sheetView showGridLines="0" topLeftCell="B16" workbookViewId="0">
      <selection activeCell="J32" sqref="J32"/>
    </sheetView>
  </sheetViews>
  <sheetFormatPr defaultColWidth="8.86328125" defaultRowHeight="11.65" x14ac:dyDescent="0.35"/>
  <cols>
    <col min="1" max="1" width="12.265625" style="146" hidden="1" customWidth="1"/>
    <col min="2" max="2" width="3.73046875" style="146" customWidth="1"/>
    <col min="3" max="3" width="8.73046875" style="146" customWidth="1"/>
    <col min="4" max="4" width="7" style="146" customWidth="1"/>
    <col min="5" max="5" width="10.3984375" style="146" customWidth="1"/>
    <col min="6" max="6" width="11.73046875" style="146" customWidth="1"/>
    <col min="7" max="7" width="26.73046875" style="146" customWidth="1"/>
    <col min="8" max="8" width="6.59765625" style="146" customWidth="1"/>
    <col min="9" max="9" width="14.73046875" style="146" customWidth="1"/>
    <col min="10" max="10" width="6.59765625" style="146" customWidth="1"/>
    <col min="11" max="11" width="16.86328125" style="146" customWidth="1"/>
    <col min="12" max="12" width="6" style="146" customWidth="1"/>
    <col min="13" max="13" width="11.73046875" style="146" customWidth="1"/>
    <col min="14" max="14" width="3" style="146" customWidth="1"/>
    <col min="15" max="16384" width="8.86328125" style="146"/>
  </cols>
  <sheetData>
    <row r="1" spans="1:15" ht="17.649999999999999" x14ac:dyDescent="0.5">
      <c r="A1" s="146" t="s">
        <v>3141</v>
      </c>
      <c r="B1" s="1928" t="s">
        <v>2243</v>
      </c>
      <c r="C1" s="398"/>
      <c r="O1" s="402"/>
    </row>
    <row r="2" spans="1:15" x14ac:dyDescent="0.35">
      <c r="A2" s="146" t="s">
        <v>3142</v>
      </c>
      <c r="I2" s="764" t="str">
        <f>"from "&amp;CAL&amp;CAL!G22</f>
        <v>from CAL15</v>
      </c>
    </row>
    <row r="3" spans="1:15" x14ac:dyDescent="0.35">
      <c r="A3" s="146" t="s">
        <v>3143</v>
      </c>
      <c r="B3" s="146" t="s">
        <v>2249</v>
      </c>
      <c r="F3" s="759"/>
      <c r="H3" s="821" t="str">
        <f>A1</f>
        <v>c13.1</v>
      </c>
      <c r="I3" s="818">
        <f>CAL!H23</f>
        <v>0</v>
      </c>
    </row>
    <row r="4" spans="1:15" x14ac:dyDescent="0.35">
      <c r="A4" s="146" t="s">
        <v>3144</v>
      </c>
      <c r="B4" s="146" t="s">
        <v>2248</v>
      </c>
      <c r="F4" s="759"/>
      <c r="G4" s="759"/>
      <c r="H4" s="759"/>
    </row>
    <row r="5" spans="1:15" x14ac:dyDescent="0.35">
      <c r="A5" s="146" t="s">
        <v>3145</v>
      </c>
      <c r="I5" s="764" t="str">
        <f>"from "&amp;CAL&amp;CAL!G25</f>
        <v>from CAL16</v>
      </c>
    </row>
    <row r="6" spans="1:15" x14ac:dyDescent="0.35">
      <c r="A6" s="146" t="s">
        <v>3146</v>
      </c>
      <c r="B6" s="1462" t="str">
        <f>"Any "&amp;next_year&amp;" repayment you are"</f>
        <v>Any 2018-19 repayment you are</v>
      </c>
      <c r="C6" s="1462"/>
      <c r="F6" s="759"/>
      <c r="H6" s="821" t="str">
        <f>A2</f>
        <v>c13.2</v>
      </c>
      <c r="I6" s="818">
        <f>CAL!H26</f>
        <v>0</v>
      </c>
    </row>
    <row r="7" spans="1:15" x14ac:dyDescent="0.35">
      <c r="A7" s="146" t="s">
        <v>3147</v>
      </c>
      <c r="B7" s="146" t="s">
        <v>2247</v>
      </c>
      <c r="J7" s="398"/>
    </row>
    <row r="8" spans="1:15" x14ac:dyDescent="0.35">
      <c r="A8" s="146" t="s">
        <v>3148</v>
      </c>
    </row>
    <row r="9" spans="1:15" x14ac:dyDescent="0.35">
      <c r="A9" s="146" t="s">
        <v>3149</v>
      </c>
      <c r="G9" s="109" t="s">
        <v>3391</v>
      </c>
      <c r="H9" s="821" t="str">
        <f>A3</f>
        <v>c13.3</v>
      </c>
      <c r="I9" s="818"/>
    </row>
    <row r="10" spans="1:15" x14ac:dyDescent="0.35">
      <c r="A10" s="146" t="s">
        <v>3150</v>
      </c>
      <c r="G10" s="109" t="s">
        <v>981</v>
      </c>
    </row>
    <row r="11" spans="1:15" x14ac:dyDescent="0.35">
      <c r="A11" s="146" t="s">
        <v>3151</v>
      </c>
    </row>
    <row r="12" spans="1:15" x14ac:dyDescent="0.35">
      <c r="A12" s="146" t="s">
        <v>4308</v>
      </c>
      <c r="G12" s="109" t="s">
        <v>3391</v>
      </c>
      <c r="H12" s="821" t="str">
        <f>A4</f>
        <v>c13.4</v>
      </c>
      <c r="I12" s="818"/>
    </row>
    <row r="13" spans="1:15" x14ac:dyDescent="0.35">
      <c r="A13" s="146" t="s">
        <v>4309</v>
      </c>
      <c r="G13" s="109" t="s">
        <v>982</v>
      </c>
    </row>
    <row r="14" spans="1:15" x14ac:dyDescent="0.35">
      <c r="A14" s="146" t="s">
        <v>4310</v>
      </c>
      <c r="B14" s="146" t="s">
        <v>4143</v>
      </c>
    </row>
    <row r="15" spans="1:15" x14ac:dyDescent="0.35">
      <c r="A15" s="146" t="s">
        <v>2225</v>
      </c>
      <c r="B15" s="448" t="s">
        <v>2244</v>
      </c>
    </row>
    <row r="16" spans="1:15" x14ac:dyDescent="0.35">
      <c r="A16" s="146" t="s">
        <v>2226</v>
      </c>
      <c r="C16" s="146" t="str">
        <f>"If (Today’s date equal to or before 30 December "&amp;Tax_year_end&amp;") and (Employment = ‘Y’ or box "&amp;INC&amp;'INC(2)'!C13&amp;" &gt; 0) and (box FIN2 not ticked)"</f>
        <v>If (Today’s date equal to or before 30 December 2018) and (Employment = ‘Y’ or box INC11 &gt; 0) and (box FIN2 not ticked)</v>
      </c>
      <c r="F16" s="1462"/>
      <c r="G16" s="1462"/>
    </row>
    <row r="17" spans="1:11" x14ac:dyDescent="0.35">
      <c r="A17" s="146" t="s">
        <v>4940</v>
      </c>
    </row>
    <row r="18" spans="1:11" x14ac:dyDescent="0.35">
      <c r="I18" s="109" t="str">
        <f>'Tax due (c12)'!I81&amp;" minus "&amp;H9</f>
        <v>c12.21 minus c13.3</v>
      </c>
    </row>
    <row r="19" spans="1:11" x14ac:dyDescent="0.35">
      <c r="A19" s="146" t="s">
        <v>4938</v>
      </c>
      <c r="B19" s="146" t="s">
        <v>2245</v>
      </c>
      <c r="H19" s="821" t="str">
        <f>A5</f>
        <v>c13.5</v>
      </c>
      <c r="I19" s="818">
        <f>'Tax due (c12)'!J81-I9</f>
        <v>0</v>
      </c>
      <c r="J19" s="1504" t="s">
        <v>1590</v>
      </c>
      <c r="K19" s="837"/>
    </row>
    <row r="20" spans="1:11" x14ac:dyDescent="0.35">
      <c r="A20" s="1292" t="b">
        <f>('INC(2)'!D14+EMP!D5+EMP!L5+EMP!D8+EMP!L8+MOR!D20)&gt;0</f>
        <v>0</v>
      </c>
      <c r="C20" s="146" t="str">
        <f>"else "&amp;H19&amp;" = 0 (zero)"</f>
        <v>else c13.5 = 0 (zero)</v>
      </c>
    </row>
    <row r="21" spans="1:11" x14ac:dyDescent="0.35">
      <c r="A21" s="146" t="s">
        <v>4939</v>
      </c>
      <c r="C21" s="146" t="s">
        <v>2638</v>
      </c>
    </row>
    <row r="22" spans="1:11" x14ac:dyDescent="0.35">
      <c r="A22" s="122" t="b">
        <v>0</v>
      </c>
    </row>
    <row r="23" spans="1:11" x14ac:dyDescent="0.35">
      <c r="B23" s="146" t="s">
        <v>4941</v>
      </c>
      <c r="I23" s="109" t="str">
        <f>"from "&amp;'Tax due (c12)'!F16</f>
        <v>from c12.3</v>
      </c>
    </row>
    <row r="24" spans="1:11" x14ac:dyDescent="0.35">
      <c r="B24" s="146" t="s">
        <v>4604</v>
      </c>
      <c r="H24" s="821" t="str">
        <f>A6</f>
        <v>c13.6</v>
      </c>
      <c r="I24" s="144">
        <f>'Tax due (c12)'!G16</f>
        <v>0</v>
      </c>
    </row>
    <row r="26" spans="1:11" x14ac:dyDescent="0.35">
      <c r="I26" s="146" t="str">
        <f>H19&amp;" minus "&amp;H24</f>
        <v>c13.5 minus c13.6</v>
      </c>
    </row>
    <row r="27" spans="1:11" x14ac:dyDescent="0.35">
      <c r="B27" s="146" t="s">
        <v>4942</v>
      </c>
      <c r="H27" s="821" t="str">
        <f>A7</f>
        <v>c13.7</v>
      </c>
      <c r="I27" s="818">
        <f>I19-I24</f>
        <v>0</v>
      </c>
      <c r="J27" s="1504" t="s">
        <v>1590</v>
      </c>
      <c r="K27" s="837"/>
    </row>
    <row r="29" spans="1:11" x14ac:dyDescent="0.35">
      <c r="B29" s="786" t="s">
        <v>2246</v>
      </c>
    </row>
    <row r="30" spans="1:11" x14ac:dyDescent="0.35">
      <c r="B30" s="786" t="s">
        <v>5412</v>
      </c>
      <c r="D30" s="146" t="str">
        <f>"If box "&amp;H27&amp;" is positive and is less than "&amp;DOLLAR(coded_out_limit,0)&amp;" and you want this included in your "&amp;next_year&amp;" tax code, copy the"</f>
        <v>If box c13.7 is positive and is less than £3,000 and you want this included in your 2018-19 tax code, copy the</v>
      </c>
      <c r="H30" s="1462"/>
      <c r="I30" s="1462"/>
    </row>
    <row r="31" spans="1:11" x14ac:dyDescent="0.35">
      <c r="D31" s="146" t="str">
        <f>"figure in box "&amp;H27&amp;" to box "&amp;H32</f>
        <v>figure in box c13.7 to box c13.8</v>
      </c>
      <c r="I31" s="109"/>
    </row>
    <row r="32" spans="1:11" ht="12" customHeight="1" x14ac:dyDescent="0.35">
      <c r="D32" s="146" t="s">
        <v>2520</v>
      </c>
      <c r="H32" s="821" t="str">
        <f>A8</f>
        <v>c13.8</v>
      </c>
      <c r="I32" s="818">
        <f>IF(AND(PAYE_case,to_be_coded,before_30_sep,'POAs (c13)'!I27&lt;coded_out_limit),'POAs (c13)'!I27,0)</f>
        <v>0</v>
      </c>
    </row>
    <row r="33" spans="2:11" ht="12" customHeight="1" x14ac:dyDescent="0.35">
      <c r="D33" s="146" t="str">
        <f>" leave box "&amp;H32&amp;" blank"</f>
        <v xml:space="preserve"> leave box c13.8 blank</v>
      </c>
    </row>
    <row r="34" spans="2:11" ht="12" customHeight="1" x14ac:dyDescent="0.35">
      <c r="D34" s="146" t="s">
        <v>2638</v>
      </c>
    </row>
    <row r="35" spans="2:11" ht="12" customHeight="1" x14ac:dyDescent="0.35">
      <c r="I35" s="407" t="str">
        <f>H3&amp;" + "&amp;H6&amp;" + "&amp;H9&amp;" + "&amp;H12&amp;" + "&amp;H32</f>
        <v>c13.1 + c13.2 + c13.3 + c13.4 + c13.8</v>
      </c>
    </row>
    <row r="36" spans="2:11" ht="12" customHeight="1" x14ac:dyDescent="0.35">
      <c r="B36" s="146" t="s">
        <v>4145</v>
      </c>
      <c r="H36" s="821" t="str">
        <f>A9</f>
        <v>c13.9</v>
      </c>
      <c r="I36" s="818">
        <f>I3+I6+I9+I12+I32</f>
        <v>0</v>
      </c>
    </row>
    <row r="38" spans="2:11" x14ac:dyDescent="0.35">
      <c r="B38" s="146" t="s">
        <v>4143</v>
      </c>
      <c r="I38" s="109" t="str">
        <f>'Tax due (c12)'!I81&amp;" minus "&amp;H36</f>
        <v>c12.21 minus c13.9</v>
      </c>
    </row>
    <row r="39" spans="2:11" x14ac:dyDescent="0.35">
      <c r="B39" s="146" t="s">
        <v>4144</v>
      </c>
      <c r="H39" s="821" t="str">
        <f>A10</f>
        <v>c13.10</v>
      </c>
      <c r="I39" s="1640">
        <f>'Tax due (c12)'!J81-I36</f>
        <v>0</v>
      </c>
      <c r="J39" s="831" t="s">
        <v>1590</v>
      </c>
      <c r="K39" s="837"/>
    </row>
    <row r="41" spans="2:11" x14ac:dyDescent="0.35">
      <c r="B41" s="146" t="s">
        <v>6286</v>
      </c>
      <c r="I41" s="433" t="str">
        <f>'Tax due (c12)'!I55&amp;" minus ("&amp;'Tax due (c12)'!F16&amp;" + "&amp;'Tax due (c12)'!F28&amp;" + "&amp;'POAs (c13)'!H32&amp;" + "&amp;NRD&amp;NRD!K23&amp;")"</f>
        <v>c12.16 minus (c12.3 + c12.7 + c13.8 + NRD36)</v>
      </c>
    </row>
    <row r="42" spans="2:11" x14ac:dyDescent="0.35">
      <c r="B42" s="146" t="s">
        <v>6648</v>
      </c>
      <c r="H42" s="821" t="str">
        <f>A11</f>
        <v>c13.11</v>
      </c>
      <c r="I42" s="1640">
        <f>'Tax due (c12)'!J55-('Tax due (c12)'!G16+'Tax due (c12)'!G28+I32+NRD!L24)</f>
        <v>0</v>
      </c>
      <c r="J42" s="831" t="s">
        <v>1590</v>
      </c>
      <c r="K42" s="837"/>
    </row>
    <row r="44" spans="2:11" x14ac:dyDescent="0.35">
      <c r="E44" s="110" t="str">
        <f>"if box "&amp;H42&amp;" is &lt; "&amp;DOLLAR(POA_limit,0)</f>
        <v>if box c13.11 is &lt; £1,000</v>
      </c>
    </row>
    <row r="45" spans="2:11" x14ac:dyDescent="0.35">
      <c r="E45" s="110" t="str">
        <f>"set boxes "&amp;H48&amp;" to "&amp;H71&amp;" to 0 (zero)"</f>
        <v>set boxes c13.12 to c13.16 to 0 (zero)</v>
      </c>
    </row>
    <row r="46" spans="2:11" x14ac:dyDescent="0.35">
      <c r="E46" s="146" t="s">
        <v>2520</v>
      </c>
    </row>
    <row r="47" spans="2:11" x14ac:dyDescent="0.35">
      <c r="B47" s="146" t="s">
        <v>5479</v>
      </c>
      <c r="H47" s="146" t="str">
        <f>'Tax adj (c9)'!L83&amp;" + "&amp;'Tax adj (c9)'!I89&amp;" + "&amp;'Tax due (c12)'!I5&amp;" + "&amp;'Tax due (c12)'!F8&amp;" + "&amp;'Tax due (c12)'!F31&amp;" + "&amp;'Tax due (c12)'!F34&amp;" + "&amp;'Tax due (c12)'!F37&amp;" + "&amp;'Tax due (c12)'!F40&amp;" minus "&amp;NRD&amp;NRD!K23</f>
        <v>c9.25 + c9.27 + c12.1 + c12.2 + c12.8 + c12.9 + c12.10 + c12.11 minus NRD36</v>
      </c>
      <c r="I47" s="153"/>
    </row>
    <row r="48" spans="2:11" ht="15" x14ac:dyDescent="0.4">
      <c r="B48" s="146" t="s">
        <v>739</v>
      </c>
      <c r="H48" s="821" t="str">
        <f>A12</f>
        <v>c13.12</v>
      </c>
      <c r="I48" s="818">
        <f>IF(I42&lt;1000,0,'Tax adj (c9)'!M83+'Tax adj (c9)'!J89+'Tax due (c12)'!J5+'Tax due (c12)'!G8+'Tax due (c12)'!G31+'Tax due (c12)'!G34+'Tax due (c12)'!G37+'Tax due (c12)'!G40-NRD!L24)</f>
        <v>0</v>
      </c>
      <c r="K48" s="1042"/>
    </row>
    <row r="49" spans="2:11" x14ac:dyDescent="0.35">
      <c r="K49" s="1043"/>
    </row>
    <row r="50" spans="2:11" x14ac:dyDescent="0.35">
      <c r="I50" s="109" t="str">
        <f>H48&amp;" x 20%"</f>
        <v>c13.12 x 20%</v>
      </c>
    </row>
    <row r="51" spans="2:11" x14ac:dyDescent="0.35">
      <c r="H51" s="821" t="str">
        <f>A13</f>
        <v>c13.13</v>
      </c>
      <c r="I51" s="818">
        <f>IF(I42&lt;1000,0,I48*20%)</f>
        <v>0</v>
      </c>
    </row>
    <row r="53" spans="2:11" x14ac:dyDescent="0.35">
      <c r="I53" s="764" t="str">
        <f>"if box "&amp;CAL&amp;CAL!C14&amp;" ticked "</f>
        <v xml:space="preserve">if box CAL10 ticked </v>
      </c>
    </row>
    <row r="54" spans="2:11" x14ac:dyDescent="0.35">
      <c r="B54" s="110" t="s">
        <v>2548</v>
      </c>
      <c r="I54" s="764" t="str">
        <f>H58&amp;" = box "&amp;CAL&amp;CAL!G14</f>
        <v>c13.14 = box CAL11</v>
      </c>
    </row>
    <row r="55" spans="2:11" x14ac:dyDescent="0.35">
      <c r="I55" s="764" t="s">
        <v>2520</v>
      </c>
    </row>
    <row r="56" spans="2:11" x14ac:dyDescent="0.35">
      <c r="I56" s="764" t="str">
        <f>H58&amp;" = 0 (zero)"</f>
        <v>c13.14 = 0 (zero)</v>
      </c>
    </row>
    <row r="57" spans="2:11" x14ac:dyDescent="0.35">
      <c r="I57" s="764" t="s">
        <v>2638</v>
      </c>
    </row>
    <row r="58" spans="2:11" x14ac:dyDescent="0.35">
      <c r="G58" s="764"/>
      <c r="H58" s="821" t="str">
        <f>A14</f>
        <v>c13.14</v>
      </c>
      <c r="I58" s="818">
        <f>IF(I42&lt;1000,0,IF(claim_to_reduce,CAL!H15,0))</f>
        <v>0</v>
      </c>
    </row>
    <row r="60" spans="2:11" x14ac:dyDescent="0.35">
      <c r="I60" s="109" t="str">
        <f>H42&amp;" x 50%"</f>
        <v>c13.11 x 50%</v>
      </c>
    </row>
    <row r="61" spans="2:11" x14ac:dyDescent="0.35">
      <c r="H61" s="821" t="str">
        <f>A15</f>
        <v>c13.15</v>
      </c>
      <c r="I61" s="818">
        <f>IF(I42&lt;1000,0,TRUNC(I42*50%,2))</f>
        <v>0</v>
      </c>
    </row>
    <row r="63" spans="2:11" x14ac:dyDescent="0.35">
      <c r="E63" s="109" t="str">
        <f>"if box "&amp;H51&amp;" minus "&amp;H42&amp;" = 0"</f>
        <v>if box c13.13 minus c13.11 = 0</v>
      </c>
    </row>
    <row r="64" spans="2:11" x14ac:dyDescent="0.35">
      <c r="E64" s="109" t="str">
        <f>H71&amp;" = 0"</f>
        <v>c13.16 = 0</v>
      </c>
    </row>
    <row r="65" spans="2:11" x14ac:dyDescent="0.35">
      <c r="E65" s="146" t="s">
        <v>2520</v>
      </c>
    </row>
    <row r="66" spans="2:11" x14ac:dyDescent="0.35">
      <c r="I66" s="109" t="str">
        <f>"if box "&amp;CAL&amp;CAL!C14&amp;" ticked "</f>
        <v xml:space="preserve">if box CAL10 ticked </v>
      </c>
    </row>
    <row r="67" spans="2:11" x14ac:dyDescent="0.35">
      <c r="I67" s="986" t="str">
        <f>H71&amp;" = lower of "&amp;H58&amp;" and "&amp;H61</f>
        <v>c13.16 = lower of c13.14 and c13.15</v>
      </c>
    </row>
    <row r="68" spans="2:11" x14ac:dyDescent="0.35">
      <c r="I68" s="146" t="s">
        <v>2520</v>
      </c>
    </row>
    <row r="69" spans="2:11" x14ac:dyDescent="0.35">
      <c r="I69" s="109" t="str">
        <f>H71&amp;" = "&amp;H61</f>
        <v>c13.16 = c13.15</v>
      </c>
    </row>
    <row r="70" spans="2:11" x14ac:dyDescent="0.35">
      <c r="I70" s="146" t="s">
        <v>3508</v>
      </c>
    </row>
    <row r="71" spans="2:11" ht="12.75" x14ac:dyDescent="0.35">
      <c r="B71" s="22" t="str">
        <f>"Each POA for "&amp;next_year</f>
        <v>Each POA for 2018-19</v>
      </c>
      <c r="D71" s="1462"/>
      <c r="H71" s="821" t="str">
        <f>A16</f>
        <v>c13.16</v>
      </c>
      <c r="I71" s="818">
        <f>IF(I42&lt;1000,0,IF(I42&lt;POA_limit,0,IF(I51&gt;I42,0,IF(claim_to_reduce,MIN(I58,I61),I61))))</f>
        <v>0</v>
      </c>
    </row>
    <row r="72" spans="2:11" x14ac:dyDescent="0.35">
      <c r="E72" s="986" t="s">
        <v>2638</v>
      </c>
    </row>
    <row r="73" spans="2:11" x14ac:dyDescent="0.35">
      <c r="E73" s="146" t="s">
        <v>2638</v>
      </c>
    </row>
    <row r="74" spans="2:11" x14ac:dyDescent="0.35">
      <c r="B74" s="786" t="str">
        <f>"Total Amount Payable on 31 January "&amp;BCD_year</f>
        <v>Total Amount Payable on 31 January 2019</v>
      </c>
      <c r="F74" s="1462"/>
      <c r="I74" s="109" t="str">
        <f>H39&amp;" + "&amp;H71</f>
        <v>c13.10 + c13.16</v>
      </c>
    </row>
    <row r="75" spans="2:11" x14ac:dyDescent="0.35">
      <c r="H75" s="821" t="str">
        <f>A17</f>
        <v>c13.17</v>
      </c>
      <c r="I75" s="1640">
        <f>I39+I71</f>
        <v>0</v>
      </c>
      <c r="J75" s="831" t="s">
        <v>1590</v>
      </c>
      <c r="K75" s="838"/>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99"/>
  </sheetPr>
  <dimension ref="A1:Z149"/>
  <sheetViews>
    <sheetView showGridLines="0" topLeftCell="B139" workbookViewId="0">
      <selection activeCell="O128" sqref="O128"/>
    </sheetView>
  </sheetViews>
  <sheetFormatPr defaultColWidth="9.1328125" defaultRowHeight="11.65" x14ac:dyDescent="0.35"/>
  <cols>
    <col min="1" max="1" width="6.59765625" style="40" hidden="1" customWidth="1"/>
    <col min="2" max="2" width="2.73046875" style="40" customWidth="1"/>
    <col min="3" max="3" width="7.265625" style="40" customWidth="1"/>
    <col min="4" max="4" width="14.1328125" style="40" customWidth="1"/>
    <col min="5" max="5" width="4.73046875" style="40" customWidth="1"/>
    <col min="6" max="6" width="11.3984375" style="40" customWidth="1"/>
    <col min="7" max="8" width="5.86328125" style="40" customWidth="1"/>
    <col min="9" max="9" width="12.3984375" style="40" customWidth="1"/>
    <col min="10" max="10" width="3.1328125" style="40" customWidth="1"/>
    <col min="11" max="11" width="6.59765625" style="40" customWidth="1"/>
    <col min="12" max="12" width="13.265625" style="40" customWidth="1"/>
    <col min="13" max="13" width="6.1328125" style="40" customWidth="1"/>
    <col min="14" max="14" width="32.3984375" style="40" customWidth="1"/>
    <col min="15" max="15" width="10.86328125" style="40" customWidth="1"/>
    <col min="16" max="16" width="1.86328125" style="40" customWidth="1"/>
    <col min="17" max="17" width="4.73046875" style="40" customWidth="1"/>
    <col min="18" max="18" width="11" style="40" customWidth="1"/>
    <col min="19" max="19" width="2.86328125" style="41" customWidth="1"/>
    <col min="20" max="20" width="9" style="41" customWidth="1"/>
    <col min="21" max="21" width="9.1328125" style="40"/>
    <col min="22" max="23" width="4.73046875" style="40" customWidth="1"/>
    <col min="24" max="24" width="9.1328125" style="40"/>
    <col min="25" max="26" width="4.73046875" style="40" customWidth="1"/>
    <col min="27" max="16384" width="9.1328125" style="40"/>
  </cols>
  <sheetData>
    <row r="1" spans="1:18" ht="17.649999999999999" x14ac:dyDescent="0.5">
      <c r="A1" s="117" t="s">
        <v>3152</v>
      </c>
      <c r="B1" s="43"/>
      <c r="C1" s="1364" t="str">
        <f>"Calculate personal allowance due if your income is "&amp;DOLLAR(PA_taper_limit,0)&amp;" or more"</f>
        <v>Calculate personal allowance due if your income is £100,000 or more</v>
      </c>
      <c r="D1" s="146"/>
      <c r="E1" s="146"/>
      <c r="F1" s="146"/>
      <c r="G1" s="146"/>
      <c r="H1" s="146"/>
      <c r="I1" s="146"/>
      <c r="J1" s="146"/>
      <c r="K1" s="146"/>
      <c r="L1" s="146"/>
      <c r="M1" s="146"/>
      <c r="N1" s="146"/>
      <c r="O1" s="43"/>
      <c r="P1" s="43"/>
      <c r="Q1" s="43"/>
      <c r="R1" s="43"/>
    </row>
    <row r="2" spans="1:18" x14ac:dyDescent="0.35">
      <c r="A2" s="117" t="s">
        <v>3153</v>
      </c>
      <c r="B2" s="146"/>
      <c r="C2" s="146"/>
      <c r="D2" s="146"/>
      <c r="E2" s="146"/>
      <c r="F2" s="146"/>
      <c r="G2" s="146"/>
      <c r="H2" s="146"/>
      <c r="I2" s="146"/>
      <c r="J2" s="146"/>
      <c r="K2" s="146"/>
      <c r="L2" s="146"/>
      <c r="M2" s="146"/>
      <c r="N2" s="146"/>
      <c r="O2" s="146"/>
      <c r="P2" s="43"/>
      <c r="Q2" s="43"/>
      <c r="R2" s="43"/>
    </row>
    <row r="3" spans="1:18" x14ac:dyDescent="0.35">
      <c r="A3" s="117" t="s">
        <v>4077</v>
      </c>
      <c r="B3" s="43"/>
      <c r="C3" s="43"/>
      <c r="D3" s="146"/>
      <c r="E3" s="756" t="s">
        <v>1955</v>
      </c>
      <c r="F3" s="472"/>
      <c r="G3" s="472"/>
      <c r="H3" s="472"/>
      <c r="I3" s="445"/>
      <c r="J3" s="43"/>
      <c r="K3" s="146"/>
      <c r="L3" s="146"/>
      <c r="M3" s="146"/>
      <c r="N3" s="146"/>
      <c r="O3" s="146"/>
      <c r="P3" s="43"/>
      <c r="Q3" s="43"/>
      <c r="R3" s="43"/>
    </row>
    <row r="4" spans="1:18" x14ac:dyDescent="0.35">
      <c r="A4" s="117" t="s">
        <v>3208</v>
      </c>
      <c r="B4" s="43"/>
      <c r="C4" s="146"/>
      <c r="D4" s="146"/>
      <c r="E4" s="146"/>
      <c r="F4" s="146"/>
      <c r="G4" s="146"/>
      <c r="H4" s="146"/>
      <c r="I4" s="146"/>
      <c r="J4" s="146"/>
      <c r="K4" s="146"/>
      <c r="L4" s="146"/>
      <c r="M4" s="146"/>
      <c r="N4" s="146"/>
      <c r="O4" s="146"/>
      <c r="P4" s="43"/>
      <c r="Q4" s="43"/>
      <c r="R4" s="43"/>
    </row>
    <row r="5" spans="1:18" x14ac:dyDescent="0.35">
      <c r="A5" s="117" t="s">
        <v>3209</v>
      </c>
      <c r="B5" s="43"/>
      <c r="C5" s="43"/>
      <c r="D5" s="43"/>
      <c r="E5" s="43"/>
      <c r="F5" s="43"/>
      <c r="G5" s="43"/>
      <c r="H5" s="43"/>
      <c r="I5" s="43"/>
      <c r="J5" s="43"/>
      <c r="K5" s="43"/>
      <c r="L5" s="44" t="str">
        <f>"from "&amp;'Deductions (c4)'!H176</f>
        <v>from c4.63</v>
      </c>
      <c r="M5" s="43"/>
      <c r="N5" s="146"/>
      <c r="O5" s="146"/>
      <c r="P5" s="146"/>
      <c r="Q5" s="146"/>
      <c r="R5" s="146"/>
    </row>
    <row r="6" spans="1:18" x14ac:dyDescent="0.35">
      <c r="A6" s="117" t="s">
        <v>2697</v>
      </c>
      <c r="B6" s="43"/>
      <c r="C6" s="42" t="s">
        <v>4482</v>
      </c>
      <c r="D6" s="43"/>
      <c r="E6" s="43"/>
      <c r="F6" s="43"/>
      <c r="G6" s="43"/>
      <c r="H6" s="43"/>
      <c r="I6" s="43"/>
      <c r="J6" s="146"/>
      <c r="K6" s="826" t="str">
        <f>A1</f>
        <v>c14.1</v>
      </c>
      <c r="L6" s="420">
        <f>TRUNC(MAX(0,'Deductions (c4)'!I176),0)</f>
        <v>0</v>
      </c>
      <c r="M6" s="43"/>
      <c r="N6" s="146"/>
      <c r="O6" s="146"/>
      <c r="P6" s="146"/>
      <c r="Q6" s="146"/>
      <c r="R6" s="146"/>
    </row>
    <row r="7" spans="1:18" x14ac:dyDescent="0.35">
      <c r="A7" s="117" t="s">
        <v>2698</v>
      </c>
      <c r="B7" s="43"/>
      <c r="C7" s="146"/>
      <c r="D7" s="146"/>
      <c r="E7" s="146"/>
      <c r="F7" s="146"/>
      <c r="G7" s="146"/>
      <c r="H7" s="146"/>
      <c r="I7" s="146"/>
      <c r="J7" s="146"/>
      <c r="K7" s="146"/>
      <c r="L7" s="146"/>
      <c r="M7" s="43"/>
      <c r="N7" s="146"/>
      <c r="O7" s="146"/>
      <c r="P7" s="146"/>
      <c r="Q7" s="146"/>
      <c r="R7" s="146"/>
    </row>
    <row r="8" spans="1:18" x14ac:dyDescent="0.35">
      <c r="A8" s="117" t="s">
        <v>1886</v>
      </c>
      <c r="B8" s="43"/>
      <c r="C8" s="146"/>
      <c r="D8" s="146"/>
      <c r="E8" s="146"/>
      <c r="F8" s="146"/>
      <c r="G8" s="146"/>
      <c r="H8" s="146"/>
      <c r="I8" s="146"/>
      <c r="J8" s="146"/>
      <c r="K8" s="146"/>
      <c r="L8" s="109" t="s">
        <v>2559</v>
      </c>
      <c r="M8" s="43"/>
      <c r="N8" s="146"/>
      <c r="O8" s="146"/>
      <c r="P8" s="146"/>
      <c r="Q8" s="146"/>
      <c r="R8" s="146"/>
    </row>
    <row r="9" spans="1:18" x14ac:dyDescent="0.35">
      <c r="A9" s="117" t="s">
        <v>1887</v>
      </c>
      <c r="B9" s="43"/>
      <c r="C9" s="42" t="s">
        <v>2405</v>
      </c>
      <c r="D9" s="43"/>
      <c r="E9" s="43"/>
      <c r="F9" s="43"/>
      <c r="G9" s="43"/>
      <c r="H9" s="146"/>
      <c r="I9" s="146"/>
      <c r="J9" s="146"/>
      <c r="K9" s="826" t="str">
        <f>A2</f>
        <v>c14.2</v>
      </c>
      <c r="L9" s="847">
        <f>PA_taper_limit</f>
        <v>100000</v>
      </c>
      <c r="M9" s="43"/>
      <c r="N9" s="146"/>
      <c r="O9" s="146"/>
      <c r="P9" s="146"/>
      <c r="Q9" s="146"/>
      <c r="R9" s="146"/>
    </row>
    <row r="10" spans="1:18" x14ac:dyDescent="0.35">
      <c r="A10" s="117" t="s">
        <v>1888</v>
      </c>
      <c r="B10" s="43"/>
      <c r="C10" s="42"/>
      <c r="D10" s="43"/>
      <c r="E10" s="43"/>
      <c r="F10" s="43"/>
      <c r="G10" s="43"/>
      <c r="H10" s="43"/>
      <c r="I10" s="43"/>
      <c r="J10" s="146"/>
      <c r="K10" s="43"/>
      <c r="L10" s="43"/>
      <c r="M10" s="43"/>
      <c r="N10" s="146"/>
      <c r="O10" s="146"/>
      <c r="P10" s="146"/>
      <c r="Q10" s="146"/>
      <c r="R10" s="146"/>
    </row>
    <row r="11" spans="1:18" x14ac:dyDescent="0.35">
      <c r="A11" s="117" t="s">
        <v>1889</v>
      </c>
      <c r="B11" s="43"/>
      <c r="C11" s="146"/>
      <c r="D11" s="146"/>
      <c r="E11" s="146"/>
      <c r="F11" s="146"/>
      <c r="G11" s="146"/>
      <c r="H11" s="146"/>
      <c r="I11" s="146"/>
      <c r="J11" s="146"/>
      <c r="K11" s="43"/>
      <c r="L11" s="44" t="str">
        <f>K6&amp;" minus "&amp;K9</f>
        <v>c14.1 minus c14.2</v>
      </c>
      <c r="M11" s="43"/>
      <c r="N11" s="146"/>
      <c r="O11" s="146"/>
      <c r="P11" s="146"/>
      <c r="Q11" s="146"/>
      <c r="R11" s="146"/>
    </row>
    <row r="12" spans="1:18" x14ac:dyDescent="0.35">
      <c r="A12" s="117" t="s">
        <v>650</v>
      </c>
      <c r="B12" s="43"/>
      <c r="C12" s="146"/>
      <c r="D12" s="146"/>
      <c r="E12" s="146"/>
      <c r="F12" s="146"/>
      <c r="G12" s="146"/>
      <c r="H12" s="146"/>
      <c r="I12" s="146"/>
      <c r="J12" s="146"/>
      <c r="K12" s="826" t="str">
        <f>A3</f>
        <v>c14.3</v>
      </c>
      <c r="L12" s="420">
        <f>MAX(0,L6-L9)</f>
        <v>0</v>
      </c>
      <c r="M12" s="43"/>
      <c r="N12" s="146"/>
      <c r="O12" s="146"/>
      <c r="P12" s="146"/>
      <c r="Q12" s="146"/>
      <c r="R12" s="146"/>
    </row>
    <row r="13" spans="1:18" x14ac:dyDescent="0.35">
      <c r="A13" s="117" t="s">
        <v>2199</v>
      </c>
      <c r="B13" s="43"/>
      <c r="C13" s="146"/>
      <c r="D13" s="146"/>
      <c r="E13" s="146"/>
      <c r="F13" s="146"/>
      <c r="G13" s="146"/>
      <c r="H13" s="146"/>
      <c r="I13" s="146"/>
      <c r="J13" s="146"/>
      <c r="K13" s="146"/>
      <c r="L13" s="146"/>
      <c r="M13" s="43"/>
      <c r="N13" s="146"/>
      <c r="O13" s="146"/>
      <c r="P13" s="146"/>
      <c r="Q13" s="146"/>
      <c r="R13" s="146"/>
    </row>
    <row r="14" spans="1:18" x14ac:dyDescent="0.35">
      <c r="A14" s="117" t="s">
        <v>2200</v>
      </c>
      <c r="B14" s="43"/>
      <c r="C14" s="60" t="s">
        <v>3375</v>
      </c>
      <c r="D14" s="1141"/>
      <c r="E14" s="1141"/>
      <c r="F14" s="1141"/>
      <c r="G14" s="1141"/>
      <c r="H14" s="1141"/>
      <c r="I14" s="1141"/>
      <c r="J14" s="1141"/>
      <c r="K14" s="1142"/>
      <c r="L14" s="1463" t="str">
        <f>"P_A ("&amp;DOLLAR(P_A,0)&amp;")"</f>
        <v>P_A (£11,500)</v>
      </c>
      <c r="M14" s="43"/>
      <c r="N14" s="146"/>
      <c r="O14" s="146"/>
      <c r="P14" s="146"/>
      <c r="Q14" s="146"/>
      <c r="R14" s="146"/>
    </row>
    <row r="15" spans="1:18" x14ac:dyDescent="0.35">
      <c r="A15" s="117" t="s">
        <v>2201</v>
      </c>
      <c r="B15" s="43"/>
      <c r="C15" s="2596"/>
      <c r="D15" s="1134"/>
      <c r="E15" s="1134"/>
      <c r="F15" s="1134"/>
      <c r="G15" s="1134"/>
      <c r="H15" s="1134"/>
      <c r="I15" s="1134"/>
      <c r="J15" s="1142"/>
      <c r="K15" s="826" t="str">
        <f>A4</f>
        <v>c14.4</v>
      </c>
      <c r="L15" s="420">
        <f>P_A</f>
        <v>11500</v>
      </c>
      <c r="M15" s="43"/>
      <c r="N15" s="146"/>
      <c r="O15" s="146"/>
      <c r="P15" s="146"/>
      <c r="Q15" s="146"/>
      <c r="R15" s="146"/>
    </row>
    <row r="16" spans="1:18" x14ac:dyDescent="0.35">
      <c r="A16" s="117" t="s">
        <v>2404</v>
      </c>
      <c r="B16" s="43"/>
      <c r="C16" s="1134"/>
      <c r="D16" s="1141"/>
      <c r="E16" s="1141"/>
      <c r="F16" s="1141"/>
      <c r="G16" s="1141"/>
      <c r="H16" s="1141"/>
      <c r="I16" s="1141"/>
      <c r="J16" s="1141"/>
      <c r="K16" s="146"/>
      <c r="L16" s="146"/>
      <c r="M16" s="43"/>
      <c r="N16" s="146"/>
      <c r="O16" s="146"/>
      <c r="P16" s="146"/>
      <c r="Q16" s="146"/>
      <c r="R16" s="146"/>
    </row>
    <row r="17" spans="2:26" x14ac:dyDescent="0.35">
      <c r="B17" s="43"/>
      <c r="C17" s="146"/>
      <c r="D17" s="146"/>
      <c r="E17" s="146"/>
      <c r="F17" s="146"/>
      <c r="G17" s="146"/>
      <c r="H17" s="146"/>
      <c r="I17" s="146"/>
      <c r="J17" s="146"/>
      <c r="K17" s="43"/>
      <c r="L17" s="44" t="str">
        <f>K12&amp;" x AA_excess ("&amp;AA_excess * 100&amp;"%)"</f>
        <v>c14.3 x AA_excess (50%)</v>
      </c>
      <c r="M17" s="146"/>
      <c r="N17" s="146"/>
      <c r="O17" s="146"/>
      <c r="P17" s="146"/>
      <c r="Q17" s="146"/>
      <c r="R17" s="146"/>
    </row>
    <row r="18" spans="2:26" x14ac:dyDescent="0.35">
      <c r="B18" s="43"/>
      <c r="C18" s="43"/>
      <c r="D18" s="43"/>
      <c r="E18" s="43"/>
      <c r="F18" s="43"/>
      <c r="G18" s="43"/>
      <c r="H18" s="146"/>
      <c r="I18" s="146"/>
      <c r="J18" s="146"/>
      <c r="K18" s="826" t="str">
        <f>A5</f>
        <v>c14.5</v>
      </c>
      <c r="L18" s="420">
        <f>TRUNC(L12*AA_excess,0)</f>
        <v>0</v>
      </c>
      <c r="M18" s="1084" t="s">
        <v>1837</v>
      </c>
      <c r="N18" s="146"/>
      <c r="O18" s="146"/>
      <c r="P18" s="146"/>
      <c r="Q18" s="146"/>
      <c r="R18" s="146"/>
    </row>
    <row r="19" spans="2:26" x14ac:dyDescent="0.35">
      <c r="B19" s="43"/>
      <c r="C19" s="43"/>
      <c r="D19" s="43"/>
      <c r="E19" s="43"/>
      <c r="F19" s="43"/>
      <c r="G19" s="146"/>
      <c r="H19" s="146"/>
      <c r="I19" s="146"/>
      <c r="J19" s="43"/>
      <c r="K19" s="146"/>
      <c r="L19" s="146"/>
      <c r="M19" s="146"/>
      <c r="N19" s="146"/>
      <c r="O19" s="146"/>
      <c r="P19" s="146"/>
      <c r="Q19" s="146"/>
      <c r="R19" s="146"/>
    </row>
    <row r="20" spans="2:26" x14ac:dyDescent="0.35">
      <c r="B20" s="146"/>
      <c r="C20" s="2597" t="s">
        <v>6548</v>
      </c>
      <c r="D20" s="1858"/>
      <c r="E20" s="1858"/>
      <c r="F20" s="1858"/>
      <c r="G20" s="1858"/>
      <c r="H20" s="1858"/>
      <c r="I20" s="1858"/>
      <c r="J20" s="1858"/>
      <c r="K20" s="1858"/>
      <c r="L20" s="1858"/>
      <c r="M20" s="2598"/>
    </row>
    <row r="21" spans="2:26" x14ac:dyDescent="0.35">
      <c r="B21" s="146"/>
      <c r="C21" s="1230"/>
      <c r="D21" s="1156"/>
      <c r="E21" s="1156"/>
      <c r="F21" s="1156"/>
      <c r="G21" s="1156"/>
      <c r="H21" s="1156"/>
      <c r="I21" s="1156"/>
      <c r="J21" s="1156"/>
      <c r="K21" s="1156"/>
      <c r="L21" s="2599" t="s">
        <v>6547</v>
      </c>
      <c r="M21" s="1231"/>
    </row>
    <row r="22" spans="2:26" x14ac:dyDescent="0.35">
      <c r="B22" s="146"/>
      <c r="C22" s="1230"/>
      <c r="D22" s="1156"/>
      <c r="E22" s="1156"/>
      <c r="F22" s="1156"/>
      <c r="G22" s="1156"/>
      <c r="H22" s="1156"/>
      <c r="I22" s="1156"/>
      <c r="J22" s="1156"/>
      <c r="K22" s="2600"/>
      <c r="L22" s="1986">
        <f>IF(in_year_rept,'Add pages'!H36,0)</f>
        <v>0</v>
      </c>
      <c r="M22" s="1231"/>
    </row>
    <row r="23" spans="2:26" x14ac:dyDescent="0.35">
      <c r="B23" s="146"/>
      <c r="C23" s="1232"/>
      <c r="D23" s="1233"/>
      <c r="E23" s="1233"/>
      <c r="F23" s="1233"/>
      <c r="G23" s="1233"/>
      <c r="H23" s="1233"/>
      <c r="I23" s="1233"/>
      <c r="J23" s="1233"/>
      <c r="K23" s="1233"/>
      <c r="L23" s="1233"/>
      <c r="M23" s="1234"/>
    </row>
    <row r="24" spans="2:26" x14ac:dyDescent="0.35">
      <c r="B24" s="146"/>
      <c r="C24" s="146"/>
      <c r="D24" s="146"/>
      <c r="E24" s="146"/>
      <c r="F24" s="146"/>
      <c r="G24" s="146"/>
      <c r="H24" s="146"/>
      <c r="I24" s="146"/>
      <c r="J24" s="146"/>
      <c r="K24" s="146"/>
      <c r="L24" s="146"/>
      <c r="M24" s="146"/>
    </row>
    <row r="25" spans="2:26" x14ac:dyDescent="0.35">
      <c r="B25" s="43"/>
      <c r="C25" s="43"/>
      <c r="D25" s="43"/>
      <c r="E25" s="43"/>
      <c r="F25" s="43"/>
      <c r="G25" s="43"/>
      <c r="H25" s="43"/>
      <c r="I25" s="43"/>
      <c r="J25" s="43"/>
      <c r="K25" s="43"/>
      <c r="L25" s="44" t="str">
        <f>K15&amp;" minus "&amp;K18</f>
        <v>c14.4 minus c14.5</v>
      </c>
      <c r="M25" s="146"/>
    </row>
    <row r="26" spans="2:26" x14ac:dyDescent="0.35">
      <c r="B26" s="43"/>
      <c r="C26" s="43" t="s">
        <v>6357</v>
      </c>
      <c r="D26" s="43"/>
      <c r="E26" s="146"/>
      <c r="F26" s="43"/>
      <c r="G26" s="43"/>
      <c r="H26" s="43"/>
      <c r="I26" s="43"/>
      <c r="J26" s="43"/>
      <c r="K26" s="826" t="str">
        <f>A6</f>
        <v>c14.6</v>
      </c>
      <c r="L26" s="420">
        <f>IF(in_year_rept,MIN(L22,MAX(0,L15-L18)),MAX(0,L15-L18))</f>
        <v>11500</v>
      </c>
      <c r="M26" s="146"/>
      <c r="N26" s="146"/>
      <c r="O26" s="146"/>
      <c r="P26" s="146"/>
      <c r="Q26" s="146"/>
      <c r="R26" s="146"/>
    </row>
    <row r="27" spans="2:26" x14ac:dyDescent="0.35">
      <c r="B27" s="43"/>
      <c r="C27" s="43"/>
      <c r="D27" s="43"/>
      <c r="E27" s="43"/>
      <c r="F27" s="43"/>
      <c r="G27" s="43"/>
      <c r="H27" s="43"/>
      <c r="I27" s="43"/>
      <c r="J27" s="43"/>
      <c r="K27" s="146"/>
      <c r="L27" s="717" t="str">
        <f>"copy to box "&amp;'Deductions (c4)'!H196</f>
        <v>copy to box c4.64</v>
      </c>
      <c r="M27" s="146"/>
      <c r="N27" s="146"/>
      <c r="O27" s="146"/>
      <c r="P27" s="146"/>
      <c r="Q27" s="146"/>
      <c r="R27" s="146"/>
    </row>
    <row r="28" spans="2:26" x14ac:dyDescent="0.35">
      <c r="B28" s="43"/>
      <c r="C28" s="760"/>
      <c r="D28" s="760"/>
      <c r="E28" s="760"/>
      <c r="F28" s="760"/>
      <c r="G28" s="760"/>
      <c r="H28" s="760"/>
      <c r="I28" s="760"/>
      <c r="J28" s="760"/>
      <c r="K28" s="760"/>
      <c r="L28" s="760"/>
      <c r="M28" s="760"/>
      <c r="N28" s="760"/>
      <c r="O28" s="760"/>
      <c r="P28" s="760"/>
      <c r="Q28" s="760"/>
      <c r="R28" s="760"/>
      <c r="S28" s="760"/>
      <c r="T28" s="760"/>
      <c r="U28" s="760"/>
      <c r="V28" s="760"/>
      <c r="W28" s="760"/>
      <c r="X28" s="760"/>
      <c r="Y28" s="760"/>
      <c r="Z28" s="760"/>
    </row>
    <row r="29" spans="2:26" x14ac:dyDescent="0.35">
      <c r="B29" s="43"/>
      <c r="C29" s="43"/>
      <c r="D29" s="43"/>
      <c r="E29" s="43"/>
      <c r="F29" s="43"/>
      <c r="G29" s="43"/>
      <c r="H29" s="43"/>
      <c r="I29" s="43"/>
      <c r="J29" s="43"/>
      <c r="K29" s="43"/>
      <c r="L29" s="43"/>
      <c r="M29" s="43"/>
      <c r="N29" s="43"/>
      <c r="O29" s="43"/>
      <c r="P29" s="43"/>
      <c r="Q29" s="43"/>
      <c r="R29" s="43"/>
      <c r="S29" s="43"/>
      <c r="T29" s="43"/>
      <c r="U29" s="43"/>
      <c r="V29" s="43"/>
      <c r="W29" s="43"/>
      <c r="X29" s="43"/>
      <c r="Y29" s="43"/>
      <c r="Z29" s="43"/>
    </row>
    <row r="30" spans="2:26" x14ac:dyDescent="0.35">
      <c r="B30" s="43"/>
      <c r="C30" s="137" t="s">
        <v>6322</v>
      </c>
      <c r="E30" s="43"/>
      <c r="F30" s="43"/>
      <c r="G30" s="43"/>
      <c r="H30" s="43"/>
      <c r="I30" s="43"/>
      <c r="J30" s="43"/>
      <c r="K30" s="43"/>
      <c r="L30" s="43"/>
      <c r="M30" s="43"/>
      <c r="N30" s="1872" t="str">
        <f>"Only complete these boxes if either you or your wife (or a former wife you were married to in "&amp;tax_year&amp;" were born before 6 April "&amp;MCA_year</f>
        <v>Only complete these boxes if either you or your wife (or a former wife you were married to in 2017-18 were born before 6 April 1935</v>
      </c>
      <c r="O30" s="1858"/>
      <c r="P30" s="1855"/>
      <c r="Q30" s="1855"/>
      <c r="R30" s="1855"/>
      <c r="S30" s="1873"/>
      <c r="T30" s="1873"/>
      <c r="U30" s="1874"/>
      <c r="V30" s="1874"/>
      <c r="W30" s="1873"/>
      <c r="X30" s="1873"/>
      <c r="Y30" s="1873"/>
      <c r="Z30" s="1875"/>
    </row>
    <row r="31" spans="2:26" x14ac:dyDescent="0.35">
      <c r="B31" s="43"/>
      <c r="C31" s="137" t="str">
        <f>"spouse or civil partner with higher income (box MCA"&amp;MCA!C4&amp;" present)"</f>
        <v>spouse or civil partner with higher income (box MCA1 present)</v>
      </c>
      <c r="E31" s="43"/>
      <c r="F31" s="43"/>
      <c r="G31" s="43"/>
      <c r="H31" s="43"/>
      <c r="I31" s="43"/>
      <c r="J31" s="43"/>
      <c r="K31" s="43"/>
      <c r="L31" s="43"/>
      <c r="M31" s="43"/>
      <c r="N31" s="1876" t="s">
        <v>1374</v>
      </c>
      <c r="O31" s="41"/>
      <c r="P31" s="43"/>
      <c r="Q31" s="43"/>
      <c r="R31" s="422"/>
      <c r="U31" s="41"/>
      <c r="V31" s="41"/>
      <c r="W31" s="41"/>
      <c r="X31" s="41"/>
      <c r="Y31" s="41"/>
      <c r="Z31" s="1877"/>
    </row>
    <row r="32" spans="2:26" x14ac:dyDescent="0.35">
      <c r="B32" s="43"/>
      <c r="C32" s="40" t="str">
        <f>"If MCA"&amp;MCA!C4&amp;" present then"</f>
        <v>If MCA1 present then</v>
      </c>
      <c r="E32" s="43"/>
      <c r="F32" s="43"/>
      <c r="G32" s="43"/>
      <c r="H32" s="43"/>
      <c r="I32" s="43"/>
      <c r="J32" s="43"/>
      <c r="K32" s="43"/>
      <c r="L32" s="43"/>
      <c r="M32" s="43"/>
      <c r="N32" s="1876" t="s">
        <v>1375</v>
      </c>
      <c r="O32" s="41"/>
      <c r="P32" s="43"/>
      <c r="Q32" s="43"/>
      <c r="R32" s="43"/>
      <c r="U32" s="41"/>
      <c r="V32" s="41"/>
      <c r="W32" s="41"/>
      <c r="X32" s="41"/>
      <c r="Y32" s="41"/>
      <c r="Z32" s="1877"/>
    </row>
    <row r="33" spans="2:26" ht="11.25" customHeight="1" x14ac:dyDescent="0.35">
      <c r="D33" s="40" t="str">
        <f>"DOB for Married Couple’s Allowance = earliest date from box "&amp;YPD&amp;'INC(1)'!C4&amp;" or box MCA"&amp;MCA!C8&amp;" or box MCA"&amp;MCA!C9</f>
        <v>DOB for Married Couple’s Allowance = earliest date from box YPD1 or box MCA2 or box MCA5</v>
      </c>
      <c r="N33" s="1878"/>
      <c r="O33" s="1879"/>
      <c r="P33" s="43"/>
      <c r="Q33" s="43"/>
      <c r="R33" s="422"/>
      <c r="U33" s="41"/>
      <c r="V33" s="41"/>
      <c r="W33" s="41"/>
      <c r="X33" s="41"/>
      <c r="Y33" s="41"/>
      <c r="Z33" s="1877"/>
    </row>
    <row r="34" spans="2:26" ht="11.25" customHeight="1" x14ac:dyDescent="0.35">
      <c r="N34" s="1880" t="str">
        <f>"Enter the maximum Married Couples Allowance from "&amp;N35</f>
        <v>Enter the maximum Married Couples Allowance from Table 1</v>
      </c>
      <c r="O34" s="1879"/>
      <c r="P34" s="43"/>
      <c r="Q34" s="43"/>
      <c r="R34" s="43"/>
      <c r="U34" s="41"/>
      <c r="V34" s="41"/>
      <c r="W34" s="41"/>
      <c r="X34" s="41"/>
      <c r="Y34" s="41"/>
      <c r="Z34" s="1877"/>
    </row>
    <row r="35" spans="2:26" ht="11.25" customHeight="1" x14ac:dyDescent="0.35">
      <c r="L35" s="90" t="str">
        <f>"If DOB for Married Couple's Allowance is Null or after 5 April "&amp;MCA_year</f>
        <v>If DOB for Married Couple's Allowance is Null or after 5 April 1935</v>
      </c>
      <c r="N35" s="2601" t="s">
        <v>707</v>
      </c>
      <c r="O35" s="1156"/>
      <c r="P35" s="41"/>
      <c r="Q35" s="41"/>
      <c r="R35" s="41"/>
      <c r="U35" s="41"/>
      <c r="V35" s="41"/>
      <c r="W35" s="41"/>
      <c r="X35" s="41"/>
      <c r="Y35" s="41"/>
      <c r="Z35" s="1877"/>
    </row>
    <row r="36" spans="2:26" ht="11.25" customHeight="1" x14ac:dyDescent="0.35">
      <c r="L36" s="90" t="str">
        <f>K41&amp;" = 0 (zero)"</f>
        <v>c15.1 = 0 (zero)</v>
      </c>
      <c r="N36" s="1872" t="s">
        <v>974</v>
      </c>
      <c r="O36" s="1881" t="s">
        <v>973</v>
      </c>
      <c r="P36" s="43"/>
      <c r="Q36" s="43"/>
      <c r="R36" s="43"/>
      <c r="U36" s="41"/>
      <c r="V36" s="41"/>
      <c r="W36" s="41"/>
      <c r="X36" s="41"/>
      <c r="Y36" s="41"/>
      <c r="Z36" s="1877"/>
    </row>
    <row r="37" spans="2:26" ht="11.25" customHeight="1" x14ac:dyDescent="0.35">
      <c r="B37" s="43"/>
      <c r="L37" s="40" t="s">
        <v>2520</v>
      </c>
      <c r="M37" s="43"/>
      <c r="N37" s="1880" t="s">
        <v>1597</v>
      </c>
      <c r="O37" s="1882" t="s">
        <v>976</v>
      </c>
      <c r="P37" s="43"/>
      <c r="Q37" s="43"/>
      <c r="R37" s="43"/>
      <c r="U37" s="41"/>
      <c r="V37" s="41"/>
      <c r="W37" s="41"/>
      <c r="X37" s="41"/>
      <c r="Y37" s="41"/>
      <c r="Z37" s="1877"/>
    </row>
    <row r="38" spans="2:26" ht="11.25" customHeight="1" x14ac:dyDescent="0.35">
      <c r="B38" s="43"/>
      <c r="L38" s="90" t="str">
        <f>"(DOB for Married Couple's Allowance is before 6 April "&amp;MCA_year&amp;")"</f>
        <v>(DOB for Married Couple's Allowance is before 6 April 1935)</v>
      </c>
      <c r="M38" s="43"/>
      <c r="N38" s="1880" t="s">
        <v>2740</v>
      </c>
      <c r="O38" s="1882" t="s">
        <v>977</v>
      </c>
      <c r="P38" s="43"/>
      <c r="Q38" s="43"/>
      <c r="R38" s="43"/>
      <c r="U38" s="41"/>
      <c r="V38" s="41"/>
      <c r="W38" s="41"/>
      <c r="X38" s="41"/>
      <c r="Y38" s="41"/>
      <c r="Z38" s="1877"/>
    </row>
    <row r="39" spans="2:26" ht="11.25" customHeight="1" x14ac:dyDescent="0.35">
      <c r="B39" s="43"/>
      <c r="C39" s="146"/>
      <c r="D39" s="146"/>
      <c r="E39" s="146"/>
      <c r="F39" s="43"/>
      <c r="G39" s="43"/>
      <c r="L39" s="1463" t="str">
        <f>K41&amp;" = H_MCA ("&amp;DOLLAR(H_MCA,0)&amp;")"</f>
        <v>c15.1 = H_MCA (£8,445)</v>
      </c>
      <c r="M39" s="43"/>
      <c r="N39" s="1880" t="s">
        <v>873</v>
      </c>
      <c r="O39" s="1882" t="s">
        <v>975</v>
      </c>
      <c r="P39" s="43"/>
      <c r="Q39" s="43"/>
      <c r="R39" s="43"/>
      <c r="U39" s="41"/>
      <c r="V39" s="41"/>
      <c r="W39" s="41"/>
      <c r="X39" s="41"/>
      <c r="Y39" s="41"/>
      <c r="Z39" s="1877"/>
    </row>
    <row r="40" spans="2:26" x14ac:dyDescent="0.35">
      <c r="B40" s="43"/>
      <c r="C40" s="146"/>
      <c r="D40" s="146"/>
      <c r="E40" s="146"/>
      <c r="F40" s="43"/>
      <c r="G40" s="43"/>
      <c r="H40" s="43"/>
      <c r="I40" s="44"/>
      <c r="J40" s="43"/>
      <c r="K40" s="43"/>
      <c r="L40" s="43" t="s">
        <v>2638</v>
      </c>
      <c r="M40" s="43"/>
      <c r="N40" s="1880"/>
      <c r="O40" s="1231"/>
      <c r="P40" s="43"/>
      <c r="Q40" s="43"/>
      <c r="R40" s="43"/>
      <c r="U40" s="41"/>
      <c r="V40" s="41"/>
      <c r="W40" s="41"/>
      <c r="X40" s="41"/>
      <c r="Y40" s="41"/>
      <c r="Z40" s="1877"/>
    </row>
    <row r="41" spans="2:26" x14ac:dyDescent="0.35">
      <c r="B41" s="43"/>
      <c r="C41" s="43" t="s">
        <v>3187</v>
      </c>
      <c r="D41" s="43"/>
      <c r="E41" s="146"/>
      <c r="F41" s="146"/>
      <c r="G41" s="146"/>
      <c r="H41" s="43"/>
      <c r="J41" s="43"/>
      <c r="K41" s="826" t="str">
        <f>A62</f>
        <v>c15.1</v>
      </c>
      <c r="L41" s="122">
        <f>IF(Older_spouse=1,H_MCA,0)</f>
        <v>0</v>
      </c>
      <c r="M41" s="43"/>
      <c r="N41" s="1880" t="str">
        <f>"After 5 April "&amp;MCA_year</f>
        <v>After 5 April 1935</v>
      </c>
      <c r="O41" s="1883">
        <v>0</v>
      </c>
      <c r="P41" s="43"/>
      <c r="Q41" s="43"/>
      <c r="R41" s="43"/>
      <c r="U41" s="41"/>
      <c r="V41" s="41"/>
      <c r="W41" s="41"/>
      <c r="X41" s="41"/>
      <c r="Y41" s="41"/>
      <c r="Z41" s="1877"/>
    </row>
    <row r="42" spans="2:26" x14ac:dyDescent="0.35">
      <c r="B42" s="43"/>
      <c r="K42" s="146"/>
      <c r="L42" s="146"/>
      <c r="M42" s="43"/>
      <c r="N42" s="1880"/>
      <c r="O42" s="1231"/>
      <c r="P42" s="43"/>
      <c r="Q42" s="43"/>
      <c r="R42" s="43"/>
      <c r="U42" s="41"/>
      <c r="V42" s="41"/>
      <c r="W42" s="41"/>
      <c r="X42" s="41"/>
      <c r="Y42" s="41"/>
      <c r="Z42" s="1877"/>
    </row>
    <row r="43" spans="2:26" x14ac:dyDescent="0.35">
      <c r="B43" s="43"/>
      <c r="C43" s="43"/>
      <c r="D43" s="43"/>
      <c r="E43" s="146"/>
      <c r="F43" s="146"/>
      <c r="G43" s="146"/>
      <c r="H43" s="146"/>
      <c r="I43" s="44" t="str">
        <f>"from "&amp;'Deductions (c4)'!H176</f>
        <v>from c4.63</v>
      </c>
      <c r="J43" s="146"/>
      <c r="K43" s="146"/>
      <c r="L43" s="146"/>
      <c r="M43" s="43"/>
      <c r="N43" s="1884" t="str">
        <f>"Before 6 April "&amp;MCA_year</f>
        <v>Before 6 April 1935</v>
      </c>
      <c r="O43" s="1871">
        <f>H_MCA</f>
        <v>8445</v>
      </c>
      <c r="P43" s="43"/>
      <c r="Q43" s="43"/>
      <c r="R43" s="43"/>
      <c r="U43" s="41"/>
      <c r="V43" s="41"/>
      <c r="W43" s="41"/>
      <c r="X43" s="41"/>
      <c r="Y43" s="41"/>
      <c r="Z43" s="1877"/>
    </row>
    <row r="44" spans="2:26" x14ac:dyDescent="0.35">
      <c r="B44" s="43"/>
      <c r="C44" s="42" t="s">
        <v>4475</v>
      </c>
      <c r="D44" s="43"/>
      <c r="E44" s="146"/>
      <c r="F44" s="146"/>
      <c r="G44" s="146"/>
      <c r="H44" s="826" t="str">
        <f>A63</f>
        <v>c15.2</v>
      </c>
      <c r="I44" s="847">
        <f>L6</f>
        <v>0</v>
      </c>
      <c r="J44" s="146"/>
      <c r="K44" s="146"/>
      <c r="L44" s="146"/>
      <c r="M44" s="43"/>
      <c r="N44" s="1885"/>
      <c r="O44" s="1886"/>
      <c r="P44" s="1887" t="s">
        <v>6321</v>
      </c>
      <c r="Q44" s="1270"/>
      <c r="R44" s="1270"/>
      <c r="S44" s="1886"/>
      <c r="T44" s="1886"/>
      <c r="U44" s="1886"/>
      <c r="V44" s="1886"/>
      <c r="W44" s="1886"/>
      <c r="X44" s="1886"/>
      <c r="Y44" s="1886"/>
      <c r="Z44" s="1888"/>
    </row>
    <row r="45" spans="2:26" x14ac:dyDescent="0.35">
      <c r="B45" s="43"/>
      <c r="C45" s="43"/>
      <c r="D45" s="43"/>
      <c r="E45" s="146"/>
      <c r="F45" s="146"/>
      <c r="G45" s="146"/>
      <c r="H45" s="146"/>
      <c r="I45" s="146"/>
      <c r="J45" s="146"/>
      <c r="K45" s="146"/>
      <c r="L45" s="146"/>
      <c r="M45" s="43"/>
    </row>
    <row r="46" spans="2:26" x14ac:dyDescent="0.35">
      <c r="B46" s="43"/>
      <c r="I46" s="1463" t="str">
        <f>"AA_limit ("&amp;DOLLAR(AA_limit,0)&amp;")"</f>
        <v>AA_limit (£28,000)</v>
      </c>
      <c r="K46" s="146"/>
      <c r="L46" s="146"/>
      <c r="M46" s="146"/>
      <c r="N46" s="146"/>
      <c r="O46" s="146"/>
    </row>
    <row r="47" spans="2:26" x14ac:dyDescent="0.35">
      <c r="B47" s="43"/>
      <c r="C47" s="43" t="s">
        <v>4767</v>
      </c>
      <c r="D47" s="43"/>
      <c r="E47" s="146"/>
      <c r="F47" s="146"/>
      <c r="G47" s="146"/>
      <c r="H47" s="826" t="str">
        <f>A64</f>
        <v>c15.3</v>
      </c>
      <c r="I47" s="1432">
        <f>AA_limit</f>
        <v>28000</v>
      </c>
      <c r="J47" s="146"/>
      <c r="K47" s="146"/>
      <c r="L47" s="146"/>
      <c r="M47" s="146"/>
      <c r="N47" s="146"/>
      <c r="O47" s="146"/>
    </row>
    <row r="49" spans="1:18" x14ac:dyDescent="0.35">
      <c r="B49" s="43"/>
      <c r="C49" s="43"/>
      <c r="D49" s="43"/>
      <c r="E49" s="146"/>
      <c r="F49" s="146"/>
      <c r="G49" s="146"/>
      <c r="H49" s="146"/>
      <c r="I49" s="44" t="str">
        <f>H44&amp;" minus "&amp;H47</f>
        <v>c15.2 minus c15.3</v>
      </c>
      <c r="J49" s="146"/>
      <c r="K49" s="146"/>
      <c r="L49" s="146"/>
      <c r="M49" s="146"/>
      <c r="N49" s="146"/>
      <c r="O49" s="146"/>
    </row>
    <row r="50" spans="1:18" x14ac:dyDescent="0.35">
      <c r="C50" s="43"/>
      <c r="D50" s="43"/>
      <c r="E50" s="146"/>
      <c r="F50" s="146"/>
      <c r="G50" s="146"/>
      <c r="H50" s="826" t="str">
        <f>A65</f>
        <v>c15.4</v>
      </c>
      <c r="I50" s="420">
        <f>MAX(0,I44-I47)</f>
        <v>0</v>
      </c>
      <c r="J50" s="146"/>
      <c r="K50" s="146"/>
      <c r="L50" s="146"/>
    </row>
    <row r="51" spans="1:18" x14ac:dyDescent="0.35">
      <c r="B51" s="146"/>
      <c r="M51" s="43"/>
      <c r="N51" s="146"/>
      <c r="O51" s="146"/>
      <c r="P51" s="43"/>
      <c r="Q51" s="146"/>
      <c r="R51" s="43"/>
    </row>
    <row r="52" spans="1:18" x14ac:dyDescent="0.35">
      <c r="C52" s="43"/>
      <c r="D52" s="43"/>
      <c r="E52" s="146"/>
      <c r="F52" s="146"/>
      <c r="H52" s="43"/>
      <c r="I52" s="44" t="str">
        <f>H50&amp;" x AA_excess ("&amp;AA_excess * 100&amp;"%)"</f>
        <v>c15.4 x AA_excess (50%)</v>
      </c>
      <c r="J52" s="146"/>
    </row>
    <row r="53" spans="1:18" x14ac:dyDescent="0.35">
      <c r="C53" s="43"/>
      <c r="D53" s="43"/>
      <c r="E53" s="146"/>
      <c r="F53" s="146"/>
      <c r="H53" s="826" t="str">
        <f>A66</f>
        <v>c15.5</v>
      </c>
      <c r="I53" s="420">
        <f>TRUNC(I50*AA_excess,0)</f>
        <v>0</v>
      </c>
      <c r="J53" s="1079" t="s">
        <v>1837</v>
      </c>
    </row>
    <row r="55" spans="1:18" x14ac:dyDescent="0.35">
      <c r="B55" s="146"/>
      <c r="C55" s="43"/>
      <c r="D55" s="43"/>
      <c r="E55" s="43"/>
      <c r="F55" s="44" t="str">
        <f>"from "&amp;K15</f>
        <v>from c14.4</v>
      </c>
      <c r="G55" s="146"/>
      <c r="H55" s="146"/>
      <c r="I55" s="146"/>
      <c r="J55" s="43"/>
      <c r="K55" s="43"/>
      <c r="L55" s="43"/>
      <c r="M55" s="43"/>
      <c r="N55" s="146"/>
      <c r="O55" s="146"/>
      <c r="P55" s="43"/>
      <c r="Q55" s="146"/>
      <c r="R55" s="43"/>
    </row>
    <row r="56" spans="1:18" x14ac:dyDescent="0.35">
      <c r="B56" s="146"/>
      <c r="C56" s="43"/>
      <c r="D56" s="43"/>
      <c r="E56" s="826" t="str">
        <f>A67</f>
        <v>c15.6</v>
      </c>
      <c r="F56" s="122">
        <f>L15</f>
        <v>11500</v>
      </c>
      <c r="G56" s="146"/>
      <c r="H56" s="146"/>
      <c r="I56" s="146"/>
      <c r="J56" s="43"/>
      <c r="K56" s="43"/>
      <c r="L56" s="43"/>
      <c r="M56" s="43"/>
      <c r="N56" s="146"/>
      <c r="O56" s="146"/>
      <c r="P56" s="43"/>
      <c r="Q56" s="146"/>
      <c r="R56" s="43"/>
    </row>
    <row r="57" spans="1:18" x14ac:dyDescent="0.35">
      <c r="B57" s="146"/>
      <c r="C57" s="43"/>
      <c r="D57" s="43"/>
      <c r="E57" s="146"/>
      <c r="F57" s="146"/>
      <c r="G57" s="146"/>
      <c r="H57" s="146"/>
      <c r="I57" s="146"/>
      <c r="J57" s="43"/>
      <c r="K57" s="43"/>
      <c r="L57" s="43"/>
      <c r="M57" s="43"/>
      <c r="N57" s="146"/>
      <c r="O57" s="146"/>
      <c r="P57" s="43"/>
      <c r="Q57" s="146"/>
      <c r="R57" s="43"/>
    </row>
    <row r="58" spans="1:18" x14ac:dyDescent="0.35">
      <c r="B58" s="146"/>
      <c r="C58" s="43"/>
      <c r="D58" s="43"/>
      <c r="E58" s="146"/>
      <c r="F58" s="44" t="str">
        <f>"from "&amp;K26</f>
        <v>from c14.6</v>
      </c>
      <c r="G58" s="43"/>
      <c r="H58" s="146"/>
      <c r="I58" s="44" t="str">
        <f>E56&amp;" minus "&amp;E59</f>
        <v>c15.6 minus c15.7</v>
      </c>
      <c r="J58" s="43"/>
      <c r="K58" s="43"/>
      <c r="L58" s="43"/>
      <c r="M58" s="43"/>
      <c r="N58" s="146"/>
      <c r="O58" s="146"/>
      <c r="P58" s="43"/>
      <c r="Q58" s="146"/>
      <c r="R58" s="146"/>
    </row>
    <row r="59" spans="1:18" x14ac:dyDescent="0.35">
      <c r="B59" s="146"/>
      <c r="C59" s="43"/>
      <c r="D59" s="43"/>
      <c r="E59" s="826" t="str">
        <f>A68</f>
        <v>c15.7</v>
      </c>
      <c r="F59" s="420">
        <f>L26</f>
        <v>11500</v>
      </c>
      <c r="G59" s="146"/>
      <c r="H59" s="826" t="str">
        <f>A69</f>
        <v>c15.8</v>
      </c>
      <c r="I59" s="420">
        <f>MAX(0,F56-F59)</f>
        <v>0</v>
      </c>
      <c r="J59" s="43"/>
      <c r="K59" s="43"/>
      <c r="L59" s="43"/>
      <c r="M59" s="43"/>
      <c r="N59" s="146"/>
      <c r="O59" s="146"/>
      <c r="P59" s="43"/>
      <c r="Q59" s="43"/>
      <c r="R59" s="146"/>
    </row>
    <row r="60" spans="1:18" x14ac:dyDescent="0.35">
      <c r="B60" s="146"/>
      <c r="C60" s="43"/>
      <c r="D60" s="43"/>
      <c r="E60" s="146"/>
      <c r="F60" s="43"/>
      <c r="G60" s="43"/>
      <c r="H60" s="43"/>
      <c r="I60" s="43"/>
      <c r="J60" s="146"/>
      <c r="K60" s="146"/>
      <c r="L60" s="146"/>
      <c r="M60" s="146"/>
      <c r="N60" s="146"/>
      <c r="O60" s="146"/>
      <c r="P60" s="146"/>
      <c r="Q60" s="146"/>
      <c r="R60" s="146"/>
    </row>
    <row r="61" spans="1:18" x14ac:dyDescent="0.35">
      <c r="B61" s="146"/>
      <c r="C61" s="43"/>
      <c r="D61" s="43"/>
      <c r="E61" s="43"/>
      <c r="F61" s="43"/>
      <c r="G61" s="43"/>
      <c r="H61" s="43"/>
      <c r="I61" s="43"/>
      <c r="J61" s="43"/>
      <c r="K61" s="43"/>
      <c r="L61" s="44" t="str">
        <f>H53&amp;" minus "&amp;H59</f>
        <v>c15.5 minus c15.8</v>
      </c>
      <c r="M61" s="43"/>
      <c r="N61" s="146"/>
      <c r="O61" s="146"/>
      <c r="P61" s="43"/>
      <c r="Q61" s="43"/>
      <c r="R61" s="146"/>
    </row>
    <row r="62" spans="1:18" x14ac:dyDescent="0.35">
      <c r="A62" s="117" t="s">
        <v>1890</v>
      </c>
      <c r="B62" s="146"/>
      <c r="C62" s="43"/>
      <c r="D62" s="43"/>
      <c r="E62" s="43"/>
      <c r="F62" s="43"/>
      <c r="G62" s="43"/>
      <c r="H62" s="43"/>
      <c r="I62" s="43"/>
      <c r="J62" s="146"/>
      <c r="K62" s="826" t="str">
        <f>A70</f>
        <v>c15.9</v>
      </c>
      <c r="L62" s="420">
        <f>MAX(0,I53-I59)</f>
        <v>0</v>
      </c>
      <c r="M62" s="43"/>
      <c r="N62" s="146"/>
      <c r="O62" s="146"/>
      <c r="P62" s="43"/>
      <c r="Q62" s="43"/>
      <c r="R62" s="146"/>
    </row>
    <row r="63" spans="1:18" x14ac:dyDescent="0.35">
      <c r="A63" s="117" t="s">
        <v>3605</v>
      </c>
      <c r="B63" s="146"/>
      <c r="C63" s="43"/>
      <c r="D63" s="43"/>
      <c r="E63" s="43"/>
      <c r="F63" s="43"/>
      <c r="G63" s="43"/>
      <c r="H63" s="43"/>
      <c r="I63" s="43"/>
      <c r="J63" s="43"/>
      <c r="K63" s="43"/>
      <c r="L63" s="43"/>
      <c r="M63" s="43"/>
      <c r="N63" s="146"/>
      <c r="O63" s="146"/>
      <c r="P63" s="43"/>
      <c r="Q63" s="43"/>
      <c r="R63" s="146"/>
    </row>
    <row r="64" spans="1:18" x14ac:dyDescent="0.35">
      <c r="A64" s="117" t="s">
        <v>3606</v>
      </c>
      <c r="B64" s="146"/>
      <c r="C64" s="43"/>
      <c r="D64" s="43"/>
      <c r="E64" s="43"/>
      <c r="F64" s="43"/>
      <c r="G64" s="43"/>
      <c r="H64" s="43"/>
      <c r="I64" s="43"/>
      <c r="J64" s="43"/>
      <c r="K64" s="43"/>
      <c r="L64" s="44" t="str">
        <f>K41&amp;" minus "&amp;K62</f>
        <v>c15.1 minus c15.9</v>
      </c>
      <c r="M64" s="146"/>
      <c r="N64" s="146"/>
      <c r="O64" s="146"/>
      <c r="P64" s="43"/>
      <c r="Q64" s="43"/>
      <c r="R64" s="146"/>
    </row>
    <row r="65" spans="1:26" x14ac:dyDescent="0.35">
      <c r="A65" s="117" t="s">
        <v>3607</v>
      </c>
      <c r="B65" s="146"/>
      <c r="C65" s="43"/>
      <c r="D65" s="43"/>
      <c r="E65" s="43"/>
      <c r="F65" s="43"/>
      <c r="G65" s="43"/>
      <c r="H65" s="43"/>
      <c r="I65" s="43"/>
      <c r="J65" s="43"/>
      <c r="K65" s="826" t="str">
        <f>A71</f>
        <v>c15.10</v>
      </c>
      <c r="L65" s="122">
        <f>MAX(0,L41-L62)</f>
        <v>0</v>
      </c>
      <c r="M65" s="146"/>
      <c r="N65" s="146"/>
      <c r="O65" s="43"/>
      <c r="P65" s="43"/>
      <c r="Q65" s="43"/>
      <c r="R65" s="146"/>
    </row>
    <row r="66" spans="1:26" x14ac:dyDescent="0.35">
      <c r="A66" s="117" t="s">
        <v>3608</v>
      </c>
      <c r="B66" s="146"/>
      <c r="C66" s="43"/>
      <c r="D66" s="43"/>
      <c r="E66" s="43"/>
      <c r="F66" s="43"/>
      <c r="G66" s="43"/>
      <c r="H66" s="43"/>
      <c r="I66" s="43"/>
      <c r="J66" s="43"/>
      <c r="K66" s="43"/>
      <c r="L66" s="43"/>
      <c r="M66" s="43"/>
      <c r="N66" s="43"/>
      <c r="O66" s="43"/>
      <c r="P66" s="43"/>
      <c r="Q66" s="43"/>
      <c r="R66" s="146"/>
    </row>
    <row r="67" spans="1:26" x14ac:dyDescent="0.35">
      <c r="A67" s="117" t="s">
        <v>3609</v>
      </c>
      <c r="L67" s="90" t="str">
        <f>"If "&amp;K41&amp;" is greater than 0 (zero)"</f>
        <v>If c15.1 is greater than 0 (zero)</v>
      </c>
    </row>
    <row r="68" spans="1:26" x14ac:dyDescent="0.35">
      <c r="A68" s="117" t="s">
        <v>3610</v>
      </c>
      <c r="K68" s="146"/>
      <c r="L68" s="1463" t="str">
        <f>K72&amp;" = Higher of "&amp;K65&amp;" and MCA ("&amp;DOLLAR(MCA,0)&amp;")"</f>
        <v>c15.11 = Higher of c15.10 and MCA (£3,260)</v>
      </c>
    </row>
    <row r="69" spans="1:26" x14ac:dyDescent="0.35">
      <c r="A69" s="117" t="s">
        <v>1418</v>
      </c>
      <c r="L69" s="90" t="s">
        <v>2520</v>
      </c>
    </row>
    <row r="70" spans="1:26" x14ac:dyDescent="0.35">
      <c r="A70" s="117" t="s">
        <v>1419</v>
      </c>
      <c r="L70" s="44" t="str">
        <f>K72&amp;" = 0 (zero)"</f>
        <v>c15.11 = 0 (zero)</v>
      </c>
    </row>
    <row r="71" spans="1:26" x14ac:dyDescent="0.35">
      <c r="A71" s="117" t="s">
        <v>4024</v>
      </c>
      <c r="B71" s="146"/>
      <c r="C71" s="43"/>
      <c r="D71" s="43"/>
      <c r="E71" s="43"/>
      <c r="F71" s="43"/>
      <c r="G71" s="43"/>
      <c r="H71" s="43"/>
      <c r="I71" s="43"/>
      <c r="J71" s="43"/>
      <c r="K71" s="43"/>
      <c r="L71" s="40" t="s">
        <v>2638</v>
      </c>
      <c r="M71" s="43"/>
      <c r="N71" s="43"/>
      <c r="O71" s="43"/>
      <c r="P71" s="43"/>
      <c r="Q71" s="43"/>
      <c r="R71" s="146"/>
    </row>
    <row r="72" spans="1:26" x14ac:dyDescent="0.35">
      <c r="A72" s="117" t="s">
        <v>4025</v>
      </c>
      <c r="B72" s="146"/>
      <c r="C72" s="43"/>
      <c r="D72" s="43"/>
      <c r="E72" s="43"/>
      <c r="F72" s="43"/>
      <c r="G72" s="43"/>
      <c r="H72" s="43"/>
      <c r="I72" s="43"/>
      <c r="J72" s="43"/>
      <c r="K72" s="826" t="str">
        <f>A72</f>
        <v>c15.11</v>
      </c>
      <c r="L72" s="122">
        <f>IF(L41&gt;0,MAX(MCA,L65),0)</f>
        <v>0</v>
      </c>
      <c r="M72" s="43"/>
      <c r="N72" s="1903" t="str">
        <f>"copy to box "&amp;'Tax adj (c9)'!I50&amp;" unless you were married this year (see note)"</f>
        <v>copy to box c9.16 unless you were married this year (see note)</v>
      </c>
      <c r="O72" s="1858"/>
      <c r="P72" s="1858"/>
      <c r="Q72" s="1858"/>
      <c r="R72" s="1934"/>
    </row>
    <row r="73" spans="1:26" x14ac:dyDescent="0.35">
      <c r="A73" s="117" t="s">
        <v>4026</v>
      </c>
      <c r="B73" s="146"/>
      <c r="C73" s="43"/>
      <c r="D73" s="43"/>
      <c r="E73" s="43"/>
      <c r="F73" s="43"/>
      <c r="G73" s="43"/>
      <c r="H73" s="43"/>
      <c r="I73" s="43"/>
      <c r="K73" s="43"/>
      <c r="L73" s="43"/>
      <c r="M73" s="43"/>
      <c r="N73" s="1876" t="s">
        <v>2292</v>
      </c>
      <c r="O73" s="1156"/>
      <c r="P73" s="1156"/>
      <c r="Q73" s="1156"/>
      <c r="R73" s="1231"/>
    </row>
    <row r="74" spans="1:26" x14ac:dyDescent="0.35">
      <c r="A74" s="117" t="s">
        <v>1143</v>
      </c>
      <c r="B74" s="146"/>
      <c r="C74" s="43"/>
      <c r="D74" s="43"/>
      <c r="E74" s="43"/>
      <c r="F74" s="43"/>
      <c r="G74" s="43"/>
      <c r="H74" s="43"/>
      <c r="I74" s="43"/>
      <c r="K74" s="43"/>
      <c r="L74" s="43"/>
      <c r="M74" s="43"/>
      <c r="N74" s="1424"/>
      <c r="O74" s="1270"/>
      <c r="P74" s="1887" t="s">
        <v>6321</v>
      </c>
      <c r="Q74" s="1270"/>
      <c r="R74" s="1199"/>
    </row>
    <row r="75" spans="1:26" x14ac:dyDescent="0.35">
      <c r="A75" s="117" t="s">
        <v>1144</v>
      </c>
      <c r="C75" s="760"/>
      <c r="D75" s="760"/>
      <c r="E75" s="760"/>
      <c r="F75" s="760"/>
      <c r="G75" s="760"/>
      <c r="H75" s="760"/>
      <c r="I75" s="760"/>
      <c r="J75" s="760"/>
      <c r="K75" s="760"/>
      <c r="L75" s="760"/>
      <c r="M75" s="760"/>
      <c r="N75" s="760"/>
      <c r="O75" s="760"/>
      <c r="P75" s="760"/>
      <c r="Q75" s="760"/>
      <c r="R75" s="760"/>
      <c r="S75" s="760"/>
      <c r="T75" s="760"/>
      <c r="U75" s="760"/>
      <c r="V75" s="760"/>
      <c r="W75" s="760"/>
      <c r="X75" s="760"/>
      <c r="Y75" s="760"/>
      <c r="Z75" s="760"/>
    </row>
    <row r="76" spans="1:26" x14ac:dyDescent="0.35">
      <c r="A76" s="117" t="s">
        <v>1145</v>
      </c>
      <c r="C76" s="146"/>
      <c r="D76" s="146"/>
      <c r="E76" s="146"/>
      <c r="F76" s="146"/>
      <c r="G76" s="146"/>
      <c r="H76" s="146"/>
      <c r="I76" s="146"/>
      <c r="J76" s="146"/>
      <c r="K76" s="146"/>
      <c r="L76" s="146"/>
      <c r="M76" s="146"/>
      <c r="N76" s="146"/>
      <c r="O76" s="146"/>
      <c r="P76" s="43"/>
      <c r="Q76" s="43"/>
      <c r="R76" s="43"/>
      <c r="S76" s="43"/>
      <c r="T76" s="43"/>
      <c r="U76" s="43"/>
      <c r="V76" s="43"/>
      <c r="W76" s="43"/>
      <c r="X76" s="43"/>
      <c r="Y76" s="43"/>
      <c r="Z76" s="43"/>
    </row>
    <row r="77" spans="1:26" x14ac:dyDescent="0.35">
      <c r="A77" s="117" t="s">
        <v>1146</v>
      </c>
      <c r="C77" s="60" t="s">
        <v>1376</v>
      </c>
      <c r="D77" s="146"/>
      <c r="E77" s="43"/>
      <c r="F77" s="43"/>
      <c r="G77" s="43"/>
      <c r="H77" s="43"/>
      <c r="I77" s="43"/>
      <c r="J77" s="43"/>
      <c r="K77" s="43"/>
      <c r="L77" s="43"/>
      <c r="M77" s="43"/>
      <c r="N77" s="146"/>
      <c r="O77" s="146"/>
      <c r="P77" s="43"/>
      <c r="Q77" s="43"/>
      <c r="R77" s="146"/>
    </row>
    <row r="78" spans="1:26" x14ac:dyDescent="0.35">
      <c r="A78" s="117" t="s">
        <v>1487</v>
      </c>
      <c r="B78" s="146"/>
      <c r="C78" s="60" t="s">
        <v>1377</v>
      </c>
    </row>
    <row r="79" spans="1:26" ht="12.75" x14ac:dyDescent="0.35">
      <c r="A79" s="117" t="s">
        <v>1488</v>
      </c>
      <c r="B79" s="146"/>
      <c r="C79" s="1862" t="s">
        <v>6350</v>
      </c>
      <c r="I79" s="90" t="str">
        <f>"If MCA"&amp;MCA!C16&amp;" present"</f>
        <v>If MCA9 present</v>
      </c>
    </row>
    <row r="80" spans="1:26" x14ac:dyDescent="0.35">
      <c r="A80" s="117" t="s">
        <v>1489</v>
      </c>
      <c r="B80" s="146"/>
      <c r="I80" s="90" t="str">
        <f>H84&amp;" = Select month from "&amp;N83</f>
        <v>c15.12 = Select month from Table A</v>
      </c>
    </row>
    <row r="81" spans="1:18" x14ac:dyDescent="0.35">
      <c r="A81" s="117" t="s">
        <v>1490</v>
      </c>
      <c r="I81" s="90" t="s">
        <v>2520</v>
      </c>
    </row>
    <row r="82" spans="1:18" x14ac:dyDescent="0.35">
      <c r="A82" s="117" t="s">
        <v>1491</v>
      </c>
      <c r="I82" s="44" t="str">
        <f>H84&amp;" = 0 (zero)"</f>
        <v>c15.12 = 0 (zero)</v>
      </c>
    </row>
    <row r="83" spans="1:18" x14ac:dyDescent="0.35">
      <c r="D83" s="43"/>
      <c r="E83" s="43"/>
      <c r="F83" s="43"/>
      <c r="G83" s="43"/>
      <c r="H83" s="43"/>
      <c r="I83" s="44" t="s">
        <v>2638</v>
      </c>
      <c r="J83" s="43"/>
      <c r="K83" s="43"/>
      <c r="L83" s="43"/>
      <c r="M83" s="43"/>
      <c r="N83" s="60" t="s">
        <v>4799</v>
      </c>
      <c r="O83" s="43"/>
      <c r="P83" s="43"/>
      <c r="Q83" s="43"/>
      <c r="R83" s="146"/>
    </row>
    <row r="84" spans="1:18" x14ac:dyDescent="0.35">
      <c r="D84" s="43"/>
      <c r="E84" s="43"/>
      <c r="F84" s="43"/>
      <c r="G84" s="44" t="str">
        <f>"Select month from "&amp;N83</f>
        <v>Select month from Table A</v>
      </c>
      <c r="H84" s="826" t="str">
        <f>A73</f>
        <v>c15.12</v>
      </c>
      <c r="I84" s="122">
        <f>months_not_married</f>
        <v>0</v>
      </c>
      <c r="J84" s="43"/>
      <c r="K84" s="43"/>
      <c r="L84" s="43"/>
      <c r="M84" s="43"/>
      <c r="N84" s="1429" t="s">
        <v>978</v>
      </c>
      <c r="O84" s="1430" t="s">
        <v>979</v>
      </c>
      <c r="P84" s="43"/>
      <c r="Q84" s="43"/>
      <c r="R84" s="146"/>
    </row>
    <row r="85" spans="1:18" x14ac:dyDescent="0.35">
      <c r="C85" s="43"/>
      <c r="D85" s="43"/>
      <c r="E85" s="43"/>
      <c r="F85" s="43"/>
      <c r="G85" s="43"/>
      <c r="H85" s="43"/>
      <c r="I85" s="43"/>
      <c r="J85" s="43"/>
      <c r="K85" s="43"/>
      <c r="L85" s="43"/>
      <c r="M85" s="43"/>
      <c r="N85" s="2602" t="str">
        <f>"Before 6 May "&amp;Tax_year_start&amp;" (or no date entered)"</f>
        <v>Before 6 May 2017 (or no date entered)</v>
      </c>
      <c r="O85" s="1431">
        <v>0</v>
      </c>
      <c r="P85" s="43"/>
      <c r="Q85" s="43"/>
      <c r="R85" s="146"/>
    </row>
    <row r="86" spans="1:18" x14ac:dyDescent="0.35">
      <c r="B86" s="146"/>
      <c r="C86" s="43"/>
      <c r="D86" s="43"/>
      <c r="E86" s="43"/>
      <c r="F86" s="43"/>
      <c r="G86" s="43"/>
      <c r="H86" s="43"/>
      <c r="I86" s="44" t="str">
        <f>K72&amp;" x "&amp;H84</f>
        <v>c15.11 x c15.12</v>
      </c>
      <c r="J86" s="43"/>
      <c r="K86" s="43"/>
      <c r="L86" s="43"/>
      <c r="M86" s="43"/>
      <c r="N86" s="2602" t="str">
        <f>"6 May "&amp;Tax_year_start&amp;" to 5 June "&amp;Tax_year_start</f>
        <v>6 May 2017 to 5 June 2017</v>
      </c>
      <c r="O86" s="711">
        <v>1</v>
      </c>
      <c r="P86" s="43"/>
      <c r="Q86" s="43"/>
      <c r="R86" s="146"/>
    </row>
    <row r="87" spans="1:18" x14ac:dyDescent="0.35">
      <c r="B87" s="146"/>
      <c r="C87" s="43"/>
      <c r="D87" s="43"/>
      <c r="E87" s="43"/>
      <c r="F87" s="43"/>
      <c r="G87" s="146"/>
      <c r="H87" s="826" t="str">
        <f>A74</f>
        <v>c15.13</v>
      </c>
      <c r="I87" s="122">
        <f>L72*I84</f>
        <v>0</v>
      </c>
      <c r="J87" s="43"/>
      <c r="K87" s="43"/>
      <c r="L87" s="43"/>
      <c r="M87" s="43"/>
      <c r="N87" s="2602" t="str">
        <f>"6 June "&amp;Tax_year_start&amp;" to 5 July "&amp;Tax_year_start</f>
        <v>6 June 2017 to 5 July 2017</v>
      </c>
      <c r="O87" s="711">
        <v>2</v>
      </c>
      <c r="P87" s="43"/>
      <c r="Q87" s="43"/>
      <c r="R87" s="146"/>
    </row>
    <row r="88" spans="1:18" x14ac:dyDescent="0.35">
      <c r="B88" s="146"/>
      <c r="C88" s="43"/>
      <c r="D88" s="43"/>
      <c r="E88" s="43"/>
      <c r="F88" s="43"/>
      <c r="G88" s="43"/>
      <c r="H88" s="43"/>
      <c r="I88" s="43"/>
      <c r="J88" s="43"/>
      <c r="K88" s="146"/>
      <c r="L88" s="146"/>
      <c r="M88" s="43"/>
      <c r="N88" s="2602" t="str">
        <f>"6 July "&amp;Tax_year_start&amp;" to 5 August "&amp;Tax_year_start</f>
        <v>6 July 2017 to 5 August 2017</v>
      </c>
      <c r="O88" s="711">
        <v>3</v>
      </c>
      <c r="P88" s="146"/>
      <c r="Q88" s="146"/>
      <c r="R88" s="146"/>
    </row>
    <row r="89" spans="1:18" x14ac:dyDescent="0.35">
      <c r="B89" s="146"/>
      <c r="C89" s="43"/>
      <c r="D89" s="43"/>
      <c r="E89" s="43"/>
      <c r="F89" s="43"/>
      <c r="G89" s="43"/>
      <c r="H89" s="43"/>
      <c r="I89" s="43"/>
      <c r="J89" s="146"/>
      <c r="K89" s="43"/>
      <c r="L89" s="44" t="str">
        <f>H87&amp;" divided by 12"</f>
        <v>c15.13 divided by 12</v>
      </c>
      <c r="M89" s="43"/>
      <c r="N89" s="2602" t="str">
        <f>"6 August "&amp;Tax_year_start&amp;" to 5 September "&amp;Tax_year_start</f>
        <v>6 August 2017 to 5 September 2017</v>
      </c>
      <c r="O89" s="711">
        <v>4</v>
      </c>
      <c r="P89" s="146"/>
      <c r="Q89" s="146"/>
      <c r="R89" s="146"/>
    </row>
    <row r="90" spans="1:18" x14ac:dyDescent="0.35">
      <c r="B90" s="146"/>
      <c r="C90" s="43"/>
      <c r="D90" s="43"/>
      <c r="E90" s="43"/>
      <c r="F90" s="43"/>
      <c r="G90" s="43"/>
      <c r="H90" s="43"/>
      <c r="I90" s="43"/>
      <c r="J90" s="43"/>
      <c r="K90" s="826" t="str">
        <f>A75</f>
        <v>c15.14</v>
      </c>
      <c r="L90" s="122">
        <f>TRUNC(I87/12,0)</f>
        <v>0</v>
      </c>
      <c r="M90" s="1079" t="s">
        <v>1837</v>
      </c>
      <c r="N90" s="2602" t="str">
        <f>"6 September "&amp;Tax_year_start&amp;" to 5 October "&amp;Tax_year_start</f>
        <v>6 September 2017 to 5 October 2017</v>
      </c>
      <c r="O90" s="711">
        <v>5</v>
      </c>
      <c r="P90" s="146"/>
      <c r="Q90" s="146"/>
      <c r="R90" s="146"/>
    </row>
    <row r="91" spans="1:18" x14ac:dyDescent="0.35">
      <c r="B91" s="146"/>
      <c r="C91" s="43"/>
      <c r="D91" s="43"/>
      <c r="E91" s="43"/>
      <c r="F91" s="43"/>
      <c r="G91" s="43"/>
      <c r="H91" s="43"/>
      <c r="I91" s="43"/>
      <c r="J91" s="43"/>
      <c r="K91" s="43"/>
      <c r="L91" s="43"/>
      <c r="M91" s="43"/>
      <c r="N91" s="2602" t="str">
        <f>"6 October "&amp;Tax_year_start&amp;" to 5 November "&amp;Tax_year_start</f>
        <v>6 October 2017 to 5 November 2017</v>
      </c>
      <c r="O91" s="711">
        <v>6</v>
      </c>
      <c r="P91" s="146"/>
      <c r="Q91" s="146"/>
      <c r="R91" s="146"/>
    </row>
    <row r="92" spans="1:18" x14ac:dyDescent="0.35">
      <c r="B92" s="146"/>
      <c r="C92" s="43"/>
      <c r="D92" s="43"/>
      <c r="E92" s="43"/>
      <c r="F92" s="43"/>
      <c r="G92" s="43"/>
      <c r="H92" s="43"/>
      <c r="I92" s="43"/>
      <c r="J92" s="146"/>
      <c r="K92" s="146"/>
      <c r="L92" s="44" t="str">
        <f>K72&amp;" minus "&amp;K90</f>
        <v>c15.11 minus c15.14</v>
      </c>
      <c r="M92" s="43"/>
      <c r="N92" s="2602" t="str">
        <f>"6 November "&amp;Tax_year_start&amp;" to 5 December "&amp;Tax_year_start</f>
        <v>6 November 2017 to 5 December 2017</v>
      </c>
      <c r="O92" s="711">
        <v>7</v>
      </c>
      <c r="P92" s="146"/>
      <c r="Q92" s="146"/>
      <c r="R92" s="146"/>
    </row>
    <row r="93" spans="1:18" x14ac:dyDescent="0.35">
      <c r="B93" s="146"/>
      <c r="C93" s="43"/>
      <c r="D93" s="43"/>
      <c r="E93" s="43"/>
      <c r="F93" s="43"/>
      <c r="G93" s="43"/>
      <c r="H93" s="43"/>
      <c r="I93" s="43"/>
      <c r="J93" s="43"/>
      <c r="K93" s="826" t="str">
        <f>A76</f>
        <v>c15.15</v>
      </c>
      <c r="L93" s="122">
        <f>MAX(0,L72-L90)</f>
        <v>0</v>
      </c>
      <c r="M93" s="43"/>
      <c r="N93" s="2602" t="str">
        <f>"6 December "&amp;Tax_year_start&amp;" to 5 January "&amp;Tax_year_end</f>
        <v>6 December 2017 to 5 January 2018</v>
      </c>
      <c r="O93" s="711">
        <v>8</v>
      </c>
      <c r="P93" s="146"/>
      <c r="Q93" s="146"/>
      <c r="R93" s="146"/>
    </row>
    <row r="94" spans="1:18" x14ac:dyDescent="0.35">
      <c r="B94" s="146"/>
      <c r="C94" s="43"/>
      <c r="D94" s="43"/>
      <c r="E94" s="146"/>
      <c r="F94" s="146"/>
      <c r="G94" s="146"/>
      <c r="H94" s="146"/>
      <c r="I94" s="146"/>
      <c r="J94" s="146"/>
      <c r="K94" s="146"/>
      <c r="L94" s="44" t="str">
        <f>"copy to box "&amp;'Tax adj (c9)'!I50&amp;" unless your spouse is getting half or all of the allowance"</f>
        <v>copy to box c9.16 unless your spouse is getting half or all of the allowance</v>
      </c>
      <c r="M94" s="43"/>
      <c r="N94" s="2602" t="str">
        <f>"6 January "&amp;Tax_year_end&amp;" to 5 February "&amp;Tax_year_end</f>
        <v>6 January 2018 to 5 February 2018</v>
      </c>
      <c r="O94" s="711">
        <v>9</v>
      </c>
      <c r="P94" s="146"/>
      <c r="Q94" s="146"/>
      <c r="R94" s="146"/>
    </row>
    <row r="95" spans="1:18" x14ac:dyDescent="0.35">
      <c r="B95" s="146"/>
      <c r="D95" s="43"/>
      <c r="E95" s="146"/>
      <c r="F95" s="146"/>
      <c r="G95" s="146"/>
      <c r="H95" s="146"/>
      <c r="I95" s="146"/>
      <c r="J95" s="146"/>
      <c r="K95" s="146"/>
      <c r="L95" s="146"/>
      <c r="M95" s="43"/>
      <c r="N95" s="2602" t="str">
        <f>"6 February "&amp;Tax_year_end&amp;" to 5 March "&amp;Tax_year_end</f>
        <v>6 February 2018 to 5 March 2018</v>
      </c>
      <c r="O95" s="711">
        <v>10</v>
      </c>
      <c r="P95" s="146"/>
      <c r="Q95" s="146"/>
      <c r="R95" s="146"/>
    </row>
    <row r="96" spans="1:18" x14ac:dyDescent="0.35">
      <c r="B96" s="146"/>
      <c r="D96" s="146"/>
      <c r="E96" s="146"/>
      <c r="F96" s="146"/>
      <c r="G96" s="146"/>
      <c r="H96" s="146"/>
      <c r="I96" s="146"/>
      <c r="J96" s="146"/>
      <c r="K96" s="146"/>
      <c r="L96" s="146"/>
      <c r="M96" s="146"/>
      <c r="N96" s="2602" t="str">
        <f>"6 March "&amp;Tax_year_end&amp;" to 5 April "&amp;Tax_year_end</f>
        <v>6 March 2018 to 5 April 2018</v>
      </c>
      <c r="O96" s="711">
        <v>11</v>
      </c>
      <c r="P96" s="146"/>
      <c r="Q96" s="146"/>
      <c r="R96" s="146"/>
    </row>
    <row r="97" spans="2:26" x14ac:dyDescent="0.35">
      <c r="B97" s="146"/>
      <c r="D97" s="146"/>
      <c r="E97" s="146"/>
      <c r="F97" s="146"/>
      <c r="G97" s="146"/>
      <c r="H97" s="146"/>
      <c r="I97" s="146"/>
      <c r="J97" s="146"/>
      <c r="K97" s="146"/>
      <c r="L97" s="146"/>
      <c r="M97" s="146"/>
      <c r="N97" s="2603" t="str">
        <f>"6 April "&amp;Tax_year_end&amp;" and later"</f>
        <v>6 April 2018 and later</v>
      </c>
      <c r="O97" s="1433">
        <v>12</v>
      </c>
      <c r="P97" s="146"/>
      <c r="Q97" s="146"/>
      <c r="R97" s="146"/>
    </row>
    <row r="98" spans="2:26" x14ac:dyDescent="0.35">
      <c r="B98" s="146"/>
      <c r="C98" s="40" t="s">
        <v>2520</v>
      </c>
    </row>
    <row r="99" spans="2:26" x14ac:dyDescent="0.35">
      <c r="B99" s="146"/>
      <c r="C99" s="40" t="str">
        <f>K41&amp;" to "&amp;K72&amp;" = 0 (zero)"</f>
        <v>c15.1 to c15.11 = 0 (zero)</v>
      </c>
    </row>
    <row r="100" spans="2:26" x14ac:dyDescent="0.35">
      <c r="B100" s="146"/>
      <c r="C100" s="40" t="s">
        <v>2638</v>
      </c>
    </row>
    <row r="101" spans="2:26" x14ac:dyDescent="0.35">
      <c r="B101" s="146"/>
      <c r="C101" s="760"/>
      <c r="D101" s="760"/>
      <c r="E101" s="760"/>
      <c r="F101" s="760"/>
      <c r="G101" s="760"/>
      <c r="H101" s="760"/>
      <c r="I101" s="760"/>
      <c r="J101" s="760"/>
      <c r="K101" s="760"/>
      <c r="L101" s="760"/>
      <c r="M101" s="760"/>
      <c r="N101" s="760"/>
      <c r="O101" s="760"/>
      <c r="P101" s="760"/>
      <c r="Q101" s="760"/>
      <c r="R101" s="760"/>
      <c r="S101" s="760"/>
      <c r="T101" s="760"/>
      <c r="U101" s="760"/>
      <c r="V101" s="760"/>
      <c r="W101" s="760"/>
      <c r="X101" s="760"/>
      <c r="Y101" s="760"/>
      <c r="Z101" s="760"/>
    </row>
    <row r="102" spans="2:26" x14ac:dyDescent="0.35">
      <c r="B102" s="146"/>
      <c r="C102" s="146"/>
      <c r="D102" s="146"/>
      <c r="E102" s="146"/>
      <c r="F102" s="146"/>
      <c r="G102" s="146"/>
      <c r="H102" s="146"/>
      <c r="I102" s="146"/>
      <c r="J102" s="146"/>
      <c r="K102" s="146"/>
      <c r="L102" s="146"/>
      <c r="M102" s="43"/>
      <c r="N102" s="146"/>
      <c r="O102" s="146"/>
      <c r="P102" s="43"/>
      <c r="Q102" s="43"/>
      <c r="R102" s="43"/>
      <c r="S102" s="43"/>
      <c r="T102" s="43"/>
      <c r="U102" s="43"/>
      <c r="V102" s="43"/>
      <c r="W102" s="43"/>
      <c r="X102" s="43"/>
      <c r="Y102" s="43"/>
      <c r="Z102" s="43"/>
    </row>
    <row r="103" spans="2:26" x14ac:dyDescent="0.35">
      <c r="B103" s="146"/>
      <c r="C103" s="60" t="s">
        <v>1373</v>
      </c>
      <c r="D103" s="146"/>
      <c r="E103" s="146"/>
      <c r="F103" s="146"/>
      <c r="G103" s="146"/>
      <c r="H103" s="146"/>
      <c r="I103" s="146"/>
      <c r="J103" s="146"/>
      <c r="K103" s="146"/>
      <c r="L103" s="146"/>
      <c r="M103" s="43"/>
      <c r="N103" s="146"/>
      <c r="O103" s="146"/>
      <c r="P103" s="146"/>
      <c r="Q103" s="146"/>
      <c r="R103" s="146"/>
    </row>
    <row r="104" spans="2:26" x14ac:dyDescent="0.35">
      <c r="C104" s="40" t="str">
        <f>"This can be either claimed by wife or lower income spouse / civil partner (boxes "&amp;N112&amp;", or "&amp;N114&amp;")"</f>
        <v>This can be either claimed by wife or lower income spouse / civil partner (boxes box MCA6 = Y, or box MCA7 = Y)</v>
      </c>
    </row>
    <row r="105" spans="2:26" x14ac:dyDescent="0.35">
      <c r="C105" s="40" t="s">
        <v>6349</v>
      </c>
    </row>
    <row r="106" spans="2:26" x14ac:dyDescent="0.35">
      <c r="C106" s="40" t="str">
        <f>"(box "&amp;N111&amp;", or box "&amp;N113&amp;")."</f>
        <v>(box box MCA3 = Y, or box box MCA4 = Y).</v>
      </c>
    </row>
    <row r="108" spans="2:26" x14ac:dyDescent="0.35">
      <c r="B108" s="146"/>
      <c r="C108" s="40" t="s">
        <v>6323</v>
      </c>
      <c r="D108" s="43"/>
      <c r="E108" s="43"/>
      <c r="F108" s="43"/>
      <c r="G108" s="43"/>
      <c r="H108" s="43"/>
      <c r="I108" s="43"/>
      <c r="J108" s="43"/>
      <c r="K108" s="43"/>
      <c r="L108" s="43"/>
      <c r="M108" s="43"/>
      <c r="N108" s="146"/>
      <c r="O108" s="146"/>
      <c r="P108" s="146"/>
      <c r="Q108" s="146"/>
      <c r="R108" s="146"/>
    </row>
    <row r="109" spans="2:26" x14ac:dyDescent="0.35">
      <c r="B109" s="146"/>
      <c r="C109" s="43"/>
      <c r="D109" s="43"/>
      <c r="E109" s="43"/>
      <c r="F109" s="43"/>
      <c r="G109" s="43"/>
      <c r="H109" s="43"/>
      <c r="I109" s="146"/>
      <c r="J109" s="146"/>
      <c r="K109" s="146"/>
      <c r="L109" s="146"/>
      <c r="M109" s="43"/>
      <c r="N109" s="146"/>
      <c r="O109" s="146"/>
      <c r="P109" s="146"/>
      <c r="Q109" s="146"/>
      <c r="R109" s="146"/>
    </row>
    <row r="110" spans="2:26" x14ac:dyDescent="0.35">
      <c r="B110" s="146"/>
      <c r="C110" s="146"/>
      <c r="D110" s="146"/>
      <c r="E110" s="146"/>
      <c r="F110" s="146"/>
      <c r="G110" s="146"/>
      <c r="H110" s="146"/>
      <c r="I110" s="109" t="str">
        <f>"if "&amp;N111&amp;" or "&amp;N112</f>
        <v>if box MCA3 = Y or box MCA6 = Y</v>
      </c>
      <c r="J110" s="146"/>
      <c r="K110" s="146"/>
      <c r="L110" s="146"/>
      <c r="M110" s="146"/>
      <c r="N110" s="60" t="s">
        <v>4800</v>
      </c>
      <c r="O110" s="146"/>
      <c r="P110" s="146"/>
      <c r="Q110" s="146"/>
      <c r="R110" s="146"/>
    </row>
    <row r="111" spans="2:26" x14ac:dyDescent="0.35">
      <c r="B111" s="146"/>
      <c r="C111" s="146"/>
      <c r="D111" s="146"/>
      <c r="E111" s="146"/>
      <c r="F111" s="146"/>
      <c r="G111" s="146"/>
      <c r="H111" s="146"/>
      <c r="I111" s="1463" t="str">
        <f>H115&amp;" = MCA_2 ("&amp;DOLLAR(MCA_2,0)&amp;")"</f>
        <v>c15.16 = MCA_2 (£1,630)</v>
      </c>
      <c r="J111" s="146"/>
      <c r="K111" s="146"/>
      <c r="L111" s="146"/>
      <c r="M111" s="146"/>
      <c r="N111" s="1434" t="s">
        <v>1170</v>
      </c>
      <c r="O111" s="2604">
        <f>MCA_2</f>
        <v>1630</v>
      </c>
      <c r="P111" s="146"/>
      <c r="Q111" s="146"/>
      <c r="R111" s="146"/>
    </row>
    <row r="112" spans="2:26" x14ac:dyDescent="0.35">
      <c r="B112" s="146"/>
      <c r="C112" s="146"/>
      <c r="D112" s="146"/>
      <c r="E112" s="146"/>
      <c r="F112" s="146"/>
      <c r="G112" s="146"/>
      <c r="H112" s="146"/>
      <c r="I112" s="146" t="s">
        <v>2520</v>
      </c>
      <c r="J112" s="146"/>
      <c r="K112" s="146"/>
      <c r="L112" s="146"/>
      <c r="M112" s="146"/>
      <c r="N112" s="1435" t="s">
        <v>1171</v>
      </c>
      <c r="O112" s="2605">
        <f>MCA_2</f>
        <v>1630</v>
      </c>
      <c r="P112" s="146"/>
      <c r="Q112" s="146"/>
      <c r="R112" s="146"/>
    </row>
    <row r="113" spans="2:18" x14ac:dyDescent="0.35">
      <c r="B113" s="146"/>
      <c r="C113" s="146"/>
      <c r="D113" s="146"/>
      <c r="E113" s="146"/>
      <c r="F113" s="146"/>
      <c r="G113" s="146"/>
      <c r="H113" s="146"/>
      <c r="I113" s="1463" t="str">
        <f>H115&amp;" = MCA ("&amp;DOLLAR(MCA,0)&amp;")"</f>
        <v>c15.16 = MCA (£3,260)</v>
      </c>
      <c r="J113" s="146"/>
      <c r="K113" s="146"/>
      <c r="L113" s="146"/>
      <c r="M113" s="146"/>
      <c r="N113" s="1435" t="s">
        <v>992</v>
      </c>
      <c r="O113" s="2605">
        <f>MCA</f>
        <v>3260</v>
      </c>
      <c r="P113" s="146"/>
      <c r="Q113" s="146"/>
      <c r="R113" s="146"/>
    </row>
    <row r="114" spans="2:18" x14ac:dyDescent="0.35">
      <c r="B114" s="146"/>
      <c r="C114" s="146"/>
      <c r="D114" s="146"/>
      <c r="E114" s="146"/>
      <c r="F114" s="146"/>
      <c r="G114" s="146"/>
      <c r="H114" s="146"/>
      <c r="I114" s="146" t="s">
        <v>2638</v>
      </c>
      <c r="J114" s="146"/>
      <c r="K114" s="146"/>
      <c r="L114" s="146"/>
      <c r="M114" s="146"/>
      <c r="N114" s="1435" t="s">
        <v>993</v>
      </c>
      <c r="O114" s="2605">
        <f>MCA</f>
        <v>3260</v>
      </c>
      <c r="P114" s="146"/>
      <c r="Q114" s="146"/>
      <c r="R114" s="146"/>
    </row>
    <row r="115" spans="2:18" x14ac:dyDescent="0.35">
      <c r="B115" s="146"/>
      <c r="C115" s="43"/>
      <c r="D115" s="43"/>
      <c r="E115" s="43"/>
      <c r="F115" s="43"/>
      <c r="G115" s="44" t="str">
        <f>"Select amount from "&amp;N110</f>
        <v>Select amount from Table B</v>
      </c>
      <c r="H115" s="826" t="str">
        <f>A77</f>
        <v>c15.16</v>
      </c>
      <c r="I115" s="122">
        <f>IF(MCA_to_wife,MCA,IF(MCA_split,MCA_2,0))</f>
        <v>0</v>
      </c>
      <c r="J115" s="146"/>
      <c r="K115" s="146"/>
      <c r="L115" s="146"/>
      <c r="M115" s="43"/>
      <c r="N115" s="1436" t="s">
        <v>994</v>
      </c>
      <c r="O115" s="1437" t="s">
        <v>995</v>
      </c>
      <c r="P115" s="146"/>
      <c r="Q115" s="146"/>
      <c r="R115" s="146"/>
    </row>
    <row r="116" spans="2:18" x14ac:dyDescent="0.35">
      <c r="B116" s="146"/>
      <c r="C116" s="43"/>
      <c r="D116" s="43"/>
      <c r="E116" s="43"/>
      <c r="F116" s="43"/>
      <c r="G116" s="43"/>
      <c r="H116" s="43"/>
      <c r="I116" s="43"/>
      <c r="J116" s="43"/>
      <c r="K116" s="43"/>
      <c r="L116" s="43"/>
      <c r="M116" s="43"/>
      <c r="N116" s="146"/>
      <c r="O116" s="146"/>
      <c r="P116" s="146"/>
      <c r="Q116" s="146"/>
      <c r="R116" s="146"/>
    </row>
    <row r="117" spans="2:18" x14ac:dyDescent="0.35">
      <c r="C117" s="791" t="s">
        <v>6350</v>
      </c>
    </row>
    <row r="118" spans="2:18" x14ac:dyDescent="0.35">
      <c r="B118" s="146"/>
      <c r="C118" s="146"/>
      <c r="D118" s="146"/>
      <c r="E118" s="146"/>
      <c r="F118" s="146"/>
      <c r="G118" s="146"/>
      <c r="H118" s="146"/>
      <c r="I118" s="109" t="str">
        <f>"if MCA"&amp;MCA!C16&amp;" present"</f>
        <v>if MCA9 present</v>
      </c>
      <c r="J118" s="146"/>
      <c r="K118" s="146"/>
      <c r="L118" s="146"/>
      <c r="M118" s="146"/>
      <c r="N118" s="146"/>
      <c r="O118" s="146"/>
      <c r="P118" s="146"/>
      <c r="Q118" s="146"/>
      <c r="R118" s="146"/>
    </row>
    <row r="119" spans="2:18" x14ac:dyDescent="0.35">
      <c r="B119" s="146"/>
      <c r="C119" s="146"/>
      <c r="D119" s="146"/>
      <c r="E119" s="146"/>
      <c r="F119" s="146"/>
      <c r="G119" s="146"/>
      <c r="H119" s="146"/>
      <c r="I119" s="109" t="str">
        <f>H123&amp;" = Select month from table A"</f>
        <v>c15.17 = Select month from table A</v>
      </c>
      <c r="J119" s="146"/>
      <c r="K119" s="146"/>
      <c r="L119" s="146"/>
      <c r="M119" s="146"/>
      <c r="N119" s="146"/>
      <c r="O119" s="146"/>
      <c r="P119" s="146"/>
      <c r="Q119" s="146"/>
      <c r="R119" s="146"/>
    </row>
    <row r="120" spans="2:18" x14ac:dyDescent="0.35">
      <c r="B120" s="146"/>
      <c r="C120" s="146"/>
      <c r="D120" s="146"/>
      <c r="E120" s="146"/>
      <c r="F120" s="146"/>
      <c r="G120" s="146"/>
      <c r="H120" s="146"/>
      <c r="I120" s="146" t="s">
        <v>2520</v>
      </c>
      <c r="J120" s="146"/>
      <c r="K120" s="146"/>
      <c r="L120" s="146"/>
      <c r="M120" s="146"/>
      <c r="N120" s="146"/>
      <c r="O120" s="146"/>
      <c r="P120" s="146"/>
      <c r="Q120" s="146"/>
      <c r="R120" s="146"/>
    </row>
    <row r="121" spans="2:18" x14ac:dyDescent="0.35">
      <c r="B121" s="146"/>
      <c r="C121" s="146"/>
      <c r="D121" s="146"/>
      <c r="E121" s="146"/>
      <c r="F121" s="146"/>
      <c r="G121" s="146"/>
      <c r="H121" s="146"/>
      <c r="I121" s="109" t="str">
        <f>H123&amp;" = 0 (zero)"</f>
        <v>c15.17 = 0 (zero)</v>
      </c>
      <c r="J121" s="146"/>
      <c r="K121" s="146"/>
      <c r="L121" s="146"/>
      <c r="M121" s="146"/>
      <c r="N121" s="146"/>
      <c r="O121" s="146"/>
      <c r="P121" s="146"/>
      <c r="Q121" s="146"/>
      <c r="R121" s="146"/>
    </row>
    <row r="122" spans="2:18" x14ac:dyDescent="0.35">
      <c r="B122" s="146"/>
      <c r="C122" s="146"/>
      <c r="D122" s="146"/>
      <c r="E122" s="146"/>
      <c r="F122" s="146"/>
      <c r="G122" s="146"/>
      <c r="H122" s="146"/>
      <c r="I122" s="146" t="s">
        <v>2638</v>
      </c>
      <c r="J122" s="146"/>
      <c r="K122" s="146"/>
      <c r="L122" s="146"/>
      <c r="M122" s="146"/>
      <c r="N122" s="146"/>
      <c r="O122" s="146"/>
      <c r="P122" s="146"/>
      <c r="Q122" s="146"/>
      <c r="R122" s="146"/>
    </row>
    <row r="123" spans="2:18" x14ac:dyDescent="0.35">
      <c r="B123" s="146"/>
      <c r="C123" s="43"/>
      <c r="D123" s="43"/>
      <c r="E123" s="43"/>
      <c r="F123" s="43"/>
      <c r="G123" s="44" t="str">
        <f>"Select month from "&amp;N83</f>
        <v>Select month from Table A</v>
      </c>
      <c r="H123" s="826" t="str">
        <f>A78</f>
        <v>c15.17</v>
      </c>
      <c r="I123" s="122">
        <f>months_not_married</f>
        <v>0</v>
      </c>
      <c r="J123" s="43"/>
      <c r="K123" s="43"/>
      <c r="L123" s="43"/>
      <c r="M123" s="43"/>
      <c r="N123" s="146"/>
      <c r="O123" s="146"/>
      <c r="P123" s="146"/>
      <c r="Q123" s="146"/>
      <c r="R123" s="146"/>
    </row>
    <row r="124" spans="2:18" x14ac:dyDescent="0.35">
      <c r="B124" s="146"/>
      <c r="C124" s="43"/>
      <c r="D124" s="43"/>
      <c r="E124" s="43"/>
      <c r="F124" s="43"/>
      <c r="G124" s="43"/>
      <c r="H124" s="43"/>
      <c r="I124" s="43"/>
      <c r="J124" s="43"/>
      <c r="K124" s="43"/>
      <c r="L124" s="43"/>
      <c r="M124" s="43"/>
      <c r="N124" s="146"/>
      <c r="O124" s="146"/>
      <c r="P124" s="146"/>
      <c r="Q124" s="146"/>
      <c r="R124" s="146"/>
    </row>
    <row r="125" spans="2:18" x14ac:dyDescent="0.35">
      <c r="B125" s="146"/>
      <c r="C125" s="43"/>
      <c r="D125" s="43"/>
      <c r="E125" s="146"/>
      <c r="F125" s="146"/>
      <c r="G125" s="146"/>
      <c r="H125" s="146"/>
      <c r="I125" s="44" t="str">
        <f>H115&amp;" x "&amp;H123</f>
        <v>c15.16 x c15.17</v>
      </c>
      <c r="J125" s="146"/>
      <c r="K125" s="146"/>
      <c r="L125" s="146"/>
      <c r="M125" s="43"/>
      <c r="N125" s="146"/>
      <c r="O125" s="146"/>
      <c r="P125" s="146"/>
      <c r="Q125" s="146"/>
      <c r="R125" s="146"/>
    </row>
    <row r="126" spans="2:18" x14ac:dyDescent="0.35">
      <c r="B126" s="146"/>
      <c r="C126" s="43"/>
      <c r="D126" s="43"/>
      <c r="E126" s="146"/>
      <c r="F126" s="146"/>
      <c r="G126" s="146"/>
      <c r="H126" s="826" t="str">
        <f>A79</f>
        <v>c15.18</v>
      </c>
      <c r="I126" s="122">
        <f>I115*I123</f>
        <v>0</v>
      </c>
      <c r="J126" s="146"/>
      <c r="K126" s="146"/>
      <c r="L126" s="146"/>
      <c r="M126" s="43"/>
      <c r="N126" s="146"/>
      <c r="O126" s="146"/>
      <c r="P126" s="146"/>
      <c r="Q126" s="146"/>
      <c r="R126" s="146"/>
    </row>
    <row r="127" spans="2:18" x14ac:dyDescent="0.35">
      <c r="B127" s="146"/>
      <c r="C127" s="43"/>
      <c r="D127" s="43"/>
      <c r="E127" s="43"/>
      <c r="F127" s="43"/>
      <c r="G127" s="146"/>
      <c r="H127" s="146"/>
      <c r="I127" s="146"/>
      <c r="J127" s="43"/>
      <c r="K127" s="43"/>
      <c r="L127" s="43"/>
      <c r="M127" s="43"/>
      <c r="N127" s="146"/>
      <c r="O127" s="146"/>
      <c r="P127" s="146"/>
      <c r="Q127" s="146"/>
      <c r="R127" s="146"/>
    </row>
    <row r="128" spans="2:18" x14ac:dyDescent="0.35">
      <c r="B128" s="146"/>
      <c r="C128" s="43"/>
      <c r="D128" s="43"/>
      <c r="E128" s="43"/>
      <c r="F128" s="43"/>
      <c r="G128" s="43"/>
      <c r="H128" s="43"/>
      <c r="I128" s="43"/>
      <c r="J128" s="43"/>
      <c r="K128" s="43"/>
      <c r="L128" s="44" t="str">
        <f>H126&amp;" divided by 12"</f>
        <v>c15.18 divided by 12</v>
      </c>
      <c r="M128" s="43"/>
      <c r="N128" s="146"/>
      <c r="O128" s="146"/>
      <c r="P128" s="146"/>
      <c r="Q128" s="146"/>
      <c r="R128" s="146"/>
    </row>
    <row r="129" spans="2:26" x14ac:dyDescent="0.35">
      <c r="B129" s="146"/>
      <c r="C129" s="43"/>
      <c r="D129" s="43"/>
      <c r="E129" s="43"/>
      <c r="F129" s="43"/>
      <c r="G129" s="43"/>
      <c r="H129" s="43"/>
      <c r="I129" s="43"/>
      <c r="J129" s="146"/>
      <c r="K129" s="826" t="str">
        <f>A80</f>
        <v>c15.19</v>
      </c>
      <c r="L129" s="122">
        <f>TRUNC((I126/12)+0.99,0)</f>
        <v>0</v>
      </c>
      <c r="M129" s="1079" t="s">
        <v>3966</v>
      </c>
      <c r="N129" s="146"/>
      <c r="O129" s="146"/>
      <c r="P129" s="146"/>
      <c r="Q129" s="146"/>
      <c r="R129" s="146"/>
    </row>
    <row r="130" spans="2:26" x14ac:dyDescent="0.35">
      <c r="B130" s="146"/>
      <c r="C130" s="43"/>
      <c r="D130" s="43"/>
      <c r="E130" s="43"/>
      <c r="F130" s="43"/>
      <c r="G130" s="43"/>
      <c r="H130" s="43"/>
      <c r="I130" s="43"/>
      <c r="J130" s="43"/>
      <c r="K130" s="43"/>
      <c r="L130" s="43"/>
      <c r="M130" s="146"/>
      <c r="N130" s="146"/>
      <c r="O130" s="146"/>
      <c r="P130" s="146"/>
      <c r="Q130" s="146"/>
      <c r="R130" s="146"/>
    </row>
    <row r="131" spans="2:26" x14ac:dyDescent="0.35">
      <c r="B131" s="146"/>
      <c r="C131" s="146"/>
      <c r="D131" s="146"/>
      <c r="E131" s="146"/>
      <c r="F131" s="146"/>
      <c r="G131" s="146"/>
      <c r="H131" s="43"/>
      <c r="I131" s="146"/>
      <c r="J131" s="146"/>
      <c r="K131" s="146"/>
      <c r="L131" s="44" t="str">
        <f>H115&amp;" minus "&amp;K129</f>
        <v>c15.16 minus c15.19</v>
      </c>
      <c r="M131" s="146"/>
      <c r="N131" s="146"/>
      <c r="O131" s="146"/>
      <c r="P131" s="146"/>
      <c r="Q131" s="146"/>
      <c r="R131" s="146"/>
    </row>
    <row r="132" spans="2:26" x14ac:dyDescent="0.35">
      <c r="B132" s="146"/>
      <c r="C132" s="146"/>
      <c r="D132" s="146"/>
      <c r="E132" s="146"/>
      <c r="F132" s="146"/>
      <c r="G132" s="146"/>
      <c r="H132" s="43"/>
      <c r="I132" s="43"/>
      <c r="J132" s="146"/>
      <c r="K132" s="826" t="str">
        <f>A81</f>
        <v>c15.20</v>
      </c>
      <c r="L132" s="122">
        <f>MAX(0,I115-L129)</f>
        <v>0</v>
      </c>
      <c r="M132" s="146"/>
      <c r="N132" s="146"/>
      <c r="O132" s="146"/>
      <c r="P132" s="146"/>
      <c r="Q132" s="146"/>
      <c r="R132" s="146"/>
    </row>
    <row r="133" spans="2:26" x14ac:dyDescent="0.35">
      <c r="B133" s="146"/>
      <c r="C133" s="146"/>
      <c r="D133" s="146"/>
      <c r="E133" s="146"/>
      <c r="F133" s="146"/>
      <c r="G133" s="146"/>
      <c r="H133" s="146"/>
      <c r="I133" s="43"/>
      <c r="J133" s="964"/>
      <c r="K133" s="43"/>
      <c r="L133" s="109" t="str">
        <f>"If MCA"&amp;MCA!C5&amp;" is present then copy "&amp;K132&amp;" to box "&amp;'Tax adj (c9)'!I50</f>
        <v>If MCA8 is present then copy c15.20 to box c9.16</v>
      </c>
      <c r="M133" s="146"/>
      <c r="N133" s="146"/>
      <c r="O133" s="146"/>
      <c r="P133" s="146"/>
      <c r="Q133" s="146"/>
      <c r="R133" s="146"/>
    </row>
    <row r="134" spans="2:26" x14ac:dyDescent="0.35">
      <c r="B134" s="146"/>
      <c r="C134" s="40" t="s">
        <v>2520</v>
      </c>
    </row>
    <row r="135" spans="2:26" x14ac:dyDescent="0.35">
      <c r="B135" s="146"/>
      <c r="C135" s="40" t="str">
        <f>H115&amp;" to "&amp;K132&amp;" = 0 (zero)"</f>
        <v>c15.16 to c15.20 = 0 (zero)</v>
      </c>
    </row>
    <row r="136" spans="2:26" x14ac:dyDescent="0.35">
      <c r="B136" s="146"/>
      <c r="C136" s="40" t="s">
        <v>2638</v>
      </c>
    </row>
    <row r="137" spans="2:26" x14ac:dyDescent="0.35">
      <c r="B137" s="146"/>
      <c r="C137" s="760"/>
      <c r="D137" s="760"/>
      <c r="E137" s="760"/>
      <c r="F137" s="760"/>
      <c r="G137" s="760"/>
      <c r="H137" s="760"/>
      <c r="I137" s="760"/>
      <c r="J137" s="760"/>
      <c r="K137" s="760"/>
      <c r="L137" s="760"/>
      <c r="M137" s="760"/>
      <c r="N137" s="760"/>
      <c r="O137" s="760"/>
      <c r="P137" s="760"/>
      <c r="Q137" s="760"/>
      <c r="R137" s="760"/>
      <c r="S137" s="760"/>
      <c r="T137" s="760"/>
      <c r="U137" s="760"/>
      <c r="V137" s="760"/>
      <c r="W137" s="760"/>
      <c r="X137" s="760"/>
      <c r="Y137" s="760"/>
      <c r="Z137" s="760"/>
    </row>
    <row r="138" spans="2:26" x14ac:dyDescent="0.35">
      <c r="B138" s="146"/>
      <c r="C138" s="146"/>
      <c r="D138" s="146"/>
      <c r="E138" s="43"/>
      <c r="F138" s="43"/>
      <c r="G138" s="43"/>
      <c r="H138" s="146"/>
      <c r="I138" s="146"/>
      <c r="J138" s="146"/>
      <c r="K138" s="146"/>
      <c r="L138" s="146"/>
      <c r="M138" s="146"/>
      <c r="N138" s="146"/>
      <c r="O138" s="146"/>
      <c r="P138" s="43"/>
      <c r="Q138" s="43"/>
      <c r="R138" s="43"/>
      <c r="S138" s="43"/>
      <c r="T138" s="43"/>
      <c r="U138" s="43"/>
      <c r="V138" s="43"/>
      <c r="W138" s="43"/>
      <c r="X138" s="43"/>
      <c r="Y138" s="43"/>
      <c r="Z138" s="43"/>
    </row>
    <row r="139" spans="2:26" x14ac:dyDescent="0.35">
      <c r="B139" s="146"/>
      <c r="J139" s="3045"/>
      <c r="K139" s="3045"/>
      <c r="L139" s="3044" t="str">
        <f>"If box MCA"&amp;MCA!C4&amp;" is present"</f>
        <v>If box MCA1 is present</v>
      </c>
      <c r="M139" s="146"/>
      <c r="N139" s="146"/>
      <c r="O139" s="146"/>
      <c r="P139" s="146"/>
      <c r="Q139" s="146"/>
      <c r="R139" s="146"/>
    </row>
    <row r="140" spans="2:26" x14ac:dyDescent="0.35">
      <c r="J140" s="3045"/>
      <c r="K140" s="3045"/>
      <c r="L140" s="3044" t="str">
        <f>K148&amp;" = "&amp;K93&amp;" minus "&amp;K132</f>
        <v>c15.21 = c15.15 minus c15.20</v>
      </c>
      <c r="M140" s="146"/>
      <c r="N140" s="146"/>
      <c r="O140" s="146"/>
      <c r="P140" s="146"/>
      <c r="Q140" s="146"/>
      <c r="R140" s="146"/>
    </row>
    <row r="141" spans="2:26" x14ac:dyDescent="0.35">
      <c r="J141" s="3045"/>
      <c r="K141" s="3045"/>
      <c r="L141" s="3091" t="s">
        <v>2520</v>
      </c>
      <c r="M141" s="146"/>
      <c r="N141" s="146"/>
      <c r="O141" s="146"/>
      <c r="P141" s="146"/>
      <c r="Q141" s="146"/>
      <c r="R141" s="146"/>
    </row>
    <row r="142" spans="2:26" x14ac:dyDescent="0.35">
      <c r="J142" s="3045"/>
      <c r="K142" s="3045"/>
      <c r="L142" s="3044" t="str">
        <f>"If box MCA"&amp;MCA!C5&amp;" is present"</f>
        <v>If box MCA8 is present</v>
      </c>
      <c r="M142" s="146"/>
      <c r="N142" s="146"/>
      <c r="O142" s="146"/>
      <c r="P142" s="146"/>
      <c r="Q142" s="146"/>
      <c r="R142" s="146"/>
    </row>
    <row r="143" spans="2:26" x14ac:dyDescent="0.35">
      <c r="J143" s="3045"/>
      <c r="K143" s="3045"/>
      <c r="L143" s="3044" t="str">
        <f>K148&amp;" = "&amp;K132</f>
        <v>c15.21 = c15.20</v>
      </c>
    </row>
    <row r="144" spans="2:26" x14ac:dyDescent="0.35">
      <c r="J144" s="3045"/>
      <c r="K144" s="3045"/>
      <c r="L144" s="3045" t="s">
        <v>2520</v>
      </c>
    </row>
    <row r="145" spans="3:12" x14ac:dyDescent="0.35">
      <c r="J145" s="3045"/>
      <c r="K145" s="3045"/>
      <c r="L145" s="3045" t="str">
        <f>K148&amp;" = 0 (zero)"</f>
        <v>c15.21 = 0 (zero)</v>
      </c>
    </row>
    <row r="146" spans="3:12" x14ac:dyDescent="0.35">
      <c r="C146" s="146"/>
      <c r="D146" s="146"/>
      <c r="E146" s="146"/>
      <c r="F146" s="146"/>
      <c r="G146" s="146"/>
      <c r="H146" s="146"/>
      <c r="I146" s="146"/>
      <c r="J146" s="3045"/>
      <c r="K146" s="3045"/>
      <c r="L146" s="3045" t="s">
        <v>2638</v>
      </c>
    </row>
    <row r="147" spans="3:12" x14ac:dyDescent="0.35">
      <c r="J147" s="3045"/>
      <c r="K147" s="3045"/>
      <c r="L147" s="3045" t="s">
        <v>2638</v>
      </c>
    </row>
    <row r="148" spans="3:12" x14ac:dyDescent="0.35">
      <c r="C148" s="791" t="s">
        <v>4041</v>
      </c>
      <c r="D148" s="146"/>
      <c r="E148" s="146"/>
      <c r="F148" s="146"/>
      <c r="G148" s="146"/>
      <c r="H148" s="146"/>
      <c r="I148" s="146"/>
      <c r="J148" s="146"/>
      <c r="K148" s="826" t="str">
        <f>A82</f>
        <v>c15.21</v>
      </c>
      <c r="L148" s="122">
        <f>IF(man_mca_claim,MAX(0,L93-L132),IF(wife_mca_claim,L132,0))</f>
        <v>0</v>
      </c>
    </row>
    <row r="149" spans="3:12" x14ac:dyDescent="0.35">
      <c r="C149" s="146"/>
      <c r="D149" s="146"/>
      <c r="E149" s="146"/>
      <c r="F149" s="146"/>
      <c r="G149" s="146"/>
      <c r="H149" s="146"/>
      <c r="I149" s="146"/>
      <c r="J149" s="964"/>
      <c r="K149" s="146"/>
      <c r="L149" s="44" t="str">
        <f>"If MCA"&amp;MCA!C4&amp;" is present then copy "&amp;K148&amp;" to box "&amp;'Tax adj (c9)'!I50</f>
        <v>If MCA1 is present then copy c15.21 to box c9.16</v>
      </c>
    </row>
  </sheetData>
  <phoneticPr fontId="68" type="noConversion"/>
  <pageMargins left="0.15748031496062992" right="0.15748031496062992" top="0.19685039370078741" bottom="0.19685039370078741" header="0.19685039370078741" footer="0.19685039370078741"/>
  <pageSetup paperSize="9" scale="84" orientation="landscape"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FF99"/>
  </sheetPr>
  <dimension ref="A1:T177"/>
  <sheetViews>
    <sheetView showGridLines="0" topLeftCell="B127" zoomScaleNormal="100" workbookViewId="0">
      <selection activeCell="O151" sqref="O151"/>
    </sheetView>
  </sheetViews>
  <sheetFormatPr defaultColWidth="9.1328125" defaultRowHeight="11.65" x14ac:dyDescent="0.35"/>
  <cols>
    <col min="1" max="1" width="3.1328125" style="43" hidden="1" customWidth="1"/>
    <col min="2" max="2" width="6.86328125" style="43" customWidth="1"/>
    <col min="3" max="3" width="17.59765625" style="43" customWidth="1"/>
    <col min="4" max="4" width="6" style="43" customWidth="1"/>
    <col min="5" max="5" width="13.86328125" style="43" customWidth="1"/>
    <col min="6" max="6" width="9.59765625" style="43" customWidth="1"/>
    <col min="7" max="7" width="6.3984375" style="43" customWidth="1"/>
    <col min="8" max="8" width="12.86328125" style="43" customWidth="1"/>
    <col min="9" max="9" width="12" style="43" customWidth="1"/>
    <col min="10" max="10" width="6.86328125" style="43" customWidth="1"/>
    <col min="11" max="11" width="13" style="43" customWidth="1"/>
    <col min="12" max="12" width="3.3984375" style="43" customWidth="1"/>
    <col min="13" max="13" width="11.1328125" style="43" customWidth="1"/>
    <col min="14" max="14" width="5.59765625" style="43" customWidth="1"/>
    <col min="15" max="15" width="21.1328125" style="43" customWidth="1"/>
    <col min="16" max="16384" width="9.1328125" style="43"/>
  </cols>
  <sheetData>
    <row r="1" spans="1:20" ht="17.649999999999999" x14ac:dyDescent="0.5">
      <c r="A1" s="43" t="s">
        <v>2124</v>
      </c>
      <c r="B1" s="1929" t="s">
        <v>3087</v>
      </c>
    </row>
    <row r="2" spans="1:20" x14ac:dyDescent="0.35">
      <c r="A2" s="43" t="s">
        <v>2125</v>
      </c>
    </row>
    <row r="3" spans="1:20" x14ac:dyDescent="0.35">
      <c r="A3" s="43" t="s">
        <v>2126</v>
      </c>
      <c r="C3" s="452" t="s">
        <v>884</v>
      </c>
      <c r="D3" s="839"/>
      <c r="E3" s="839"/>
      <c r="F3" s="472"/>
      <c r="G3" s="445"/>
      <c r="H3" s="445"/>
    </row>
    <row r="4" spans="1:20" x14ac:dyDescent="0.35">
      <c r="A4" s="43" t="s">
        <v>2127</v>
      </c>
    </row>
    <row r="5" spans="1:20" x14ac:dyDescent="0.35">
      <c r="A5" s="43" t="s">
        <v>4252</v>
      </c>
      <c r="C5" s="1228"/>
      <c r="D5" s="1935"/>
      <c r="E5" s="1935"/>
      <c r="F5" s="1266"/>
      <c r="G5" s="1266"/>
      <c r="H5" s="1274"/>
    </row>
    <row r="6" spans="1:20" x14ac:dyDescent="0.35">
      <c r="A6" s="43" t="s">
        <v>4253</v>
      </c>
      <c r="C6" s="1230"/>
      <c r="D6" s="1156"/>
      <c r="E6" s="1156"/>
      <c r="H6" s="1275"/>
    </row>
    <row r="7" spans="1:20" x14ac:dyDescent="0.35">
      <c r="A7" s="43" t="s">
        <v>4254</v>
      </c>
      <c r="C7" s="1230"/>
      <c r="D7" s="1156"/>
      <c r="E7" s="1156"/>
      <c r="H7" s="1275"/>
    </row>
    <row r="8" spans="1:20" x14ac:dyDescent="0.35">
      <c r="A8" s="43" t="s">
        <v>4255</v>
      </c>
      <c r="C8" s="1232"/>
      <c r="D8" s="1233"/>
      <c r="E8" s="1233"/>
      <c r="F8" s="1270"/>
      <c r="G8" s="1270"/>
      <c r="H8" s="1199"/>
    </row>
    <row r="9" spans="1:20" x14ac:dyDescent="0.35">
      <c r="A9" s="43" t="s">
        <v>4256</v>
      </c>
      <c r="T9" s="61"/>
    </row>
    <row r="10" spans="1:20" ht="13.15" x14ac:dyDescent="0.35">
      <c r="A10" s="43" t="s">
        <v>4257</v>
      </c>
      <c r="C10" s="1416" t="s">
        <v>6285</v>
      </c>
      <c r="E10" s="2606" t="s">
        <v>6317</v>
      </c>
      <c r="G10" s="1427" t="str">
        <f>"("&amp;LUN&amp;LUN!K16&amp;" = Y) or any instances of boxes ("&amp;SSE&amp;SE!C17&amp;" = Y) or ("&amp;FSE&amp;SE!G29&amp;" = Y) or ("&amp;SPS&amp;PS!C22&amp;" = Y) or ("&amp;FPS&amp;PS!J13&amp;" = Y)"</f>
        <v>(LUN64 = Y) or any instances of boxes (SSE37 = Y) or (FSE101 = Y) or (SPS26 = Y) or (FPS26 = Y)</v>
      </c>
      <c r="I10" s="7"/>
      <c r="J10"/>
      <c r="K10"/>
      <c r="L10"/>
      <c r="M10"/>
      <c r="T10" s="61"/>
    </row>
    <row r="11" spans="1:20" ht="12.75" x14ac:dyDescent="0.35">
      <c r="A11" s="43" t="s">
        <v>4258</v>
      </c>
      <c r="E11" s="2859" t="str">
        <f>"or "&amp;NRD&amp;NRD!C5&amp;" = Y"</f>
        <v>or NRD1 = Y</v>
      </c>
      <c r="F11" s="2860"/>
      <c r="G11" s="2861" t="s">
        <v>6318</v>
      </c>
      <c r="H11" s="2860"/>
      <c r="I11" s="2860"/>
      <c r="T11" s="61"/>
    </row>
    <row r="12" spans="1:20" x14ac:dyDescent="0.35">
      <c r="A12" s="43" t="s">
        <v>4259</v>
      </c>
      <c r="F12" s="43" t="str">
        <f>"Calculate "&amp;D37&amp;" to "&amp;G72</f>
        <v>Calculate c16.1 to c16.12</v>
      </c>
      <c r="T12" s="61"/>
    </row>
    <row r="13" spans="1:20" ht="12.75" x14ac:dyDescent="0.35">
      <c r="A13" s="43" t="s">
        <v>4260</v>
      </c>
      <c r="F13" s="43" t="str">
        <f>"Set "&amp;G75&amp;" to "&amp;J150&amp;" to 0 (zero)"</f>
        <v>Set c16.13 to c16.31 to 0 (zero)</v>
      </c>
      <c r="H13" s="7"/>
      <c r="I13" s="2607"/>
      <c r="J13"/>
      <c r="K13"/>
      <c r="L13"/>
      <c r="M13"/>
      <c r="T13" s="61"/>
    </row>
    <row r="14" spans="1:20" ht="12.75" x14ac:dyDescent="0.35">
      <c r="A14" s="43" t="s">
        <v>4261</v>
      </c>
      <c r="E14" s="1285" t="s">
        <v>1370</v>
      </c>
      <c r="H14" s="2607"/>
      <c r="I14" s="7"/>
      <c r="J14"/>
      <c r="K14"/>
      <c r="L14"/>
      <c r="M14"/>
      <c r="S14" s="61"/>
      <c r="T14" s="61"/>
    </row>
    <row r="15" spans="1:20" ht="12.75" x14ac:dyDescent="0.35">
      <c r="A15" s="43" t="s">
        <v>3928</v>
      </c>
      <c r="F15" s="43" t="str">
        <f>"Calculate "&amp;D37&amp;" to "&amp;A19</f>
        <v>Calculate c16.1 to c16.19</v>
      </c>
      <c r="H15" s="7"/>
      <c r="I15" s="2607"/>
      <c r="J15"/>
      <c r="K15"/>
      <c r="L15"/>
      <c r="M15"/>
      <c r="S15" s="61"/>
      <c r="T15" s="61"/>
    </row>
    <row r="16" spans="1:20" ht="12.75" x14ac:dyDescent="0.35">
      <c r="A16" s="43" t="s">
        <v>3929</v>
      </c>
      <c r="E16" s="2608"/>
      <c r="F16" s="1855"/>
      <c r="G16" s="1858"/>
      <c r="H16" s="2609"/>
      <c r="I16" s="2610"/>
      <c r="J16" s="1859"/>
      <c r="K16" s="1865"/>
      <c r="L16"/>
      <c r="M16"/>
      <c r="T16" s="61"/>
    </row>
    <row r="17" spans="1:20" ht="12.75" x14ac:dyDescent="0.35">
      <c r="A17" s="43" t="s">
        <v>3930</v>
      </c>
      <c r="E17" s="1230"/>
      <c r="F17" s="1863"/>
      <c r="G17" s="1156"/>
      <c r="H17" s="2611"/>
      <c r="I17" s="2611"/>
      <c r="J17" s="1856"/>
      <c r="K17" s="1860"/>
      <c r="L17"/>
      <c r="M17"/>
      <c r="S17" s="61"/>
      <c r="T17" s="61"/>
    </row>
    <row r="18" spans="1:20" ht="12.75" x14ac:dyDescent="0.35">
      <c r="A18" s="43" t="s">
        <v>3931</v>
      </c>
      <c r="E18" s="1230"/>
      <c r="F18" s="1863"/>
      <c r="G18" s="1156"/>
      <c r="H18" s="2611"/>
      <c r="I18" s="2611"/>
      <c r="J18" s="1231"/>
      <c r="K18" s="1857"/>
      <c r="L18"/>
      <c r="M18"/>
      <c r="S18" s="61"/>
      <c r="T18" s="61"/>
    </row>
    <row r="19" spans="1:20" ht="12.75" x14ac:dyDescent="0.35">
      <c r="A19" s="43" t="s">
        <v>3932</v>
      </c>
      <c r="E19" s="2612"/>
      <c r="G19" s="1156"/>
      <c r="H19" s="2611"/>
      <c r="I19" s="1156"/>
      <c r="J19" s="1861"/>
      <c r="K19" s="1860"/>
      <c r="L19"/>
      <c r="M19"/>
      <c r="S19" s="61"/>
      <c r="T19" s="61"/>
    </row>
    <row r="20" spans="1:20" ht="12.75" x14ac:dyDescent="0.35">
      <c r="A20" s="43" t="s">
        <v>651</v>
      </c>
      <c r="E20" s="1230"/>
      <c r="F20" s="2613"/>
      <c r="G20" s="1156"/>
      <c r="H20" s="2611"/>
      <c r="I20" s="2611"/>
      <c r="J20" s="1231"/>
      <c r="K20" s="1860"/>
      <c r="L20"/>
      <c r="M20"/>
      <c r="S20" s="61"/>
      <c r="T20" s="61"/>
    </row>
    <row r="21" spans="1:20" ht="12.75" x14ac:dyDescent="0.35">
      <c r="A21" s="43" t="s">
        <v>4594</v>
      </c>
      <c r="E21" s="1230"/>
      <c r="F21" s="2614"/>
      <c r="G21" s="1156"/>
      <c r="H21" s="2611"/>
      <c r="I21" s="2611"/>
      <c r="J21" s="1861"/>
      <c r="K21" s="1857"/>
      <c r="L21"/>
      <c r="M21"/>
      <c r="S21" s="61"/>
      <c r="T21" s="61"/>
    </row>
    <row r="22" spans="1:20" ht="12.75" x14ac:dyDescent="0.35">
      <c r="A22" s="43" t="s">
        <v>4595</v>
      </c>
      <c r="E22" s="1230"/>
      <c r="F22" s="2614"/>
      <c r="G22" s="1156"/>
      <c r="H22" s="2611"/>
      <c r="I22" s="2611"/>
      <c r="J22" s="1861"/>
      <c r="K22" s="1857"/>
      <c r="L22"/>
      <c r="M22"/>
      <c r="S22" s="61"/>
      <c r="T22" s="61"/>
    </row>
    <row r="23" spans="1:20" ht="12.75" x14ac:dyDescent="0.35">
      <c r="A23" s="43" t="s">
        <v>4596</v>
      </c>
      <c r="E23" s="2615"/>
      <c r="F23" s="1270"/>
      <c r="G23" s="1233"/>
      <c r="H23" s="2616"/>
      <c r="I23" s="2616"/>
      <c r="J23" s="1234"/>
      <c r="K23" s="1860"/>
      <c r="L23"/>
      <c r="M23"/>
      <c r="S23" s="61"/>
      <c r="T23" s="61"/>
    </row>
    <row r="24" spans="1:20" ht="12.75" x14ac:dyDescent="0.35">
      <c r="A24" s="43" t="s">
        <v>4597</v>
      </c>
      <c r="F24" s="43" t="str">
        <f>"If "&amp;G75&amp;" = 0 (zero)"</f>
        <v>If c16.13 = 0 (zero)</v>
      </c>
      <c r="H24" s="7"/>
      <c r="I24" s="7"/>
      <c r="J24"/>
      <c r="K24" s="1854"/>
      <c r="L24"/>
      <c r="M24"/>
      <c r="S24" s="61"/>
      <c r="T24" s="61"/>
    </row>
    <row r="25" spans="1:20" ht="12.75" x14ac:dyDescent="0.35">
      <c r="A25" s="43" t="s">
        <v>4598</v>
      </c>
      <c r="F25" s="1864" t="str">
        <f>"Set "&amp;J94&amp;" to "&amp;J142&amp;" to 0 (zero)"</f>
        <v>Set c16.20 to c16.30 to 0 (zero)</v>
      </c>
      <c r="I25" s="7"/>
      <c r="J25"/>
      <c r="K25"/>
      <c r="L25" s="1854"/>
      <c r="M25"/>
      <c r="S25" s="61"/>
    </row>
    <row r="26" spans="1:20" ht="12.75" x14ac:dyDescent="0.35">
      <c r="A26" s="43" t="s">
        <v>4599</v>
      </c>
      <c r="F26" s="1864" t="str">
        <f>"Set "&amp;J150&amp;" = "&amp;J87</f>
        <v>Set c16.31 = c16.19</v>
      </c>
      <c r="I26" s="7"/>
      <c r="J26"/>
      <c r="K26"/>
      <c r="L26" s="1854"/>
      <c r="M26"/>
      <c r="S26" s="61"/>
    </row>
    <row r="27" spans="1:20" ht="12.75" x14ac:dyDescent="0.35">
      <c r="A27" s="43" t="s">
        <v>4600</v>
      </c>
      <c r="F27" s="2606" t="s">
        <v>1370</v>
      </c>
      <c r="H27" s="7"/>
      <c r="I27" s="7"/>
      <c r="J27"/>
      <c r="L27"/>
      <c r="M27"/>
      <c r="S27" s="61"/>
    </row>
    <row r="28" spans="1:20" ht="12.75" x14ac:dyDescent="0.35">
      <c r="A28" s="43" t="s">
        <v>4601</v>
      </c>
      <c r="F28" s="1285" t="str">
        <f>"Calculate "&amp;J94</f>
        <v>Calculate c16.20</v>
      </c>
      <c r="H28" s="7"/>
      <c r="I28" s="7"/>
      <c r="J28"/>
      <c r="K28"/>
      <c r="L28" s="1854"/>
      <c r="M28"/>
      <c r="S28" s="61"/>
    </row>
    <row r="29" spans="1:20" ht="12.75" x14ac:dyDescent="0.35">
      <c r="A29" s="43" t="s">
        <v>4606</v>
      </c>
      <c r="E29" s="1285"/>
      <c r="F29" s="1285" t="str">
        <f>"If "&amp;J94&amp;" = 0 (zero)"</f>
        <v>If c16.20 = 0 (zero)</v>
      </c>
      <c r="H29" s="7"/>
      <c r="I29" s="7"/>
      <c r="J29"/>
      <c r="K29"/>
      <c r="L29" s="1854"/>
      <c r="M29"/>
      <c r="S29" s="61"/>
    </row>
    <row r="30" spans="1:20" ht="12.75" x14ac:dyDescent="0.35">
      <c r="A30" s="43" t="s">
        <v>4607</v>
      </c>
      <c r="F30" s="100" t="str">
        <f>"Set "&amp;J97&amp;" to "&amp;J142&amp;" to 0 (zero)"</f>
        <v>Set c16.21 to c16.30 to 0 (zero)</v>
      </c>
      <c r="H30" s="7"/>
      <c r="I30" s="7"/>
      <c r="J30"/>
      <c r="K30"/>
      <c r="L30"/>
      <c r="M30" s="1854"/>
    </row>
    <row r="31" spans="1:20" ht="12.75" x14ac:dyDescent="0.35">
      <c r="A31" s="43" t="s">
        <v>4608</v>
      </c>
      <c r="F31" s="100" t="str">
        <f>"Set "&amp;J150&amp;" = "&amp;J87</f>
        <v>Set c16.31 = c16.19</v>
      </c>
      <c r="H31" s="7"/>
      <c r="I31" s="7"/>
      <c r="J31"/>
      <c r="K31"/>
      <c r="L31"/>
      <c r="M31" s="1854"/>
    </row>
    <row r="32" spans="1:20" ht="12.75" x14ac:dyDescent="0.35">
      <c r="A32" s="43" t="s">
        <v>4609</v>
      </c>
      <c r="F32" s="2606" t="s">
        <v>1370</v>
      </c>
      <c r="H32" s="7"/>
      <c r="I32" s="7"/>
      <c r="J32"/>
      <c r="K32"/>
      <c r="M32"/>
    </row>
    <row r="33" spans="1:13" ht="12.75" x14ac:dyDescent="0.35">
      <c r="A33" s="43" t="s">
        <v>4610</v>
      </c>
      <c r="F33" s="100" t="str">
        <f>"Calculate "&amp;J97&amp;" to "&amp;J142</f>
        <v>Calculate c16.21 to c16.30</v>
      </c>
      <c r="H33" s="7"/>
      <c r="I33" s="7"/>
      <c r="J33"/>
      <c r="K33"/>
      <c r="L33"/>
      <c r="M33" s="1854"/>
    </row>
    <row r="34" spans="1:13" ht="12.75" x14ac:dyDescent="0.35">
      <c r="A34" s="43" t="s">
        <v>4611</v>
      </c>
      <c r="F34" s="100" t="str">
        <f>"Set "&amp;J150&amp;" to lower of "&amp;J87&amp;" and "&amp;J142</f>
        <v>Set c16.31 to lower of c16.19 and c16.30</v>
      </c>
      <c r="H34" s="7"/>
      <c r="I34" s="7"/>
      <c r="J34"/>
      <c r="K34"/>
      <c r="L34"/>
      <c r="M34" s="1854"/>
    </row>
    <row r="35" spans="1:13" x14ac:dyDescent="0.35">
      <c r="A35" s="43" t="s">
        <v>4612</v>
      </c>
      <c r="M35" s="61"/>
    </row>
    <row r="36" spans="1:13" x14ac:dyDescent="0.35">
      <c r="A36" s="43" t="s">
        <v>4613</v>
      </c>
      <c r="C36" s="784"/>
      <c r="D36" s="784"/>
      <c r="E36" s="757" t="str">
        <f>"Total all instances ("&amp;SSE&amp;SE!C8&amp;")"</f>
        <v>Total all instances (SSE31)</v>
      </c>
      <c r="M36" s="61"/>
    </row>
    <row r="37" spans="1:13" x14ac:dyDescent="0.35">
      <c r="B37" s="784" t="s">
        <v>2411</v>
      </c>
      <c r="D37" s="790" t="str">
        <f>A1</f>
        <v>c16.1</v>
      </c>
      <c r="E37" s="420">
        <f>TRUNC(SE!D9,0)</f>
        <v>0</v>
      </c>
      <c r="F37" s="1162" t="s">
        <v>4811</v>
      </c>
      <c r="M37" s="61"/>
    </row>
    <row r="38" spans="1:13" x14ac:dyDescent="0.35">
      <c r="M38" s="61"/>
    </row>
    <row r="39" spans="1:13" x14ac:dyDescent="0.35">
      <c r="C39" s="784"/>
      <c r="D39" s="784"/>
      <c r="E39" s="840" t="str">
        <f>"Total all instances ("&amp;FSE&amp;SE!G14&amp;")"</f>
        <v>Total all instances (FSE76)</v>
      </c>
      <c r="M39" s="61"/>
    </row>
    <row r="40" spans="1:13" x14ac:dyDescent="0.35">
      <c r="D40" s="790" t="str">
        <f>A2</f>
        <v>c16.2</v>
      </c>
      <c r="E40" s="420">
        <f>TRUNC(SE!H15,0)</f>
        <v>0</v>
      </c>
      <c r="F40" s="1162" t="s">
        <v>4812</v>
      </c>
    </row>
    <row r="41" spans="1:13" x14ac:dyDescent="0.35">
      <c r="C41" s="784"/>
      <c r="D41" s="784"/>
      <c r="L41" s="61"/>
      <c r="M41" s="473"/>
    </row>
    <row r="42" spans="1:13" x14ac:dyDescent="0.35">
      <c r="C42" s="784"/>
      <c r="D42" s="784"/>
      <c r="E42" s="840" t="str">
        <f>"from "&amp;LUN&amp;LUN!K7</f>
        <v>from LUN52</v>
      </c>
      <c r="L42" s="61"/>
      <c r="M42" s="473"/>
    </row>
    <row r="43" spans="1:13" x14ac:dyDescent="0.35">
      <c r="B43" s="784" t="s">
        <v>2412</v>
      </c>
      <c r="D43" s="790" t="str">
        <f>A3</f>
        <v>c16.3</v>
      </c>
      <c r="E43" s="420">
        <f>TRUNC(LUN!L8,0)</f>
        <v>0</v>
      </c>
      <c r="F43" s="1084" t="s">
        <v>1837</v>
      </c>
      <c r="J43" s="61"/>
      <c r="K43" s="61"/>
      <c r="L43" s="61"/>
      <c r="M43" s="474"/>
    </row>
    <row r="44" spans="1:13" x14ac:dyDescent="0.35">
      <c r="G44" s="146"/>
      <c r="H44" s="146"/>
      <c r="J44" s="61"/>
      <c r="K44" s="61"/>
      <c r="M44" s="1134"/>
    </row>
    <row r="45" spans="1:13" x14ac:dyDescent="0.35">
      <c r="C45" s="784"/>
      <c r="D45" s="784"/>
      <c r="E45" s="840" t="str">
        <f>"Total all instances ("&amp;SPS&amp;PS!C13&amp;")"</f>
        <v>Total all instances (SPS20)</v>
      </c>
      <c r="L45" s="61"/>
      <c r="M45" s="1134"/>
    </row>
    <row r="46" spans="1:13" x14ac:dyDescent="0.35">
      <c r="B46" s="784" t="s">
        <v>2413</v>
      </c>
      <c r="D46" s="790" t="str">
        <f>A4</f>
        <v>c16.4</v>
      </c>
      <c r="E46" s="420">
        <f>TRUNC(PS!D14,0)</f>
        <v>0</v>
      </c>
      <c r="F46" s="1162" t="s">
        <v>4813</v>
      </c>
      <c r="I46" s="398"/>
      <c r="J46" s="61"/>
      <c r="K46" s="61"/>
      <c r="L46" s="61"/>
      <c r="M46" s="1142"/>
    </row>
    <row r="47" spans="1:13" x14ac:dyDescent="0.35">
      <c r="C47" s="784"/>
      <c r="D47" s="784"/>
      <c r="E47" s="422"/>
      <c r="J47" s="61"/>
      <c r="K47" s="61"/>
      <c r="L47" s="61"/>
      <c r="M47" s="1134"/>
    </row>
    <row r="48" spans="1:13" x14ac:dyDescent="0.35">
      <c r="D48" s="784"/>
      <c r="E48" s="840" t="str">
        <f>"Total all instances ("&amp;FPS&amp;PS!J7&amp;")"</f>
        <v>Total all instances (FPS20)</v>
      </c>
      <c r="J48" s="61"/>
      <c r="K48" s="61"/>
      <c r="L48" s="61"/>
      <c r="M48" s="1134"/>
    </row>
    <row r="49" spans="2:12" x14ac:dyDescent="0.35">
      <c r="C49" s="784"/>
      <c r="D49" s="790" t="str">
        <f>A5</f>
        <v>c16.5</v>
      </c>
      <c r="E49" s="420">
        <f>TRUNC(PS!K8,0)</f>
        <v>0</v>
      </c>
      <c r="F49" s="1162" t="s">
        <v>4814</v>
      </c>
      <c r="L49" s="61"/>
    </row>
    <row r="50" spans="2:12" x14ac:dyDescent="0.35">
      <c r="C50" s="784"/>
      <c r="L50" s="61"/>
    </row>
    <row r="51" spans="2:12" x14ac:dyDescent="0.35">
      <c r="H51" s="44" t="str">
        <f>D37&amp;" + "&amp;D40&amp;" + "&amp;D43&amp;" + "&amp;D46&amp;" + "&amp;D49</f>
        <v>c16.1 + c16.2 + c16.3 + c16.4 + c16.5</v>
      </c>
      <c r="L51" s="61"/>
    </row>
    <row r="52" spans="2:12" x14ac:dyDescent="0.35">
      <c r="B52" s="60" t="s">
        <v>3085</v>
      </c>
      <c r="G52" s="790" t="str">
        <f>A6</f>
        <v>c16.6</v>
      </c>
      <c r="H52" s="420">
        <f>E37+E40+E43+E46+E49</f>
        <v>0</v>
      </c>
      <c r="L52" s="61"/>
    </row>
    <row r="54" spans="2:12" ht="12.75" x14ac:dyDescent="0.35">
      <c r="B54" s="1862" t="str">
        <f>"NIC Adjustments (use absolute value of Return boxes in boxes "&amp;D57&amp;" to "&amp;D66&amp;")"</f>
        <v>NIC Adjustments (use absolute value of Return boxes in boxes c16.7 to c16.10)</v>
      </c>
    </row>
    <row r="55" spans="2:12" x14ac:dyDescent="0.35">
      <c r="L55" s="61"/>
    </row>
    <row r="56" spans="2:12" x14ac:dyDescent="0.35">
      <c r="E56" s="757" t="str">
        <f>"Total all instances absolute value ("&amp;FSE&amp;SE!G32&amp;")"</f>
        <v>Total all instances absolute value (FSE102)</v>
      </c>
      <c r="L56" s="61"/>
    </row>
    <row r="57" spans="2:12" x14ac:dyDescent="0.35">
      <c r="D57" s="790" t="str">
        <f>A7</f>
        <v>c16.7</v>
      </c>
      <c r="E57" s="420">
        <f>TRUNC(ABS(SE!H33)+0.99,0)</f>
        <v>0</v>
      </c>
      <c r="F57" s="1162" t="s">
        <v>4807</v>
      </c>
      <c r="J57" s="61"/>
      <c r="K57" s="61"/>
      <c r="L57" s="61"/>
    </row>
    <row r="58" spans="2:12" x14ac:dyDescent="0.35">
      <c r="J58" s="61"/>
      <c r="K58" s="61"/>
      <c r="L58" s="61"/>
    </row>
    <row r="59" spans="2:12" x14ac:dyDescent="0.35">
      <c r="E59" s="757" t="str">
        <f>" absolute value from "&amp;LUN&amp;LUN!K19</f>
        <v xml:space="preserve"> absolute value from LUN65</v>
      </c>
    </row>
    <row r="60" spans="2:12" x14ac:dyDescent="0.35">
      <c r="D60" s="790" t="str">
        <f>A8</f>
        <v>c16.8</v>
      </c>
      <c r="E60" s="420">
        <f>TRUNC(ABS(LUN!L20)+0.99,0)</f>
        <v>0</v>
      </c>
      <c r="F60" s="1162" t="s">
        <v>3966</v>
      </c>
    </row>
    <row r="62" spans="2:12" x14ac:dyDescent="0.35">
      <c r="C62" s="784"/>
      <c r="D62" s="784"/>
      <c r="E62" s="757" t="str">
        <f>"Total all instances absolute value  ("&amp;SPS&amp;PS!C25&amp;")"</f>
        <v>Total all instances absolute value  (SPS27)</v>
      </c>
    </row>
    <row r="63" spans="2:12" x14ac:dyDescent="0.35">
      <c r="D63" s="790" t="str">
        <f>A9</f>
        <v>c16.9</v>
      </c>
      <c r="E63" s="420">
        <f>TRUNC(ABS(PS!D26)+0.99,0)</f>
        <v>0</v>
      </c>
      <c r="F63" s="1162" t="s">
        <v>4808</v>
      </c>
    </row>
    <row r="64" spans="2:12" x14ac:dyDescent="0.35">
      <c r="C64" s="784"/>
      <c r="D64" s="784"/>
    </row>
    <row r="65" spans="1:12" x14ac:dyDescent="0.35">
      <c r="E65" s="757" t="str">
        <f>"Total all instances absolute value ("&amp;FPS&amp;PS!M13&amp;")"</f>
        <v>Total all instances absolute value (FPS27)</v>
      </c>
    </row>
    <row r="66" spans="1:12" x14ac:dyDescent="0.35">
      <c r="D66" s="790" t="str">
        <f>A10</f>
        <v>c16.10</v>
      </c>
      <c r="E66" s="420">
        <f>TRUNC(ABS(PS!N14)+0.99,0)</f>
        <v>0</v>
      </c>
      <c r="F66" s="1162" t="s">
        <v>4809</v>
      </c>
      <c r="J66" s="61"/>
      <c r="K66" s="61"/>
      <c r="L66" s="61"/>
    </row>
    <row r="67" spans="1:12" x14ac:dyDescent="0.35">
      <c r="J67" s="61"/>
      <c r="K67" s="61"/>
    </row>
    <row r="68" spans="1:12" x14ac:dyDescent="0.35">
      <c r="H68" s="44" t="str">
        <f>D57&amp;" + "&amp;D60&amp;" + "&amp;D63&amp;" + "&amp;D66</f>
        <v>c16.7 + c16.8 + c16.9 + c16.10</v>
      </c>
      <c r="J68" s="61"/>
      <c r="K68" s="61"/>
      <c r="L68" s="61"/>
    </row>
    <row r="69" spans="1:12" x14ac:dyDescent="0.35">
      <c r="B69" s="43" t="s">
        <v>3368</v>
      </c>
      <c r="G69" s="790" t="str">
        <f>A11</f>
        <v>c16.11</v>
      </c>
      <c r="H69" s="420">
        <f>E57+E60+E63+E66</f>
        <v>0</v>
      </c>
      <c r="J69" s="61"/>
      <c r="K69" s="61"/>
      <c r="L69" s="61"/>
    </row>
    <row r="70" spans="1:12" x14ac:dyDescent="0.35">
      <c r="H70" s="44"/>
      <c r="J70" s="61"/>
      <c r="K70" s="61"/>
      <c r="L70" s="61"/>
    </row>
    <row r="71" spans="1:12" x14ac:dyDescent="0.35">
      <c r="B71" s="43" t="s">
        <v>4644</v>
      </c>
      <c r="H71" s="44" t="str">
        <f>G52&amp;" minus "&amp;G69</f>
        <v>c16.6 minus c16.11</v>
      </c>
      <c r="J71" s="61"/>
      <c r="K71" s="61"/>
      <c r="L71" s="61"/>
    </row>
    <row r="72" spans="1:12" x14ac:dyDescent="0.35">
      <c r="B72" s="43" t="s">
        <v>5480</v>
      </c>
      <c r="G72" s="790" t="str">
        <f>A12</f>
        <v>c16.12</v>
      </c>
      <c r="H72" s="420">
        <f>MAX(H52-H69,0)</f>
        <v>0</v>
      </c>
      <c r="J72" s="61"/>
      <c r="K72" s="61"/>
      <c r="L72" s="61"/>
    </row>
    <row r="73" spans="1:12" x14ac:dyDescent="0.35">
      <c r="L73" s="61"/>
    </row>
    <row r="74" spans="1:12" x14ac:dyDescent="0.35">
      <c r="H74" s="1510" t="str">
        <f>G72&amp;" minus NIC_LEL ("&amp;DOLLAR(NIC_LEL,0)&amp;")"</f>
        <v>c16.12 minus NIC_LEL (£8,164)</v>
      </c>
      <c r="J74" s="61"/>
      <c r="K74" s="61"/>
      <c r="L74" s="61"/>
    </row>
    <row r="75" spans="1:12" x14ac:dyDescent="0.35">
      <c r="B75" s="42" t="s">
        <v>1684</v>
      </c>
      <c r="C75" s="42"/>
      <c r="D75" s="42"/>
      <c r="F75" s="42"/>
      <c r="G75" s="790" t="str">
        <f>A13</f>
        <v>c16.13</v>
      </c>
      <c r="H75" s="420">
        <f>IF(NIC_exempt,0,MAX(H72-NIC_LEL,0))</f>
        <v>0</v>
      </c>
      <c r="J75" s="61"/>
      <c r="K75" s="61"/>
      <c r="L75" s="61"/>
    </row>
    <row r="76" spans="1:12" x14ac:dyDescent="0.35">
      <c r="K76" s="44" t="s">
        <v>4106</v>
      </c>
      <c r="L76" s="61"/>
    </row>
    <row r="77" spans="1:12" x14ac:dyDescent="0.35">
      <c r="B77" s="43" t="s">
        <v>4801</v>
      </c>
      <c r="J77" s="790" t="str">
        <f>A14</f>
        <v>c16.14</v>
      </c>
      <c r="K77" s="1174">
        <f>IF(NIC_exempt,0,max_NIC)</f>
        <v>3315.24</v>
      </c>
    </row>
    <row r="79" spans="1:12" x14ac:dyDescent="0.35">
      <c r="A79" s="1116"/>
      <c r="K79" s="44" t="str">
        <f>"lower of ("&amp;G81&amp;" x NIC_rate ("&amp;(NIC_rate*100)&amp;"%))"</f>
        <v>lower of (c16.15 x NIC_rate (9%))</v>
      </c>
    </row>
    <row r="80" spans="1:12" x14ac:dyDescent="0.35">
      <c r="H80" s="1510" t="str">
        <f>"lower of box "&amp;G75&amp;" and NIC_Band ("&amp;DOLLAR(NIC_Band,0)&amp;")"</f>
        <v>lower of box c16.13 and NIC_Band (£36,836)</v>
      </c>
      <c r="J80" s="59"/>
      <c r="K80" s="1510" t="str">
        <f>"or max_NIC ("&amp;DOLLAR(max_NIC,2)&amp;")"</f>
        <v>or max_NIC (£3,315.24)</v>
      </c>
      <c r="L80" s="59"/>
    </row>
    <row r="81" spans="2:12" x14ac:dyDescent="0.35">
      <c r="D81" s="44"/>
      <c r="E81" s="44"/>
      <c r="G81" s="790" t="str">
        <f>A15</f>
        <v>c16.15</v>
      </c>
      <c r="H81" s="420">
        <f>IF(NIC_exempt,0,MIN(H75,NIC_Band))</f>
        <v>0</v>
      </c>
      <c r="I81" s="59"/>
      <c r="J81" s="790" t="str">
        <f>A16</f>
        <v>c16.16</v>
      </c>
      <c r="K81" s="144">
        <f>IF(NIC_exempt,0,MIN(TRUNC(H81*NIC_rate,2),max_NIC))</f>
        <v>0</v>
      </c>
      <c r="L81" s="1084" t="s">
        <v>2872</v>
      </c>
    </row>
    <row r="82" spans="2:12" x14ac:dyDescent="0.35">
      <c r="I82" s="59"/>
      <c r="J82" s="59"/>
      <c r="K82" s="59"/>
      <c r="L82" s="59"/>
    </row>
    <row r="83" spans="2:12" x14ac:dyDescent="0.35">
      <c r="H83" s="44" t="str">
        <f>G75&amp;" minus "&amp;G81</f>
        <v>c16.13 minus c16.15</v>
      </c>
      <c r="K83" s="44" t="str">
        <f>G84&amp;" x NIC_supp_rate ("&amp;(NIC_supp_rate*100)&amp;"%)"</f>
        <v>c16.17 x NIC_supp_rate (2%)</v>
      </c>
      <c r="L83" s="59"/>
    </row>
    <row r="84" spans="2:12" x14ac:dyDescent="0.35">
      <c r="G84" s="790" t="str">
        <f>A17</f>
        <v>c16.17</v>
      </c>
      <c r="H84" s="420">
        <f>IF(NIC_exempt,0,MAX(0,H75-H81))</f>
        <v>0</v>
      </c>
      <c r="I84" s="59"/>
      <c r="J84" s="790" t="str">
        <f>A18</f>
        <v>c16.18</v>
      </c>
      <c r="K84" s="144">
        <f>IF(NIC_exempt,0,TRUNC(H84*NIC_supp_rate,2))</f>
        <v>0</v>
      </c>
      <c r="L84" s="1084" t="s">
        <v>2872</v>
      </c>
    </row>
    <row r="86" spans="2:12" ht="12.75" customHeight="1" x14ac:dyDescent="0.35">
      <c r="K86" s="43" t="str">
        <f>J81&amp;" + "&amp;J84</f>
        <v>c16.16 + c16.18</v>
      </c>
    </row>
    <row r="87" spans="2:12" ht="12.75" customHeight="1" x14ac:dyDescent="0.35">
      <c r="B87" s="43" t="s">
        <v>4730</v>
      </c>
      <c r="I87" s="44" t="s">
        <v>3086</v>
      </c>
      <c r="J87" s="790" t="str">
        <f>A19</f>
        <v>c16.19</v>
      </c>
      <c r="K87" s="818">
        <f>IF(NIC_exempt,0,K81+K84)</f>
        <v>0</v>
      </c>
    </row>
    <row r="89" spans="2:12" ht="12.75" customHeight="1" x14ac:dyDescent="0.35">
      <c r="B89" s="60" t="s">
        <v>4602</v>
      </c>
    </row>
    <row r="91" spans="2:12" x14ac:dyDescent="0.35">
      <c r="B91" s="2617"/>
      <c r="C91" s="1935"/>
    </row>
    <row r="92" spans="2:12" x14ac:dyDescent="0.35">
      <c r="B92" s="1156"/>
      <c r="C92" s="1156"/>
      <c r="L92" s="1162"/>
    </row>
    <row r="93" spans="2:12" x14ac:dyDescent="0.35">
      <c r="B93" s="1156"/>
      <c r="D93" s="1156"/>
      <c r="E93" s="1156"/>
      <c r="F93" s="1156"/>
      <c r="G93" s="1156"/>
      <c r="K93" s="820" t="str">
        <f>"Total all instances ("&amp;NI!C19&amp;") + ("&amp;NI!C26&amp;")"</f>
        <v>Total all instances (EMPCL1) + (MORCL1)</v>
      </c>
    </row>
    <row r="94" spans="2:12" x14ac:dyDescent="0.35">
      <c r="B94" s="43" t="s">
        <v>5374</v>
      </c>
      <c r="I94" s="44"/>
      <c r="J94" s="790" t="str">
        <f>A20</f>
        <v>c16.20</v>
      </c>
      <c r="K94" s="818">
        <f>IF(OR(H75=0,NIC_exempt),0,TRUNC(NI!D20+0.99,0)+TRUNC(NI!D23+0.99,0)+TRUNC(NI!D27+0.99,0)+TRUNC(NI!D30+0.99,0))</f>
        <v>0</v>
      </c>
      <c r="L94" s="1162" t="s">
        <v>6363</v>
      </c>
    </row>
    <row r="96" spans="2:12" x14ac:dyDescent="0.35">
      <c r="K96" s="44" t="str">
        <f>J94&amp;" x NIC1_rate ("&amp;NIC1_rate*100&amp;"%)"</f>
        <v>c16.20 x NIC1_rate (12%)</v>
      </c>
    </row>
    <row r="97" spans="2:12" x14ac:dyDescent="0.35">
      <c r="I97" s="44" t="s">
        <v>4603</v>
      </c>
      <c r="J97" s="790" t="str">
        <f>A21</f>
        <v>c16.21</v>
      </c>
      <c r="K97" s="818">
        <f>IF(OR(H75=0,K94=0,NIC_exempt),0,TRUNC((K94*NIC1_rate)+0.0099,2))</f>
        <v>0</v>
      </c>
      <c r="L97" s="1156" t="s">
        <v>1783</v>
      </c>
    </row>
    <row r="99" spans="2:12" x14ac:dyDescent="0.35">
      <c r="K99" s="1510" t="str">
        <f>IF(NIC2_weekamt_Selected&lt;3,"NIC2_annual_limit ("&amp;DOLLAR(NIC2_annual_limit,2)&amp;")","NIC2SF_annual_limit ("&amp;DOLLAR(NIC2SF_annual_limit,2)&amp;")")</f>
        <v>NIC2_annual_limit (£151.05)</v>
      </c>
    </row>
    <row r="100" spans="2:12" x14ac:dyDescent="0.35">
      <c r="B100" s="43" t="str">
        <f>IF(NIC2_weekamt_Selected&lt;3,"53 weeks of Class 2 at "&amp;DOLLAR(NIC2_weekamt,2)&amp;" per week","53 weeks of Class 2 at "&amp;DOLLAR(NIC2SF_weekamt,2)&amp;" per week")</f>
        <v>53 weeks of Class 2 at £2.85 per week</v>
      </c>
      <c r="J100" s="790" t="str">
        <f>A22</f>
        <v>c16.22</v>
      </c>
      <c r="K100" s="818">
        <f>IF(OR(H75=0,K94=0,NIC_exempt),0,IF(K97=0,0,IF(NI!O23=2,NIC2_weekamt*53,IF(NI!O23=3,NIC2SF_weekamt*53,0))))</f>
        <v>0</v>
      </c>
      <c r="L100" s="1156"/>
    </row>
    <row r="102" spans="2:12" x14ac:dyDescent="0.35">
      <c r="K102" s="43" t="str">
        <f>J77&amp;" + "&amp;J100</f>
        <v>c16.14 + c16.22</v>
      </c>
    </row>
    <row r="103" spans="2:12" x14ac:dyDescent="0.35">
      <c r="B103" s="43" t="str">
        <f>"Total Max Class 4 NIC Charge x UPL rate + Class 2 annual limit"</f>
        <v>Total Max Class 4 NIC Charge x UPL rate + Class 2 annual limit</v>
      </c>
      <c r="J103" s="790" t="str">
        <f>A23</f>
        <v>c16.23</v>
      </c>
      <c r="K103" s="818">
        <f>IF(OR(H75=0,K94=0,NIC_exempt),0,IF(K97=0,0,K77+K100))</f>
        <v>0</v>
      </c>
    </row>
    <row r="105" spans="2:12" x14ac:dyDescent="0.35">
      <c r="C105" s="2617"/>
      <c r="D105" s="1935"/>
      <c r="E105" s="1935"/>
      <c r="F105" s="1229"/>
      <c r="G105" s="1425"/>
    </row>
    <row r="106" spans="2:12" x14ac:dyDescent="0.35">
      <c r="C106" s="1230"/>
      <c r="D106" s="1156"/>
      <c r="E106" s="1156"/>
      <c r="F106" s="1231"/>
    </row>
    <row r="107" spans="2:12" x14ac:dyDescent="0.35">
      <c r="C107" s="1230"/>
      <c r="D107" s="1156"/>
      <c r="E107" s="1156"/>
      <c r="F107" s="1231"/>
    </row>
    <row r="108" spans="2:12" x14ac:dyDescent="0.35">
      <c r="C108" s="1230"/>
      <c r="D108" s="1156"/>
      <c r="E108" s="1156"/>
      <c r="F108" s="1231"/>
    </row>
    <row r="109" spans="2:12" x14ac:dyDescent="0.35">
      <c r="C109" s="1230"/>
      <c r="D109" s="1156"/>
      <c r="E109" s="1156"/>
      <c r="F109" s="1231"/>
    </row>
    <row r="110" spans="2:12" x14ac:dyDescent="0.35">
      <c r="C110" s="1232"/>
      <c r="D110" s="1233"/>
      <c r="E110" s="1233"/>
      <c r="F110" s="1234"/>
    </row>
    <row r="111" spans="2:12" x14ac:dyDescent="0.35">
      <c r="K111" s="44" t="str">
        <f>J103&amp;" minus ("&amp;J97&amp;" + "&amp;J176&amp;")"</f>
        <v>c16.23 minus (c16.21 + c16.32)</v>
      </c>
      <c r="L111" s="1425" t="s">
        <v>4924</v>
      </c>
    </row>
    <row r="112" spans="2:12" x14ac:dyDescent="0.35">
      <c r="B112" s="43" t="s">
        <v>4624</v>
      </c>
      <c r="J112" s="790" t="str">
        <f>A24</f>
        <v>c16.24</v>
      </c>
      <c r="K112" s="818">
        <f>IF(OR(H75=0,K94=0,NIC_exempt),0,IF(K97=0,0,MAX(0,K103-(K97+K176))))</f>
        <v>0</v>
      </c>
    </row>
    <row r="114" spans="2:12" x14ac:dyDescent="0.35">
      <c r="K114" s="44" t="str">
        <f>J112&amp;" divided by NIC_rate ("&amp;NIC_rate*100&amp;"%)"</f>
        <v>c16.24 divided by NIC_rate (9%)</v>
      </c>
    </row>
    <row r="115" spans="2:12" x14ac:dyDescent="0.35">
      <c r="B115" s="43" t="str">
        <f>"Divide the result of "&amp;J112&amp;" by UPL rate"</f>
        <v>Divide the result of c16.24 by UPL rate</v>
      </c>
      <c r="J115" s="790" t="str">
        <f>A25</f>
        <v>c16.25</v>
      </c>
      <c r="K115" s="818">
        <f>IF(OR(H75=0,K94=0,NIC_exempt),0,K112/NIC_rate)</f>
        <v>0</v>
      </c>
      <c r="L115" s="1084" t="s">
        <v>2872</v>
      </c>
    </row>
    <row r="117" spans="2:12" x14ac:dyDescent="0.35">
      <c r="H117" s="1116"/>
      <c r="I117" s="1116"/>
      <c r="K117" s="1510" t="str">
        <f>"lower of ("&amp;G72&amp;" and NIC_UEL ("&amp;DOLLAR(NIC_UEL,0)&amp;")) minus NIC_LEL ("&amp;DOLLAR(NIC_LEL,0)&amp;")"</f>
        <v>lower of (c16.12 and NIC_UEL (£45,000)) minus NIC_LEL (£8,164)</v>
      </c>
    </row>
    <row r="118" spans="2:12" x14ac:dyDescent="0.35">
      <c r="B118" s="43" t="s">
        <v>4625</v>
      </c>
      <c r="J118" s="790" t="str">
        <f>A26</f>
        <v>c16.26</v>
      </c>
      <c r="K118" s="818">
        <f>IF(OR(H75=0,K94=0,NIC_exempt),0,IF(K97=0,0,MIN(H72,NIC_UEL)-NIC_LEL))</f>
        <v>0</v>
      </c>
    </row>
    <row r="119" spans="2:12" x14ac:dyDescent="0.35">
      <c r="L119" s="782" t="s">
        <v>1590</v>
      </c>
    </row>
    <row r="120" spans="2:12" x14ac:dyDescent="0.35">
      <c r="K120" s="44" t="str">
        <f>J118&amp;" minus "&amp;J115</f>
        <v>c16.26 minus c16.25</v>
      </c>
    </row>
    <row r="121" spans="2:12" x14ac:dyDescent="0.35">
      <c r="B121" s="43" t="str">
        <f>"Subtract the result of "&amp;J115&amp;" from the result of "&amp;J118</f>
        <v>Subtract the result of c16.25 from the result of c16.26</v>
      </c>
      <c r="J121" s="790" t="str">
        <f>A27</f>
        <v>c16.27</v>
      </c>
      <c r="K121" s="818">
        <f>IF(OR(H75=0,K94=0,NIC_exempt),0,MAX(0,K118-K115))</f>
        <v>0</v>
      </c>
    </row>
    <row r="123" spans="2:12" x14ac:dyDescent="0.35">
      <c r="K123" s="44" t="str">
        <f>J121&amp;" x NIC_supp_rate ("&amp;NIC_supp_rate*100&amp;"%)"</f>
        <v>c16.27 x NIC_supp_rate (2%)</v>
      </c>
    </row>
    <row r="124" spans="2:12" x14ac:dyDescent="0.35">
      <c r="B124" s="43" t="str">
        <f>"Multiply the result of "&amp;J121&amp;" by LPL rate"</f>
        <v>Multiply the result of c16.27 by LPL rate</v>
      </c>
      <c r="J124" s="790" t="str">
        <f>A28</f>
        <v>c16.28</v>
      </c>
      <c r="K124" s="818">
        <f>IF(OR(H75=0,K94=0,NIC_exempt),0,TRUNC(K121*NIC_supp_rate,2))</f>
        <v>0</v>
      </c>
      <c r="L124" s="1084" t="s">
        <v>2872</v>
      </c>
    </row>
    <row r="126" spans="2:12" x14ac:dyDescent="0.35">
      <c r="I126" s="1116"/>
      <c r="K126" s="44" t="str">
        <f>"("&amp;G72&amp;" minus NIC_UEL ("&amp;DOLLAR(NIC_UEL,0)&amp;")) x NIC_supp_rate ("&amp;NIC_supp_rate*100&amp;"%)"</f>
        <v>(c16.12 minus NIC_UEL (£45,000)) x NIC_supp_rate (2%)</v>
      </c>
    </row>
    <row r="127" spans="2:12" x14ac:dyDescent="0.35">
      <c r="B127" s="43" t="s">
        <v>4626</v>
      </c>
      <c r="J127" s="790" t="str">
        <f>A29</f>
        <v>c16.29</v>
      </c>
      <c r="K127" s="818">
        <f>IF(OR(H75=0,K94=0,NIC_exempt),0,IF(H72-NIC_UEL&lt;0,0,((H72-NIC_UEL)*NIC_supp_rate)))</f>
        <v>0</v>
      </c>
    </row>
    <row r="129" spans="9:15" x14ac:dyDescent="0.35">
      <c r="J129" s="43" t="str">
        <f>"If "&amp;J112&amp;" &gt; 0 and "&amp;J112&amp;" &gt; ("&amp;J97&amp;" + "&amp;J176&amp;" + ("&amp;G75&amp;" x NIC_rate ("&amp;NIC_rate*100&amp;"%)))"</f>
        <v>If c16.24 &gt; 0 and c16.24 &gt; (c16.21 + c16.32 + (c16.13 x NIC_rate (9%)))</v>
      </c>
      <c r="N129" s="1116"/>
      <c r="O129" s="1116"/>
    </row>
    <row r="130" spans="9:15" x14ac:dyDescent="0.35">
      <c r="J130" s="43" t="str">
        <f>J142&amp;" = "&amp;J112</f>
        <v>c16.30 = c16.24</v>
      </c>
    </row>
    <row r="131" spans="9:15" x14ac:dyDescent="0.35">
      <c r="J131" s="43" t="s">
        <v>2520</v>
      </c>
    </row>
    <row r="132" spans="9:15" x14ac:dyDescent="0.35">
      <c r="J132" s="43" t="str">
        <f>"If "&amp;J112&amp;" &gt; 0 and "&amp;J112&amp;" &lt;= ("&amp;J97&amp;" + "&amp;J176&amp;" + ("&amp;G75&amp;" x NIC_rate ("&amp;NIC_rate*100&amp;"%)))"</f>
        <v>If c16.24 &gt; 0 and c16.24 &lt;= (c16.21 + c16.32 + (c16.13 x NIC_rate (9%)))</v>
      </c>
      <c r="N132" s="1116"/>
      <c r="O132" s="1116"/>
    </row>
    <row r="133" spans="9:15" x14ac:dyDescent="0.35">
      <c r="J133" s="43" t="str">
        <f>J142&amp;" = "&amp;J112&amp;" + "&amp;J124&amp;" + "&amp;J127</f>
        <v>c16.30 = c16.24 + c16.28 + c16.29</v>
      </c>
    </row>
    <row r="134" spans="9:15" x14ac:dyDescent="0.35">
      <c r="J134" s="43" t="s">
        <v>2520</v>
      </c>
    </row>
    <row r="135" spans="9:15" x14ac:dyDescent="0.35">
      <c r="J135" s="43" t="str">
        <f>"if "&amp;J103&amp;" minus ("&amp;J97&amp;" + "&amp;J176&amp;")"&amp;" &lt; 0"</f>
        <v>if c16.23 minus (c16.21 + c16.32) &lt; 0</v>
      </c>
    </row>
    <row r="136" spans="9:15" x14ac:dyDescent="0.35">
      <c r="J136" s="43" t="str">
        <f>J142&amp;" = "&amp;J112&amp;" + "&amp;J124&amp;" + "&amp;J127</f>
        <v>c16.30 = c16.24 + c16.28 + c16.29</v>
      </c>
    </row>
    <row r="137" spans="9:15" x14ac:dyDescent="0.35">
      <c r="J137" s="43" t="s">
        <v>2520</v>
      </c>
    </row>
    <row r="138" spans="9:15" x14ac:dyDescent="0.35">
      <c r="J138" s="43" t="str">
        <f>J142&amp;" = zero 0"</f>
        <v>c16.30 = zero 0</v>
      </c>
    </row>
    <row r="139" spans="9:15" x14ac:dyDescent="0.35">
      <c r="J139" s="100" t="s">
        <v>2638</v>
      </c>
    </row>
    <row r="140" spans="9:15" x14ac:dyDescent="0.35">
      <c r="J140" s="1285" t="s">
        <v>2638</v>
      </c>
    </row>
    <row r="141" spans="9:15" x14ac:dyDescent="0.35">
      <c r="J141" s="43" t="s">
        <v>2638</v>
      </c>
    </row>
    <row r="142" spans="9:15" x14ac:dyDescent="0.35">
      <c r="I142" s="44" t="s">
        <v>4645</v>
      </c>
      <c r="J142" s="790" t="str">
        <f>A30</f>
        <v>c16.30</v>
      </c>
      <c r="K142" s="818">
        <f>IF(OR(H75=0,K94=0,NIC_exempt),0,IF(AND(K112&gt;0,K112&gt;(K97+K176+(H75*NIC_rate))),K112,IF(AND(K112&gt;0,K112&lt;=(K97+K176+(H75*NIC_rate))),(K112+K124+K127),IF(K103-(K97+K176)&lt;0,(K112+K124+K127),0))))</f>
        <v>0</v>
      </c>
    </row>
    <row r="145" spans="2:12" x14ac:dyDescent="0.35">
      <c r="J145" s="43" t="str">
        <f>"If "&amp;J94&amp;" &gt; 0 (zero)"</f>
        <v>If c16.20 &gt; 0 (zero)</v>
      </c>
    </row>
    <row r="146" spans="2:12" x14ac:dyDescent="0.35">
      <c r="J146" s="42" t="str">
        <f>J150&amp;" = Lower of "&amp;J87&amp;" and "&amp;J142</f>
        <v>c16.31 = Lower of c16.19 and c16.30</v>
      </c>
    </row>
    <row r="147" spans="2:12" x14ac:dyDescent="0.35">
      <c r="J147" s="43" t="s">
        <v>2520</v>
      </c>
    </row>
    <row r="148" spans="2:12" x14ac:dyDescent="0.35">
      <c r="J148" s="43" t="str">
        <f>J150&amp;" = "&amp;J87</f>
        <v>c16.31 = c16.19</v>
      </c>
    </row>
    <row r="149" spans="2:12" x14ac:dyDescent="0.35">
      <c r="J149" s="43" t="s">
        <v>2638</v>
      </c>
    </row>
    <row r="150" spans="2:12" x14ac:dyDescent="0.35">
      <c r="I150" s="44" t="s">
        <v>4646</v>
      </c>
      <c r="J150" s="790" t="str">
        <f>A31</f>
        <v>c16.31</v>
      </c>
      <c r="K150" s="818">
        <f>IF(NIC_exempt,0,IF(K94&gt;0,MIN(K87,K142),K87))</f>
        <v>0</v>
      </c>
    </row>
    <row r="151" spans="2:12" x14ac:dyDescent="0.35">
      <c r="K151" s="44" t="str">
        <f>"copy to box "&amp;'Tax due (c12)'!F8</f>
        <v>copy to box c12.2</v>
      </c>
    </row>
    <row r="153" spans="2:12" ht="12.75" x14ac:dyDescent="0.35">
      <c r="C153"/>
      <c r="D153"/>
      <c r="E153"/>
      <c r="F153"/>
      <c r="G153" s="1862" t="s">
        <v>6319</v>
      </c>
    </row>
    <row r="154" spans="2:12" ht="12.75" x14ac:dyDescent="0.35">
      <c r="C154"/>
      <c r="D154"/>
      <c r="E154"/>
      <c r="F154" s="1862" t="s">
        <v>6319</v>
      </c>
      <c r="G154"/>
    </row>
    <row r="155" spans="2:12" ht="12.75" x14ac:dyDescent="0.35">
      <c r="C155"/>
      <c r="D155"/>
      <c r="E155" s="1866"/>
      <c r="F155" s="1426"/>
      <c r="G155"/>
    </row>
    <row r="156" spans="2:12" ht="12.75" x14ac:dyDescent="0.35">
      <c r="C156"/>
      <c r="D156" s="1866"/>
      <c r="E156"/>
      <c r="F156" s="1426"/>
      <c r="G156"/>
    </row>
    <row r="157" spans="2:12" ht="12.75" x14ac:dyDescent="0.35">
      <c r="C157" s="1862" t="s">
        <v>6319</v>
      </c>
      <c r="D157"/>
      <c r="E157"/>
      <c r="F157"/>
      <c r="G157"/>
    </row>
    <row r="158" spans="2:12" ht="12.75" x14ac:dyDescent="0.35">
      <c r="C158"/>
    </row>
    <row r="159" spans="2:12" x14ac:dyDescent="0.35">
      <c r="B159" s="760"/>
      <c r="C159" s="760"/>
      <c r="D159" s="760"/>
      <c r="E159" s="760"/>
      <c r="F159" s="760"/>
      <c r="G159" s="760"/>
      <c r="H159" s="760"/>
      <c r="I159" s="760"/>
      <c r="J159" s="760"/>
      <c r="K159" s="760"/>
      <c r="L159" s="760"/>
    </row>
    <row r="160" spans="2:12" x14ac:dyDescent="0.35">
      <c r="B160" s="146"/>
      <c r="C160" s="146"/>
      <c r="D160" s="146"/>
      <c r="E160" s="146"/>
      <c r="F160" s="146"/>
      <c r="G160" s="146"/>
      <c r="H160" s="146"/>
      <c r="I160" s="146"/>
      <c r="J160" s="146"/>
      <c r="K160" s="146"/>
      <c r="L160" s="146"/>
    </row>
    <row r="161" spans="2:19" x14ac:dyDescent="0.35">
      <c r="B161" s="60" t="s">
        <v>4604</v>
      </c>
    </row>
    <row r="162" spans="2:19" x14ac:dyDescent="0.35">
      <c r="B162" s="1427" t="s">
        <v>6329</v>
      </c>
      <c r="M162" s="1134"/>
      <c r="N162" s="1134"/>
    </row>
    <row r="163" spans="2:19" ht="12.75" x14ac:dyDescent="0.35">
      <c r="B163" s="1002" t="s">
        <v>6324</v>
      </c>
      <c r="M163" s="1134"/>
      <c r="N163" s="1134"/>
    </row>
    <row r="164" spans="2:19" ht="12.75" x14ac:dyDescent="0.35">
      <c r="B164" s="1002" t="s">
        <v>6325</v>
      </c>
    </row>
    <row r="165" spans="2:19" ht="12.75" x14ac:dyDescent="0.35">
      <c r="B165" s="1002" t="s">
        <v>6326</v>
      </c>
      <c r="M165" s="1134"/>
      <c r="N165" s="1134"/>
    </row>
    <row r="166" spans="2:19" ht="12.75" x14ac:dyDescent="0.35">
      <c r="B166" s="1002" t="s">
        <v>6327</v>
      </c>
    </row>
    <row r="167" spans="2:19" ht="12.75" x14ac:dyDescent="0.35">
      <c r="B167" s="1002" t="s">
        <v>6328</v>
      </c>
    </row>
    <row r="169" spans="2:19" x14ac:dyDescent="0.35">
      <c r="J169" s="43" t="str">
        <f>"if "&amp;G72&amp;" &gt;= NIC2_SPT ("&amp;DOLLAR(NIC2_SPT,0)&amp;") and ("&amp;SSE&amp;SE!C14&amp;" = N and "&amp;FSE&amp;SE!G26&amp;" = N and "&amp;LUN&amp;LUN!K13&amp;" = N and "&amp;SPS&amp;PS!C19&amp;" = N and "&amp;FPS&amp;PS!G13&amp;" = N) or"</f>
        <v>if c16.12 &gt;= NIC2_SPT (£6,025) and (SSE36 = N and FSE100 = N and LUN63 = N and SPS25 = N and FPS25 = N) or</v>
      </c>
      <c r="K169" s="1116"/>
      <c r="L169" s="1116"/>
      <c r="M169" s="1116"/>
    </row>
    <row r="170" spans="2:19" x14ac:dyDescent="0.35">
      <c r="J170" s="43" t="str">
        <f>"if "&amp;G72&amp;" &lt; NIC2_SPT ("&amp;DOLLAR(NIC2_SPT,0)&amp;") and if ("&amp;SSE&amp;SE!C14&amp;" = Y or "&amp;FSE&amp;SE!G26&amp;" = Y or "&amp;LUN&amp;LUN!K13&amp;" = Y or "&amp;SPS&amp;PS!C19&amp;" = Y or "&amp;FPS&amp;PS!G13&amp;" = Y)"</f>
        <v>if c16.12 &lt; NIC2_SPT (£6,025) and if (SSE36 = Y or FSE100 = Y or LUN63 = Y or SPS25 = Y or FPS25 = Y)</v>
      </c>
      <c r="K170" s="1116"/>
      <c r="L170" s="1116"/>
      <c r="M170" s="1116"/>
      <c r="P170" s="1134"/>
      <c r="Q170" s="1134"/>
      <c r="R170" s="1134"/>
      <c r="S170" s="1134"/>
    </row>
    <row r="171" spans="2:19" x14ac:dyDescent="0.35">
      <c r="J171" s="43" t="str">
        <f>J176&amp;" = box NI"&amp;NI!C11</f>
        <v>c16.32 = box NICL2</v>
      </c>
      <c r="P171" s="1134"/>
      <c r="Q171" s="1134"/>
      <c r="R171" s="1134"/>
      <c r="S171" s="1134"/>
    </row>
    <row r="172" spans="2:19" x14ac:dyDescent="0.35">
      <c r="J172" s="43" t="s">
        <v>2520</v>
      </c>
    </row>
    <row r="173" spans="2:19" x14ac:dyDescent="0.35">
      <c r="J173" s="43" t="str">
        <f>J176&amp;" = 0 (zero)"</f>
        <v>c16.32 = 0 (zero)</v>
      </c>
      <c r="O173" s="1134"/>
      <c r="P173" s="1134"/>
    </row>
    <row r="174" spans="2:19" x14ac:dyDescent="0.35">
      <c r="J174" s="100" t="s">
        <v>2638</v>
      </c>
      <c r="O174" s="1134"/>
    </row>
    <row r="175" spans="2:19" x14ac:dyDescent="0.35">
      <c r="J175" s="1285" t="s">
        <v>2638</v>
      </c>
    </row>
    <row r="176" spans="2:19" x14ac:dyDescent="0.35">
      <c r="B176" s="1192" t="s">
        <v>4605</v>
      </c>
      <c r="J176" s="790" t="str">
        <f>A32</f>
        <v>c16.32</v>
      </c>
      <c r="K176" s="818">
        <f>IF(NI!D12="",0,IF(AND(H72&gt;=NIC2_SPT,NIC2_voluntary="FALSE"),MIN(NIC2SF_annual_limit,NI!D12),IF(AND(H72&lt;NIC2_SPT,NIC2_voluntary="TRUE"),MIN(NIC2SF_annual_limit,NI!D12),0)))</f>
        <v>0</v>
      </c>
      <c r="O176" s="1134"/>
    </row>
    <row r="177" spans="11:11" x14ac:dyDescent="0.35">
      <c r="K177" s="44" t="str">
        <f>"copy to box "&amp;'Tax due (c12)'!F16</f>
        <v>copy to box c12.3</v>
      </c>
    </row>
  </sheetData>
  <phoneticPr fontId="68" type="noConversion"/>
  <pageMargins left="0.19685039370078741" right="0.19685039370078741" top="0.19685039370078741" bottom="0.19685039370078741" header="0" footer="0"/>
  <pageSetup paperSize="9" orientation="portrait"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99"/>
  </sheetPr>
  <dimension ref="A1:AH177"/>
  <sheetViews>
    <sheetView showGridLines="0" topLeftCell="B166" workbookViewId="0">
      <selection activeCell="W73" sqref="W73"/>
    </sheetView>
  </sheetViews>
  <sheetFormatPr defaultColWidth="8.86328125" defaultRowHeight="11.65" x14ac:dyDescent="0.35"/>
  <cols>
    <col min="1" max="1" width="2.73046875" style="146" hidden="1" customWidth="1"/>
    <col min="2" max="2" width="2.86328125" style="146" customWidth="1"/>
    <col min="3" max="3" width="17" style="146" customWidth="1"/>
    <col min="4" max="4" width="6.73046875" style="146" customWidth="1"/>
    <col min="5" max="5" width="6" style="146" customWidth="1"/>
    <col min="6" max="6" width="13.73046875" style="146" customWidth="1"/>
    <col min="7" max="7" width="2.73046875" style="146" customWidth="1"/>
    <col min="8" max="8" width="5.73046875" style="146" customWidth="1"/>
    <col min="9" max="9" width="2.73046875" style="146" customWidth="1"/>
    <col min="10" max="10" width="6.3984375" style="146" customWidth="1"/>
    <col min="11" max="11" width="4" style="146" customWidth="1"/>
    <col min="12" max="12" width="6.265625" style="146" customWidth="1"/>
    <col min="13" max="13" width="13.73046875" style="146" customWidth="1"/>
    <col min="14" max="14" width="6.265625" style="146" bestFit="1" customWidth="1"/>
    <col min="15" max="15" width="6" style="146" customWidth="1"/>
    <col min="16" max="16" width="13.73046875" style="146" customWidth="1"/>
    <col min="17" max="17" width="2" style="146" customWidth="1"/>
    <col min="18" max="18" width="4.86328125" style="146" customWidth="1"/>
    <col min="19" max="19" width="8.86328125" style="146"/>
    <col min="20" max="20" width="8.3984375" style="146" customWidth="1"/>
    <col min="21" max="21" width="12.86328125" style="146" customWidth="1"/>
    <col min="22" max="22" width="1.3984375" style="146" customWidth="1"/>
    <col min="23" max="23" width="2.59765625" style="146" customWidth="1"/>
    <col min="24" max="24" width="8.86328125" style="146"/>
    <col min="25" max="26" width="4.73046875" style="146" customWidth="1"/>
    <col min="27" max="27" width="8.86328125" style="146"/>
    <col min="28" max="29" width="4.73046875" style="146" customWidth="1"/>
    <col min="30" max="30" width="3.73046875" style="146" customWidth="1"/>
    <col min="31" max="31" width="5.73046875" style="146" customWidth="1"/>
    <col min="32" max="16384" width="8.86328125" style="146"/>
  </cols>
  <sheetData>
    <row r="1" spans="1:18" ht="20.65" x14ac:dyDescent="0.6">
      <c r="A1" s="121" t="s">
        <v>3933</v>
      </c>
      <c r="B1" s="2490" t="s">
        <v>4773</v>
      </c>
      <c r="C1" s="43"/>
      <c r="D1" s="43"/>
      <c r="E1" s="43"/>
      <c r="F1" s="43"/>
      <c r="G1" s="43"/>
      <c r="O1" s="43"/>
      <c r="P1" s="43"/>
      <c r="Q1" s="44"/>
      <c r="R1" s="43"/>
    </row>
    <row r="2" spans="1:18" x14ac:dyDescent="0.35">
      <c r="A2" s="121" t="s">
        <v>3934</v>
      </c>
      <c r="H2" s="756" t="s">
        <v>1425</v>
      </c>
      <c r="I2" s="472"/>
      <c r="J2" s="472"/>
      <c r="K2" s="472"/>
      <c r="L2" s="472"/>
      <c r="M2" s="472"/>
      <c r="N2" s="445"/>
    </row>
    <row r="3" spans="1:18" x14ac:dyDescent="0.35">
      <c r="A3" s="121" t="s">
        <v>1026</v>
      </c>
    </row>
    <row r="4" spans="1:18" x14ac:dyDescent="0.35">
      <c r="A4" s="121" t="s">
        <v>1027</v>
      </c>
      <c r="B4" s="3295" t="s">
        <v>7880</v>
      </c>
      <c r="C4" s="1462"/>
      <c r="D4" s="1462"/>
      <c r="E4" s="1462"/>
      <c r="F4" s="1462"/>
      <c r="G4" s="1462"/>
      <c r="H4" s="1462"/>
      <c r="I4" s="1462"/>
      <c r="J4" s="1462"/>
      <c r="K4" s="1462"/>
      <c r="L4" s="1462"/>
      <c r="M4" s="1462"/>
      <c r="N4" s="1462"/>
      <c r="O4" s="1462"/>
      <c r="P4" s="1462"/>
      <c r="Q4" s="1462"/>
      <c r="R4" s="1462"/>
    </row>
    <row r="5" spans="1:18" x14ac:dyDescent="0.35">
      <c r="A5" s="121" t="s">
        <v>1028</v>
      </c>
      <c r="B5" s="3296"/>
      <c r="C5" s="1462"/>
      <c r="D5" s="1462"/>
      <c r="E5" s="1462"/>
      <c r="F5" s="1462"/>
      <c r="G5" s="1462"/>
      <c r="H5" s="1462"/>
      <c r="I5" s="1462"/>
      <c r="J5" s="1462"/>
      <c r="K5" s="1462"/>
      <c r="L5" s="1462"/>
      <c r="M5" s="1462"/>
      <c r="N5" s="1462"/>
      <c r="O5" s="1462"/>
      <c r="P5" s="1462"/>
      <c r="Q5" s="1462"/>
      <c r="R5" s="1462"/>
    </row>
    <row r="6" spans="1:18" x14ac:dyDescent="0.35">
      <c r="A6" s="121" t="s">
        <v>1029</v>
      </c>
      <c r="B6" s="3297" t="s">
        <v>7881</v>
      </c>
      <c r="C6" s="1462"/>
      <c r="D6" s="1462"/>
      <c r="E6" s="1462"/>
      <c r="F6" s="1462"/>
      <c r="G6" s="1462"/>
      <c r="H6" s="1462"/>
      <c r="I6" s="1462"/>
      <c r="J6" s="1462"/>
      <c r="K6" s="1462"/>
      <c r="L6" s="1462"/>
      <c r="M6" s="1462"/>
      <c r="N6" s="1462"/>
      <c r="O6" s="1462"/>
      <c r="P6" s="1462"/>
      <c r="Q6" s="1462"/>
      <c r="R6" s="1462"/>
    </row>
    <row r="7" spans="1:18" x14ac:dyDescent="0.35">
      <c r="A7" s="121" t="s">
        <v>1030</v>
      </c>
      <c r="B7" s="3297" t="s">
        <v>7882</v>
      </c>
      <c r="C7" s="1462"/>
      <c r="D7" s="1462"/>
      <c r="E7" s="1462"/>
      <c r="F7" s="1462"/>
      <c r="G7" s="1462"/>
      <c r="H7" s="1462"/>
      <c r="I7" s="1462"/>
      <c r="J7" s="1462"/>
      <c r="K7" s="1462"/>
      <c r="L7" s="1462"/>
      <c r="M7" s="1462"/>
      <c r="N7" s="1462"/>
      <c r="O7" s="1462"/>
      <c r="P7" s="1462"/>
      <c r="Q7" s="1462"/>
      <c r="R7" s="1462"/>
    </row>
    <row r="8" spans="1:18" x14ac:dyDescent="0.35">
      <c r="A8" s="121" t="s">
        <v>932</v>
      </c>
      <c r="B8" s="3294"/>
    </row>
    <row r="9" spans="1:18" x14ac:dyDescent="0.35">
      <c r="A9" s="121" t="s">
        <v>933</v>
      </c>
      <c r="B9" s="3295" t="s">
        <v>7885</v>
      </c>
      <c r="C9" s="1462"/>
      <c r="D9" s="1462"/>
      <c r="E9" s="1462"/>
      <c r="F9" s="1462"/>
      <c r="G9" s="1462"/>
      <c r="H9" s="1462"/>
      <c r="I9" s="1462"/>
      <c r="J9" s="1462"/>
      <c r="K9" s="1462"/>
      <c r="L9" s="1462"/>
      <c r="M9" s="1462"/>
      <c r="N9" s="1462"/>
      <c r="O9" s="1462"/>
      <c r="P9" s="1462"/>
      <c r="Q9" s="1462"/>
      <c r="R9" s="1462"/>
    </row>
    <row r="10" spans="1:18" x14ac:dyDescent="0.35">
      <c r="A10" s="121" t="s">
        <v>3922</v>
      </c>
      <c r="B10" s="3295" t="s">
        <v>7883</v>
      </c>
      <c r="C10" s="1462"/>
      <c r="D10" s="1462"/>
      <c r="E10" s="1462"/>
      <c r="F10" s="1462"/>
      <c r="G10" s="1462"/>
      <c r="H10" s="1462"/>
      <c r="I10" s="1462"/>
      <c r="J10" s="1462"/>
      <c r="K10" s="1462"/>
      <c r="L10" s="1462"/>
      <c r="M10" s="1462"/>
      <c r="N10" s="1462"/>
      <c r="O10" s="1462"/>
      <c r="P10" s="1462"/>
      <c r="Q10" s="1462"/>
      <c r="R10" s="1462"/>
    </row>
    <row r="11" spans="1:18" x14ac:dyDescent="0.35">
      <c r="A11" s="121" t="s">
        <v>3923</v>
      </c>
      <c r="B11" s="3297" t="s">
        <v>7884</v>
      </c>
      <c r="C11" s="1462"/>
      <c r="D11" s="1462"/>
      <c r="E11" s="1462"/>
      <c r="F11" s="1462"/>
      <c r="G11" s="1462"/>
      <c r="H11" s="1462"/>
      <c r="I11" s="1462"/>
      <c r="J11" s="1462"/>
      <c r="K11" s="1462"/>
      <c r="L11" s="1462"/>
      <c r="M11" s="1462"/>
      <c r="N11" s="1462"/>
      <c r="O11" s="1462"/>
      <c r="P11" s="1462"/>
      <c r="Q11" s="1462"/>
      <c r="R11" s="1462"/>
    </row>
    <row r="12" spans="1:18" x14ac:dyDescent="0.35">
      <c r="A12" s="121" t="s">
        <v>3924</v>
      </c>
      <c r="B12" s="3294"/>
    </row>
    <row r="13" spans="1:18" x14ac:dyDescent="0.35">
      <c r="A13" s="121" t="s">
        <v>126</v>
      </c>
      <c r="B13" s="146" t="s">
        <v>7900</v>
      </c>
    </row>
    <row r="14" spans="1:18" x14ac:dyDescent="0.35">
      <c r="A14" s="121" t="s">
        <v>127</v>
      </c>
      <c r="B14" s="146" t="s">
        <v>7901</v>
      </c>
    </row>
    <row r="15" spans="1:18" x14ac:dyDescent="0.35">
      <c r="A15" s="121" t="s">
        <v>128</v>
      </c>
      <c r="B15" s="986" t="s">
        <v>7902</v>
      </c>
    </row>
    <row r="16" spans="1:18" x14ac:dyDescent="0.35">
      <c r="A16" s="121" t="s">
        <v>129</v>
      </c>
    </row>
    <row r="17" spans="1:23" x14ac:dyDescent="0.35">
      <c r="A17" s="121" t="s">
        <v>130</v>
      </c>
    </row>
    <row r="18" spans="1:23" x14ac:dyDescent="0.35">
      <c r="A18" s="121" t="s">
        <v>131</v>
      </c>
    </row>
    <row r="19" spans="1:23" x14ac:dyDescent="0.35">
      <c r="A19" s="121" t="s">
        <v>3821</v>
      </c>
      <c r="B19" s="3889" t="s">
        <v>4769</v>
      </c>
      <c r="C19" s="3889"/>
      <c r="D19" s="3889"/>
      <c r="E19" s="3889"/>
      <c r="F19" s="3889"/>
      <c r="G19" s="3889"/>
      <c r="H19" s="3889"/>
      <c r="I19" s="3889"/>
      <c r="J19" s="3889"/>
      <c r="K19" s="3889"/>
      <c r="L19" s="3889"/>
      <c r="M19" s="3889"/>
      <c r="N19" s="3889"/>
      <c r="O19" s="3889"/>
      <c r="P19" s="3889"/>
      <c r="Q19" s="3889"/>
    </row>
    <row r="20" spans="1:23" x14ac:dyDescent="0.35">
      <c r="A20" s="121" t="s">
        <v>3822</v>
      </c>
      <c r="R20" s="43"/>
    </row>
    <row r="21" spans="1:23" x14ac:dyDescent="0.35">
      <c r="A21" s="121" t="s">
        <v>3823</v>
      </c>
      <c r="B21" s="3889" t="s">
        <v>4770</v>
      </c>
      <c r="C21" s="3889"/>
      <c r="D21" s="3889"/>
      <c r="E21" s="3889"/>
      <c r="F21" s="3889"/>
      <c r="G21" s="3889"/>
      <c r="H21" s="3889"/>
      <c r="I21" s="3889"/>
      <c r="J21" s="3889"/>
      <c r="K21" s="3889"/>
      <c r="L21" s="3889"/>
      <c r="M21" s="3889"/>
      <c r="N21" s="3889"/>
      <c r="O21" s="3889"/>
      <c r="P21" s="3889"/>
      <c r="Q21" s="2572"/>
      <c r="R21" s="43"/>
    </row>
    <row r="22" spans="1:23" x14ac:dyDescent="0.35">
      <c r="A22" s="121" t="s">
        <v>3824</v>
      </c>
      <c r="R22" s="43"/>
    </row>
    <row r="23" spans="1:23" x14ac:dyDescent="0.35">
      <c r="A23" s="121" t="s">
        <v>3825</v>
      </c>
      <c r="B23" s="146" t="s">
        <v>4771</v>
      </c>
      <c r="R23" s="43"/>
    </row>
    <row r="24" spans="1:23" ht="12.75" x14ac:dyDescent="0.35">
      <c r="A24" s="121" t="s">
        <v>3826</v>
      </c>
      <c r="B24" s="1422" t="str">
        <f>O74&amp;" &gt; 0 or"</f>
        <v>c17.20 &gt; 0 or</v>
      </c>
      <c r="R24" s="43"/>
    </row>
    <row r="25" spans="1:23" ht="12.75" x14ac:dyDescent="0.35">
      <c r="A25" s="121" t="s">
        <v>2227</v>
      </c>
      <c r="B25" s="1422" t="str">
        <f>"boxes (("&amp;CGT&amp;CGT!C4&amp;" + "&amp;CGT&amp;CGT!C14&amp;" + "&amp;CGT&amp;CGT!C24&amp;" + "&amp;CGT&amp;CGT!C31&amp;") minus (("&amp;CGT&amp;CGT!C7&amp;" + "&amp;CGT&amp;CGT!G14&amp;" + "&amp;CGT&amp;CGT!G24&amp;" + "&amp;CGT&amp;CGT!C34&amp;") minus ("&amp;CGT&amp;CGT!C37&amp;" + "&amp;CGT&amp;CGT!G40&amp;"))"&amp;" + "&amp;CGT&amp;CGT!G4&amp;" + "&amp;CGT&amp;CGT!C17&amp;" + "&amp;CGT&amp;CGT!P15&amp;" is greater than zero) or"</f>
        <v>boxes ((CGT6 + CGT17 + CGT26 + CGT34) minus ((CGT7 + CGT19 + CGT27 + CGT35) minus (CGT41 + CGT43)) + CGT9 + CGT18 + CGT52 is greater than zero) or</v>
      </c>
      <c r="C25" s="1243"/>
      <c r="H25" s="3045"/>
      <c r="M25" s="3045"/>
      <c r="N25" s="3045"/>
      <c r="O25" s="3045"/>
      <c r="P25" s="3045"/>
      <c r="R25" s="43"/>
    </row>
    <row r="26" spans="1:23" ht="12.75" x14ac:dyDescent="0.35">
      <c r="A26" s="121" t="s">
        <v>2228</v>
      </c>
      <c r="B26" s="1422" t="str">
        <f>CGT&amp;CGT!L15&amp;" is not zero or Null or (box "&amp;CGT&amp;CGT!C17&amp;" is not zero or null)"</f>
        <v>CGT51 is not zero or Null or (box CGT18 is not zero or null)</v>
      </c>
      <c r="E26" s="1462"/>
      <c r="F26" s="1462"/>
      <c r="G26" s="1462"/>
      <c r="H26" s="1462"/>
      <c r="I26" s="1462"/>
      <c r="R26" s="43"/>
    </row>
    <row r="27" spans="1:23" x14ac:dyDescent="0.35">
      <c r="A27" s="121" t="s">
        <v>2229</v>
      </c>
      <c r="B27" s="146" t="s">
        <v>4772</v>
      </c>
      <c r="R27" s="43"/>
      <c r="T27" s="43"/>
      <c r="U27" s="43"/>
      <c r="V27" s="43"/>
      <c r="W27" s="43"/>
    </row>
    <row r="28" spans="1:23" ht="12.75" x14ac:dyDescent="0.35">
      <c r="A28" s="121" t="s">
        <v>2230</v>
      </c>
      <c r="B28" s="1422" t="str">
        <f>FOR&amp;FOR!K37&amp;" &gt; 0 with "&amp;FOR&amp;FOR!O31&amp;" absent, or"</f>
        <v>FOR43 &gt; 0 with FOR44 absent, or</v>
      </c>
      <c r="R28" s="43"/>
    </row>
    <row r="29" spans="1:23" ht="12.75" x14ac:dyDescent="0.35">
      <c r="A29" s="121" t="s">
        <v>4266</v>
      </c>
      <c r="B29" s="1422" t="str">
        <f>AOI&amp;AOI!C13&amp;" &gt; 0 with "&amp;AOI&amp;AOI!C16&amp;" absent, or"</f>
        <v>AOI4 &gt; 0 with AOI5 absent, or</v>
      </c>
      <c r="R29" s="43"/>
    </row>
    <row r="30" spans="1:23" ht="12.75" x14ac:dyDescent="0.35">
      <c r="A30" s="121" t="s">
        <v>4267</v>
      </c>
      <c r="B30" s="1422" t="str">
        <f>AOI&amp;AOI!C19&amp;" &gt; 0 with "&amp;AOI&amp;AOI!C22&amp;" absent, or"</f>
        <v>AOI6 &gt; 0 with AOI7 absent, or</v>
      </c>
      <c r="R30" s="43"/>
    </row>
    <row r="31" spans="1:23" ht="12.75" x14ac:dyDescent="0.35">
      <c r="A31" s="121" t="s">
        <v>4268</v>
      </c>
      <c r="B31" s="1422" t="str">
        <f>AOI&amp;AOI!G13&amp;" &gt; 0 with "&amp;AOI&amp;AOI!G16&amp;" absent"</f>
        <v>AOI8 &gt; 0 with AOI9 absent</v>
      </c>
      <c r="J31" s="3045"/>
      <c r="K31" s="3045"/>
      <c r="L31" s="3045"/>
      <c r="M31" s="3044" t="s">
        <v>4334</v>
      </c>
      <c r="R31" s="43"/>
    </row>
    <row r="32" spans="1:23" x14ac:dyDescent="0.35">
      <c r="A32" s="121" t="s">
        <v>4269</v>
      </c>
      <c r="J32" s="3045"/>
      <c r="K32" s="3045"/>
      <c r="L32" s="3045"/>
      <c r="M32" s="3044" t="str">
        <f>L36&amp;" = "&amp;'non-res (c91)'!M118</f>
        <v>c17.1 = c91.28</v>
      </c>
      <c r="R32" s="43"/>
    </row>
    <row r="33" spans="1:18" x14ac:dyDescent="0.35">
      <c r="A33" s="121" t="s">
        <v>4270</v>
      </c>
      <c r="B33" s="146" t="str">
        <f>"If ("&amp;FOR&amp;FOR!K37&amp;" + "&amp;AOI&amp;AOI!C13&amp;" + "&amp;AOI&amp;AOI!C19&amp;" + "&amp;AOI&amp;AOI!G13&amp;") is greater than 0 (zero)"</f>
        <v>If (FOR43 + AOI4 + AOI6 + AOI8) is greater than 0 (zero)</v>
      </c>
      <c r="J33" s="3045"/>
      <c r="K33" s="3045"/>
      <c r="L33" s="3045"/>
      <c r="M33" s="3045" t="s">
        <v>2520</v>
      </c>
      <c r="R33" s="43"/>
    </row>
    <row r="34" spans="1:18" x14ac:dyDescent="0.35">
      <c r="A34" s="121" t="s">
        <v>4271</v>
      </c>
      <c r="B34" s="1186" t="s">
        <v>4768</v>
      </c>
      <c r="I34" s="43"/>
      <c r="J34" s="3047"/>
      <c r="K34" s="3047"/>
      <c r="L34" s="3047"/>
      <c r="M34" s="3155" t="str">
        <f>L36&amp;" = "&amp;'Divs (c3)'!G69</f>
        <v>c17.1 = c3.21</v>
      </c>
      <c r="N34" s="43"/>
      <c r="O34" s="43"/>
      <c r="P34" s="43"/>
      <c r="Q34" s="43"/>
      <c r="R34" s="43"/>
    </row>
    <row r="35" spans="1:18" x14ac:dyDescent="0.35">
      <c r="A35" s="121" t="s">
        <v>4272</v>
      </c>
      <c r="B35" s="1187"/>
      <c r="I35" s="43"/>
      <c r="J35" s="3047"/>
      <c r="K35" s="3047"/>
      <c r="L35" s="3045"/>
      <c r="M35" s="3180" t="s">
        <v>2638</v>
      </c>
      <c r="N35" s="43"/>
      <c r="O35" s="43"/>
      <c r="P35" s="43"/>
      <c r="Q35" s="43"/>
      <c r="R35" s="43"/>
    </row>
    <row r="36" spans="1:18" x14ac:dyDescent="0.35">
      <c r="A36" s="121" t="s">
        <v>4273</v>
      </c>
      <c r="B36" s="43"/>
      <c r="I36" s="43"/>
      <c r="J36" s="43"/>
      <c r="K36" s="44" t="s">
        <v>6310</v>
      </c>
      <c r="L36" s="790" t="str">
        <f>A1</f>
        <v>c17.1</v>
      </c>
      <c r="M36" s="420">
        <f>IF(non_resident,'non-res (c91)'!N118,'Divs (c3)'!H69)</f>
        <v>0</v>
      </c>
      <c r="Q36" s="43"/>
      <c r="R36" s="43"/>
    </row>
    <row r="37" spans="1:18" x14ac:dyDescent="0.35">
      <c r="A37" s="121" t="s">
        <v>4274</v>
      </c>
      <c r="B37" s="43"/>
      <c r="C37" s="1186" t="s">
        <v>2561</v>
      </c>
      <c r="G37" s="43"/>
      <c r="L37" s="759"/>
      <c r="Q37" s="43"/>
      <c r="R37" s="43"/>
    </row>
    <row r="38" spans="1:18" x14ac:dyDescent="0.35">
      <c r="A38" s="121" t="s">
        <v>4275</v>
      </c>
      <c r="B38" s="43"/>
      <c r="F38" s="44" t="str">
        <f>"from "&amp;'NS income (c1)'!I135</f>
        <v>from c1.58</v>
      </c>
      <c r="L38" s="784"/>
      <c r="M38" s="422"/>
      <c r="Q38" s="43"/>
      <c r="R38" s="43"/>
    </row>
    <row r="39" spans="1:18" x14ac:dyDescent="0.35">
      <c r="A39" s="121" t="s">
        <v>4276</v>
      </c>
      <c r="B39" s="43"/>
      <c r="C39" s="42" t="s">
        <v>1897</v>
      </c>
      <c r="E39" s="790" t="str">
        <f>A2</f>
        <v>c17.2</v>
      </c>
      <c r="F39" s="420">
        <f>'NS income (c1)'!J135</f>
        <v>0</v>
      </c>
      <c r="L39" s="759"/>
      <c r="Q39" s="43"/>
      <c r="R39" s="43"/>
    </row>
    <row r="40" spans="1:18" x14ac:dyDescent="0.35">
      <c r="A40" s="121" t="s">
        <v>4277</v>
      </c>
      <c r="B40" s="43"/>
      <c r="R40" s="43"/>
    </row>
    <row r="41" spans="1:18" x14ac:dyDescent="0.35">
      <c r="A41" s="121" t="s">
        <v>4278</v>
      </c>
      <c r="B41" s="43"/>
      <c r="C41" s="42" t="s">
        <v>4447</v>
      </c>
      <c r="D41" s="44"/>
      <c r="E41" s="757"/>
      <c r="F41" s="843" t="str">
        <f>"from "&amp;PRO&amp;PRO!G21</f>
        <v>from PRO22</v>
      </c>
      <c r="G41" s="44"/>
      <c r="L41" s="763"/>
      <c r="M41" s="44" t="str">
        <f>E39&amp;" + "&amp;E42</f>
        <v>c17.2 + c17.3</v>
      </c>
      <c r="Q41" s="43"/>
      <c r="R41" s="43"/>
    </row>
    <row r="42" spans="1:18" x14ac:dyDescent="0.35">
      <c r="A42" s="121" t="s">
        <v>4281</v>
      </c>
      <c r="B42" s="43"/>
      <c r="C42" s="146" t="s">
        <v>4448</v>
      </c>
      <c r="E42" s="1058" t="str">
        <f>A3</f>
        <v>c17.3</v>
      </c>
      <c r="F42" s="125">
        <f>TRUNC(PRO!H22,0)</f>
        <v>0</v>
      </c>
      <c r="G42" s="1079" t="s">
        <v>1837</v>
      </c>
      <c r="L42" s="790" t="str">
        <f>A4</f>
        <v>c17.4</v>
      </c>
      <c r="M42" s="123">
        <f>F39+F42</f>
        <v>0</v>
      </c>
      <c r="Q42" s="43"/>
      <c r="R42" s="43"/>
    </row>
    <row r="43" spans="1:18" x14ac:dyDescent="0.35">
      <c r="A43" s="121" t="s">
        <v>4282</v>
      </c>
      <c r="B43" s="43"/>
      <c r="D43" s="400"/>
      <c r="E43" s="763"/>
      <c r="F43" s="400"/>
      <c r="G43" s="400"/>
      <c r="L43" s="759"/>
      <c r="M43" s="124"/>
      <c r="Q43" s="43"/>
      <c r="R43" s="43"/>
    </row>
    <row r="44" spans="1:18" x14ac:dyDescent="0.35">
      <c r="A44" s="121" t="s">
        <v>1217</v>
      </c>
      <c r="B44" s="43"/>
      <c r="D44" s="400"/>
      <c r="E44" s="759"/>
      <c r="G44" s="400"/>
      <c r="L44" s="759"/>
      <c r="M44" s="124" t="str">
        <f>L36&amp;" minus "&amp;L42</f>
        <v>c17.1 minus c17.4</v>
      </c>
      <c r="Q44" s="43"/>
      <c r="R44" s="43"/>
    </row>
    <row r="45" spans="1:18" x14ac:dyDescent="0.35">
      <c r="A45" s="121" t="s">
        <v>1218</v>
      </c>
      <c r="B45" s="43"/>
      <c r="E45" s="759"/>
      <c r="L45" s="790" t="str">
        <f>A5</f>
        <v>c17.5</v>
      </c>
      <c r="M45" s="420">
        <f>MAX(0,M36-M42)</f>
        <v>0</v>
      </c>
      <c r="Q45" s="43"/>
      <c r="R45" s="43"/>
    </row>
    <row r="46" spans="1:18" x14ac:dyDescent="0.35">
      <c r="A46" s="121" t="s">
        <v>1220</v>
      </c>
      <c r="B46" s="43"/>
      <c r="C46" s="42" t="s">
        <v>2562</v>
      </c>
      <c r="D46" s="43"/>
      <c r="E46" s="759"/>
      <c r="F46" s="44" t="str">
        <f>"from "&amp;'Deductions (c4)'!L241</f>
        <v>from c4.70</v>
      </c>
      <c r="L46" s="759"/>
      <c r="Q46" s="43"/>
      <c r="R46" s="43"/>
    </row>
    <row r="47" spans="1:18" x14ac:dyDescent="0.35">
      <c r="A47" s="121" t="s">
        <v>2808</v>
      </c>
      <c r="B47" s="43"/>
      <c r="C47" s="146" t="s">
        <v>2563</v>
      </c>
      <c r="E47" s="790" t="str">
        <f>A6</f>
        <v>c17.6</v>
      </c>
      <c r="F47" s="420">
        <f>'Deductions (c4)'!M241</f>
        <v>11500</v>
      </c>
      <c r="L47" s="759"/>
      <c r="Q47" s="43"/>
      <c r="R47" s="43"/>
    </row>
    <row r="48" spans="1:18" x14ac:dyDescent="0.35">
      <c r="A48" s="121" t="s">
        <v>2809</v>
      </c>
      <c r="B48" s="43"/>
      <c r="E48" s="759"/>
      <c r="L48" s="759"/>
      <c r="Q48" s="43"/>
      <c r="R48" s="43"/>
    </row>
    <row r="49" spans="2:18" x14ac:dyDescent="0.35">
      <c r="E49" s="759"/>
      <c r="F49" s="44" t="str">
        <f>"from "&amp;'Deductions (c4)'!H137</f>
        <v>from c4.49</v>
      </c>
      <c r="L49" s="757"/>
      <c r="M49" s="124" t="str">
        <f>E47&amp;" minus "&amp;E50</f>
        <v>c17.6 minus c17.7</v>
      </c>
    </row>
    <row r="50" spans="2:18" x14ac:dyDescent="0.35">
      <c r="C50" s="146" t="s">
        <v>2564</v>
      </c>
      <c r="E50" s="790" t="str">
        <f>A7</f>
        <v>c17.7</v>
      </c>
      <c r="F50" s="420">
        <f>'Deductions (c4)'!I137</f>
        <v>0</v>
      </c>
      <c r="L50" s="790" t="str">
        <f>A8</f>
        <v>c17.8</v>
      </c>
      <c r="M50" s="420">
        <f>MAX(0,F47-F50)</f>
        <v>11500</v>
      </c>
    </row>
    <row r="52" spans="2:18" x14ac:dyDescent="0.35">
      <c r="B52" s="43"/>
      <c r="L52" s="759"/>
      <c r="M52" s="124" t="str">
        <f>L45&amp;" minus "&amp;L50</f>
        <v>c17.5 minus c17.8</v>
      </c>
      <c r="Q52" s="43"/>
      <c r="R52" s="43"/>
    </row>
    <row r="53" spans="2:18" x14ac:dyDescent="0.35">
      <c r="B53" s="43"/>
      <c r="K53" s="109" t="s">
        <v>1736</v>
      </c>
      <c r="L53" s="790" t="str">
        <f>A9</f>
        <v>c17.9</v>
      </c>
      <c r="M53" s="420">
        <f>MAX(0,M45-M50)</f>
        <v>0</v>
      </c>
      <c r="Q53" s="43"/>
      <c r="R53" s="43"/>
    </row>
    <row r="54" spans="2:18" x14ac:dyDescent="0.35">
      <c r="B54" s="43"/>
      <c r="C54" s="1186" t="s">
        <v>1735</v>
      </c>
      <c r="D54" s="44"/>
      <c r="E54" s="759"/>
      <c r="Q54" s="43"/>
      <c r="R54" s="43"/>
    </row>
    <row r="55" spans="2:18" x14ac:dyDescent="0.35">
      <c r="C55" s="146" t="s">
        <v>6352</v>
      </c>
    </row>
    <row r="56" spans="2:18" x14ac:dyDescent="0.35">
      <c r="B56" s="43"/>
      <c r="E56" s="759"/>
      <c r="F56" s="1463" t="str">
        <f>"BR_band ("&amp;DOLLAR(BR_band,0)&amp;")"</f>
        <v>BR_band (£33,500)</v>
      </c>
      <c r="Q56" s="43"/>
      <c r="R56" s="43"/>
    </row>
    <row r="57" spans="2:18" x14ac:dyDescent="0.35">
      <c r="B57" s="43"/>
      <c r="C57" s="109" t="s">
        <v>1737</v>
      </c>
      <c r="E57" s="790" t="str">
        <f>A10</f>
        <v>c17.10</v>
      </c>
      <c r="F57" s="420">
        <f>BR_band</f>
        <v>33500</v>
      </c>
      <c r="L57" s="759"/>
      <c r="Q57" s="43"/>
      <c r="R57" s="43"/>
    </row>
    <row r="58" spans="2:18" x14ac:dyDescent="0.35">
      <c r="B58" s="43"/>
      <c r="E58" s="759"/>
      <c r="L58" s="759"/>
      <c r="Q58" s="43"/>
      <c r="R58" s="43"/>
    </row>
    <row r="59" spans="2:18" x14ac:dyDescent="0.35">
      <c r="B59" s="43"/>
      <c r="E59" s="759"/>
      <c r="F59" s="120" t="str">
        <f>"from "&amp;'Deductions (c4)'!H159</f>
        <v>from c4.58</v>
      </c>
      <c r="K59" s="43"/>
      <c r="L59" s="759"/>
      <c r="M59" s="44" t="str">
        <f>E57&amp;" + "&amp;E60</f>
        <v>c17.10 + c17.11</v>
      </c>
      <c r="Q59" s="43"/>
      <c r="R59" s="43"/>
    </row>
    <row r="60" spans="2:18" x14ac:dyDescent="0.35">
      <c r="B60" s="43"/>
      <c r="C60" s="109" t="s">
        <v>3911</v>
      </c>
      <c r="E60" s="1058" t="str">
        <f>A11</f>
        <v>c17.11</v>
      </c>
      <c r="F60" s="125">
        <f>'Deductions (c4)'!I159</f>
        <v>0</v>
      </c>
      <c r="K60" s="109" t="s">
        <v>1738</v>
      </c>
      <c r="L60" s="1058" t="str">
        <f>A12</f>
        <v>c17.12</v>
      </c>
      <c r="M60" s="126">
        <f>F57+F60</f>
        <v>33500</v>
      </c>
      <c r="Q60" s="43"/>
      <c r="R60" s="43"/>
    </row>
    <row r="61" spans="2:18" x14ac:dyDescent="0.35">
      <c r="B61" s="43"/>
      <c r="C61" s="43"/>
      <c r="D61" s="44"/>
      <c r="E61" s="759"/>
      <c r="K61" s="43"/>
      <c r="L61" s="784"/>
      <c r="Q61" s="43"/>
      <c r="R61" s="43"/>
    </row>
    <row r="62" spans="2:18" x14ac:dyDescent="0.35">
      <c r="B62" s="43"/>
      <c r="C62" s="146" t="s">
        <v>6351</v>
      </c>
      <c r="D62" s="44"/>
      <c r="E62" s="759"/>
      <c r="K62" s="43"/>
      <c r="L62" s="784"/>
      <c r="M62" s="124" t="str">
        <f>L53&amp;" minus "&amp;L60</f>
        <v>c17.9 minus c17.12</v>
      </c>
      <c r="Q62" s="43"/>
      <c r="R62" s="43"/>
    </row>
    <row r="63" spans="2:18" x14ac:dyDescent="0.35">
      <c r="B63" s="43"/>
      <c r="D63" s="44"/>
      <c r="E63" s="759"/>
      <c r="K63" s="43"/>
      <c r="L63" s="790" t="str">
        <f>A13</f>
        <v>c17.13</v>
      </c>
      <c r="M63" s="420">
        <f>MAX(0,M53-M60)</f>
        <v>0</v>
      </c>
      <c r="Q63" s="43"/>
      <c r="R63" s="43"/>
    </row>
    <row r="64" spans="2:18" x14ac:dyDescent="0.35">
      <c r="B64" s="43"/>
      <c r="C64" s="1187" t="s">
        <v>1739</v>
      </c>
      <c r="Q64" s="43"/>
      <c r="R64" s="43"/>
    </row>
    <row r="65" spans="2:18" x14ac:dyDescent="0.35">
      <c r="B65" s="142"/>
      <c r="C65" s="142"/>
      <c r="D65" s="440" t="s">
        <v>4332</v>
      </c>
      <c r="E65" s="759"/>
      <c r="F65" s="1463" t="str">
        <f>"HR_band ("&amp;DOLLAR(HR_band,0)&amp;")"</f>
        <v>HR_band (£116,500)</v>
      </c>
      <c r="K65" s="43"/>
      <c r="L65" s="759"/>
      <c r="M65" s="422"/>
      <c r="Q65" s="43"/>
      <c r="R65" s="43"/>
    </row>
    <row r="66" spans="2:18" x14ac:dyDescent="0.35">
      <c r="B66" s="142"/>
      <c r="C66" s="142"/>
      <c r="D66" s="440" t="s">
        <v>4333</v>
      </c>
      <c r="E66" s="790" t="str">
        <f>A14</f>
        <v>c17.14</v>
      </c>
      <c r="F66" s="420">
        <f>HR_band</f>
        <v>116500</v>
      </c>
      <c r="K66" s="43"/>
      <c r="L66" s="759"/>
      <c r="M66" s="422"/>
      <c r="Q66" s="43"/>
      <c r="R66" s="43"/>
    </row>
    <row r="67" spans="2:18" x14ac:dyDescent="0.35">
      <c r="B67" s="43"/>
      <c r="C67" s="43"/>
      <c r="D67" s="44"/>
      <c r="E67" s="759"/>
      <c r="F67" s="422"/>
      <c r="K67" s="43"/>
      <c r="L67" s="759"/>
      <c r="M67" s="965" t="str">
        <f>"lower of "&amp;L63&amp;" and "&amp;E66</f>
        <v>lower of c17.13 and c17.14</v>
      </c>
      <c r="O67" s="43"/>
      <c r="P67" s="124" t="str">
        <f>L68&amp;" x "&amp;HR_rate*100&amp;"%"</f>
        <v>c17.16 x 40%</v>
      </c>
      <c r="Q67" s="43"/>
      <c r="R67" s="43"/>
    </row>
    <row r="68" spans="2:18" x14ac:dyDescent="0.35">
      <c r="B68" s="43"/>
      <c r="D68" s="44"/>
      <c r="E68" s="790" t="str">
        <f>A15</f>
        <v>c17.15</v>
      </c>
      <c r="F68" s="110" t="s">
        <v>3963</v>
      </c>
      <c r="K68" s="44" t="s">
        <v>3558</v>
      </c>
      <c r="L68" s="790" t="str">
        <f>A16</f>
        <v>c17.16</v>
      </c>
      <c r="M68" s="420">
        <f>MIN(M63,F66)</f>
        <v>0</v>
      </c>
      <c r="O68" s="790" t="str">
        <f>A17</f>
        <v>c17.17</v>
      </c>
      <c r="P68" s="966">
        <f>TRUNC((M68*HR_rate)+0.0099,2)</f>
        <v>0</v>
      </c>
      <c r="Q68" s="1084" t="s">
        <v>1783</v>
      </c>
      <c r="R68" s="43"/>
    </row>
    <row r="69" spans="2:18" x14ac:dyDescent="0.35">
      <c r="B69" s="43"/>
      <c r="C69" s="43"/>
      <c r="D69" s="44"/>
      <c r="K69" s="43"/>
      <c r="L69" s="784"/>
      <c r="M69" s="398"/>
      <c r="N69" s="398"/>
      <c r="O69" s="822"/>
      <c r="P69" s="932"/>
      <c r="Q69" s="43"/>
      <c r="R69" s="43"/>
    </row>
    <row r="70" spans="2:18" x14ac:dyDescent="0.35">
      <c r="B70" s="43"/>
      <c r="C70" s="43"/>
      <c r="D70" s="44"/>
      <c r="K70" s="43"/>
      <c r="L70" s="784"/>
      <c r="M70" s="124" t="str">
        <f>L63&amp;" minus "&amp;L68</f>
        <v>c17.13 minus c17.16</v>
      </c>
      <c r="O70" s="759"/>
      <c r="P70" s="1078" t="str">
        <f>L71&amp;" x "&amp;AHR_rate*100&amp;"%"</f>
        <v>c17.18 x 45%</v>
      </c>
      <c r="Q70" s="43"/>
      <c r="R70" s="43"/>
    </row>
    <row r="71" spans="2:18" x14ac:dyDescent="0.35">
      <c r="B71" s="43"/>
      <c r="C71" s="43"/>
      <c r="D71" s="44"/>
      <c r="K71" s="44" t="s">
        <v>4265</v>
      </c>
      <c r="L71" s="790" t="str">
        <f>A18</f>
        <v>c17.18</v>
      </c>
      <c r="M71" s="420">
        <f>MAX(0,M63-M68)</f>
        <v>0</v>
      </c>
      <c r="O71" s="790" t="str">
        <f>A19</f>
        <v>c17.19</v>
      </c>
      <c r="P71" s="966">
        <f>TRUNC((M71*AHR_rate)+0.0099,2)</f>
        <v>0</v>
      </c>
      <c r="Q71" s="1084" t="s">
        <v>1783</v>
      </c>
      <c r="R71" s="43"/>
    </row>
    <row r="72" spans="2:18" x14ac:dyDescent="0.35">
      <c r="B72" s="43"/>
      <c r="C72" s="43"/>
      <c r="D72" s="44"/>
      <c r="K72" s="43"/>
      <c r="O72" s="759"/>
      <c r="Q72" s="43"/>
      <c r="R72" s="43"/>
    </row>
    <row r="73" spans="2:18" x14ac:dyDescent="0.35">
      <c r="B73" s="43"/>
      <c r="C73" s="43"/>
      <c r="D73" s="44"/>
      <c r="E73" s="43"/>
      <c r="K73" s="43"/>
      <c r="N73" s="43"/>
      <c r="O73" s="759"/>
      <c r="P73" s="44" t="str">
        <f>O68&amp;" + "&amp;O71</f>
        <v>c17.17 + c17.19</v>
      </c>
      <c r="Q73" s="43"/>
      <c r="R73" s="43"/>
    </row>
    <row r="74" spans="2:18" x14ac:dyDescent="0.35">
      <c r="C74" s="43"/>
      <c r="D74" s="44"/>
      <c r="E74" s="43"/>
      <c r="F74" s="119"/>
      <c r="N74" s="43"/>
      <c r="O74" s="790" t="str">
        <f>A20</f>
        <v>c17.20</v>
      </c>
      <c r="P74" s="966">
        <f>P68+P71</f>
        <v>0</v>
      </c>
      <c r="Q74" s="43"/>
      <c r="R74" s="43"/>
    </row>
    <row r="75" spans="2:18" x14ac:dyDescent="0.35">
      <c r="B75" s="42" t="str">
        <f>"If box "&amp;O74&amp;" = 0 (zero) and"</f>
        <v>If box c17.20 = 0 (zero) and</v>
      </c>
      <c r="R75" s="43"/>
    </row>
    <row r="76" spans="2:18" x14ac:dyDescent="0.35">
      <c r="B76" s="146" t="str">
        <f>"boxes (("&amp;CGT&amp;CGT!C4&amp;" + "&amp;CGT&amp;CGT!C14&amp;" + "&amp;CGT&amp;CGT!C24&amp;" + "&amp;CGT&amp;CGT!C31&amp;") minus (("&amp;CGT&amp;CGT!C7&amp;" + "&amp;CGT&amp;CGT!G14&amp;" + "&amp;CGT&amp;CGT!G24&amp;" + "&amp;CGT&amp;CGT!C34&amp;") minus ("&amp;CGT&amp;CGT!C37&amp;" + "&amp;CGT&amp;CGT!G40&amp;"))"&amp;" + "&amp;CGT&amp;CGT!G4&amp;" + "&amp;CGT&amp;CGT!C17&amp;" + "&amp;CGT&amp;CGT!P15&amp;" &lt;= 0 (zero)) and"</f>
        <v>boxes ((CGT6 + CGT17 + CGT26 + CGT34) minus ((CGT7 + CGT19 + CGT27 + CGT35) minus (CGT41 + CGT43)) + CGT9 + CGT18 + CGT52 &lt;= 0 (zero)) and</v>
      </c>
      <c r="F76" s="3045"/>
      <c r="L76" s="3045"/>
      <c r="M76" s="3045"/>
      <c r="N76" s="3045"/>
      <c r="Q76" s="43"/>
      <c r="R76" s="43"/>
    </row>
    <row r="77" spans="2:18" x14ac:dyDescent="0.35">
      <c r="B77" s="146" t="str">
        <f>"("&amp;CGT&amp;CGT!L15&amp;" = 0 (zero) or null) and (box "&amp;CGT&amp;CGT!C17&amp;" = zero or null)) no Top Slicing relief is due"</f>
        <v>(CGT51 = 0 (zero) or null) and (box CGT18 = zero or null)) no Top Slicing relief is due</v>
      </c>
      <c r="D77" s="1462"/>
      <c r="E77" s="1462"/>
      <c r="F77" s="1462"/>
      <c r="Q77" s="43"/>
      <c r="R77" s="43"/>
    </row>
    <row r="78" spans="2:18" x14ac:dyDescent="0.35">
      <c r="B78" s="42" t="str">
        <f>"set "&amp;E95&amp;" to "&amp;L95&amp;" to 1"</f>
        <v>set c17.21 to c17.22 to 1</v>
      </c>
      <c r="Q78" s="43"/>
      <c r="R78" s="43"/>
    </row>
    <row r="79" spans="2:18" x14ac:dyDescent="0.35">
      <c r="B79" s="42" t="s">
        <v>2520</v>
      </c>
      <c r="Q79" s="43"/>
      <c r="R79" s="43"/>
    </row>
    <row r="80" spans="2:18" ht="12.75" x14ac:dyDescent="0.35">
      <c r="C80" s="43"/>
      <c r="D80" s="43"/>
      <c r="E80" s="43"/>
      <c r="F80" s="128" t="s">
        <v>628</v>
      </c>
      <c r="G80" s="43"/>
      <c r="H80" s="43"/>
      <c r="I80" s="129" t="s">
        <v>2585</v>
      </c>
      <c r="J80" s="43"/>
      <c r="K80" s="43"/>
      <c r="L80" s="43"/>
      <c r="O80" s="43"/>
      <c r="P80" s="2618" t="s">
        <v>6354</v>
      </c>
      <c r="Q80" s="43"/>
      <c r="R80" s="43"/>
    </row>
    <row r="81" spans="2:34" x14ac:dyDescent="0.35">
      <c r="B81" s="43"/>
      <c r="C81" s="43"/>
      <c r="E81" s="43"/>
      <c r="F81" s="44" t="s">
        <v>1867</v>
      </c>
      <c r="G81" s="43"/>
      <c r="H81" s="43"/>
      <c r="I81" s="43"/>
      <c r="J81" s="42" t="s">
        <v>1868</v>
      </c>
      <c r="K81" s="43"/>
      <c r="L81" s="43"/>
      <c r="P81" s="1903" t="str">
        <f>L95</f>
        <v>c17.22</v>
      </c>
      <c r="Q81" s="1855"/>
      <c r="R81" s="1855"/>
      <c r="S81" s="1855"/>
      <c r="T81" s="1855"/>
      <c r="U81" s="1855"/>
      <c r="V81" s="1855"/>
      <c r="W81" s="1855"/>
      <c r="X81" s="1892"/>
      <c r="Y81" s="1939"/>
      <c r="Z81" s="1855"/>
      <c r="AA81" s="1855"/>
      <c r="AB81" s="1855"/>
      <c r="AC81" s="1855"/>
      <c r="AD81" s="1855"/>
      <c r="AE81" s="1855"/>
      <c r="AF81" s="1855"/>
      <c r="AG81" s="1855"/>
      <c r="AH81" s="1892"/>
    </row>
    <row r="82" spans="2:34" x14ac:dyDescent="0.35">
      <c r="B82" s="43"/>
      <c r="C82" s="43"/>
      <c r="D82" s="43"/>
      <c r="F82" s="44" t="str">
        <f>AOI&amp;AOI!C13&amp;", "&amp;AOI&amp;AOI!C19&amp;",  "&amp;AOI&amp;AOI!G13&amp;" and "&amp;FOR&amp;FOR!K37</f>
        <v>AOI4, AOI6,  AOI8 and FOR43</v>
      </c>
      <c r="G82" s="43"/>
      <c r="H82" s="43"/>
      <c r="J82" s="42" t="str">
        <f>AOI&amp;AOI!C16&amp;", "&amp;AOI&amp;AOI!C22&amp;",  "&amp;AOI&amp;AOI!G16&amp;" and "&amp;FOR&amp;FOR!O31</f>
        <v>AOI5, AOI7,  AOI9 and FOR44</v>
      </c>
      <c r="K82" s="43"/>
      <c r="L82" s="43"/>
      <c r="P82" s="1230" t="str">
        <f>"If "&amp;AOI&amp;AOI!C13&amp;" is present AND "&amp;AOI&amp;AOI!C16&amp;" not present, or"</f>
        <v>If AOI4 is present AND AOI5 not present, or</v>
      </c>
      <c r="Q82" s="43"/>
      <c r="R82" s="43"/>
      <c r="S82" s="43"/>
      <c r="T82" s="43"/>
      <c r="U82" s="43"/>
      <c r="V82" s="43"/>
      <c r="W82" s="43"/>
      <c r="X82" s="1275"/>
      <c r="Y82" s="1230" t="str">
        <f>"If "&amp;AOI&amp;AOI!C13&amp;" or "&amp;AOI&amp;AOI!C19&amp;" or "&amp;AOI&amp;AOI!G13&amp;" or "&amp;FOR&amp;FOR!K37&amp;" is present and less than 1 substitute 1."</f>
        <v>If AOI4 or AOI6 or AOI8 or FOR43 is present and less than 1 substitute 1.</v>
      </c>
      <c r="Z82" s="43"/>
      <c r="AA82" s="43"/>
      <c r="AB82" s="43"/>
      <c r="AC82" s="43"/>
      <c r="AD82" s="43"/>
      <c r="AE82" s="43"/>
      <c r="AF82" s="43"/>
      <c r="AG82" s="43"/>
      <c r="AH82" s="1275"/>
    </row>
    <row r="83" spans="2:34" x14ac:dyDescent="0.35">
      <c r="B83" s="43"/>
      <c r="C83" s="43"/>
      <c r="D83" s="43"/>
      <c r="F83" s="44" t="s">
        <v>3039</v>
      </c>
      <c r="G83" s="43"/>
      <c r="H83" s="43"/>
      <c r="I83" s="43"/>
      <c r="J83" s="42" t="s">
        <v>3039</v>
      </c>
      <c r="K83" s="43"/>
      <c r="L83" s="43"/>
      <c r="M83" s="43"/>
      <c r="N83" s="43"/>
      <c r="P83" s="1936" t="str">
        <f>AOI&amp;AOI!C19&amp;" is present AND "&amp;AOI&amp;AOI!C22&amp;" not present, or"</f>
        <v>AOI6 is present AND AOI7 not present, or</v>
      </c>
      <c r="Q83" s="43"/>
      <c r="R83" s="43"/>
      <c r="S83" s="43"/>
      <c r="T83" s="43"/>
      <c r="U83" s="43"/>
      <c r="V83" s="43"/>
      <c r="W83" s="43"/>
      <c r="X83" s="1275"/>
      <c r="Y83" s="1423"/>
      <c r="Z83" s="43"/>
      <c r="AA83" s="43"/>
      <c r="AB83" s="43"/>
      <c r="AC83" s="43"/>
      <c r="AD83" s="43"/>
      <c r="AE83" s="43"/>
      <c r="AF83" s="43"/>
      <c r="AG83" s="43"/>
      <c r="AH83" s="1275"/>
    </row>
    <row r="84" spans="2:34" x14ac:dyDescent="0.35">
      <c r="B84" s="43"/>
      <c r="C84" s="43"/>
      <c r="D84" s="43"/>
      <c r="E84" s="43"/>
      <c r="F84" s="841" t="s">
        <v>1743</v>
      </c>
      <c r="G84" s="43"/>
      <c r="H84" s="43"/>
      <c r="I84" s="43"/>
      <c r="J84" s="841" t="s">
        <v>1744</v>
      </c>
      <c r="K84" s="43"/>
      <c r="L84" s="43"/>
      <c r="M84" s="841" t="s">
        <v>3787</v>
      </c>
      <c r="N84" s="43"/>
      <c r="O84" s="43"/>
      <c r="P84" s="1936" t="str">
        <f>AOI&amp;AOI!G13&amp;" is present AND "&amp;AOI&amp;AOI!G16&amp;" is not present, or"</f>
        <v>AOI8 is present AND AOI9 is not present, or</v>
      </c>
      <c r="Q84" s="43"/>
      <c r="R84" s="43"/>
      <c r="S84" s="43"/>
      <c r="T84" s="43"/>
      <c r="U84" s="43"/>
      <c r="V84" s="43"/>
      <c r="W84" s="43"/>
      <c r="X84" s="1275"/>
      <c r="Y84" s="1230" t="str">
        <f>"If "&amp;L95&amp;" is calculated at less than 1 substitute 1."</f>
        <v>If c17.22 is calculated at less than 1 substitute 1.</v>
      </c>
      <c r="Z84" s="43"/>
      <c r="AA84" s="43"/>
      <c r="AB84" s="43"/>
      <c r="AC84" s="43"/>
      <c r="AD84" s="43"/>
      <c r="AE84" s="43"/>
      <c r="AF84" s="43"/>
      <c r="AG84" s="43"/>
      <c r="AH84" s="1275"/>
    </row>
    <row r="85" spans="2:34" x14ac:dyDescent="0.35">
      <c r="B85" s="43"/>
      <c r="C85" s="43"/>
      <c r="D85" s="43"/>
      <c r="E85" s="842" t="s">
        <v>2842</v>
      </c>
      <c r="F85" s="130">
        <f>TRUNC(MAX(FOR!L38,'Multi-foreign-gains'!D16),0)</f>
        <v>0</v>
      </c>
      <c r="H85" s="43"/>
      <c r="I85" s="43"/>
      <c r="J85" s="130" t="str">
        <f>IF(OR(FOR!P32="multiple",FOR!P32=""),"M",MAX(FOR!P32,'Multi-foreign-gains'!P16,1))</f>
        <v>M</v>
      </c>
      <c r="K85" s="43"/>
      <c r="L85" s="43"/>
      <c r="M85" s="123">
        <f>IF(J85="M",0,IF(F85&gt;0,MAX(1,F85/J85),0))</f>
        <v>0</v>
      </c>
      <c r="O85" s="43"/>
      <c r="P85" s="1936" t="str">
        <f>FOR&amp;FOR!K37&amp;" is present AND "&amp;FOR&amp;FOR!O31&amp;" not present"</f>
        <v>FOR43 is present AND FOR44 not present</v>
      </c>
      <c r="Q85" s="43"/>
      <c r="R85" s="43"/>
      <c r="S85" s="43"/>
      <c r="T85" s="43"/>
      <c r="U85" s="135"/>
      <c r="V85" s="43"/>
      <c r="W85" s="43"/>
      <c r="X85" s="1275"/>
      <c r="Y85" s="1423"/>
      <c r="Z85" s="43"/>
      <c r="AA85" s="43"/>
      <c r="AB85" s="43"/>
      <c r="AC85" s="43"/>
      <c r="AD85" s="43"/>
      <c r="AE85" s="43"/>
      <c r="AF85" s="43"/>
      <c r="AG85" s="43"/>
      <c r="AH85" s="1275"/>
    </row>
    <row r="86" spans="2:34" x14ac:dyDescent="0.35">
      <c r="B86" s="43"/>
      <c r="C86" s="43"/>
      <c r="D86" s="43"/>
      <c r="E86" s="842" t="s">
        <v>4248</v>
      </c>
      <c r="F86" s="130">
        <f>TRUNC(MAX(AOI!D20,'Multi-UK-gains'!F16),0)</f>
        <v>0</v>
      </c>
      <c r="G86" s="43"/>
      <c r="H86" s="43"/>
      <c r="I86" s="43"/>
      <c r="J86" s="130" t="str">
        <f>IF(OR(AOI!D23="multiple",AOI!D23=""),"M",MAX(AOI!D23,'Multi-UK-gains'!R17,1))</f>
        <v>M</v>
      </c>
      <c r="K86" s="43"/>
      <c r="L86" s="43"/>
      <c r="M86" s="123">
        <f>IF(J86="M",0,IF(F86&gt;0,MAX(1,F86/J86),0))</f>
        <v>0</v>
      </c>
      <c r="N86" s="43"/>
      <c r="O86" s="43"/>
      <c r="P86" s="1230" t="str">
        <f>L95&amp;" = ITF CEG INPUT AMOUNT"</f>
        <v>c17.22 = ITF CEG INPUT AMOUNT</v>
      </c>
      <c r="Q86" s="43"/>
      <c r="R86" s="43"/>
      <c r="S86" s="43"/>
      <c r="T86" s="43"/>
      <c r="U86" s="43"/>
      <c r="V86" s="43"/>
      <c r="W86" s="43"/>
      <c r="X86" s="1275"/>
      <c r="Y86" s="1423"/>
      <c r="Z86" s="43"/>
      <c r="AA86" s="43"/>
      <c r="AB86" s="43"/>
      <c r="AC86" s="43"/>
      <c r="AD86" s="43"/>
      <c r="AE86" s="43"/>
      <c r="AF86" s="43"/>
      <c r="AG86" s="43"/>
      <c r="AH86" s="1275"/>
    </row>
    <row r="87" spans="2:34" x14ac:dyDescent="0.35">
      <c r="B87" s="43"/>
      <c r="C87" s="43"/>
      <c r="D87" s="44"/>
      <c r="E87" s="842" t="s">
        <v>4249</v>
      </c>
      <c r="F87" s="130">
        <f>TRUNC(MAX(AOI!D14,'Multi-UK-gains'!M21),0)</f>
        <v>0</v>
      </c>
      <c r="G87" s="43"/>
      <c r="H87" s="44"/>
      <c r="I87" s="43"/>
      <c r="J87" s="130" t="str">
        <f>IF(OR(AOI!D17="multiple",AOI!D17=""),"M",MAX(AOI!D17,'Multi-UK-gains'!V22,1))</f>
        <v>M</v>
      </c>
      <c r="K87" s="43"/>
      <c r="L87" s="43"/>
      <c r="M87" s="123">
        <f>IF(J87="M",0,IF(F87&gt;0,MAX(1,F87/J87),0))</f>
        <v>0</v>
      </c>
      <c r="N87" s="43"/>
      <c r="O87" s="43"/>
      <c r="P87" s="1937" t="s">
        <v>2520</v>
      </c>
      <c r="Q87" s="43"/>
      <c r="R87" s="43"/>
      <c r="S87" s="43"/>
      <c r="T87" s="43"/>
      <c r="U87" s="43"/>
      <c r="V87" s="43"/>
      <c r="W87" s="43"/>
      <c r="X87" s="1275"/>
      <c r="Y87" s="1423"/>
      <c r="Z87" s="43"/>
      <c r="AA87" s="43"/>
      <c r="AB87" s="43"/>
      <c r="AC87" s="43"/>
      <c r="AD87" s="43"/>
      <c r="AE87" s="43"/>
      <c r="AF87" s="43"/>
      <c r="AG87" s="43"/>
      <c r="AH87" s="1275"/>
    </row>
    <row r="88" spans="2:34" x14ac:dyDescent="0.35">
      <c r="B88" s="43"/>
      <c r="C88" s="43"/>
      <c r="D88" s="44"/>
      <c r="E88" s="842" t="s">
        <v>4250</v>
      </c>
      <c r="F88" s="130">
        <f>TRUNC(AOI!H14,0)</f>
        <v>0</v>
      </c>
      <c r="G88" s="43"/>
      <c r="H88" s="44"/>
      <c r="I88" s="43"/>
      <c r="J88" s="130">
        <f>MAX(AOI!H17,1)</f>
        <v>1</v>
      </c>
      <c r="K88" s="43"/>
      <c r="L88" s="43"/>
      <c r="M88" s="123">
        <f>IF(J88="M",0,IF(F88&gt;0,MAX(1,F88/J88),0))</f>
        <v>0</v>
      </c>
      <c r="N88" s="43"/>
      <c r="O88" s="43"/>
      <c r="P88" s="1936" t="str">
        <f>"a) If "&amp;AOI&amp;AOI!C13&amp;" is present, a = the higher of 1 or ("&amp;AOI&amp;AOI!C13&amp;"/"&amp;AOI&amp;AOI!C16&amp;"), else a = zero"</f>
        <v>a) If AOI4 is present, a = the higher of 1 or (AOI4/AOI5), else a = zero</v>
      </c>
      <c r="Q88" s="43"/>
      <c r="R88" s="43"/>
      <c r="S88" s="43"/>
      <c r="T88" s="43"/>
      <c r="U88" s="44"/>
      <c r="V88" s="43"/>
      <c r="W88" s="43"/>
      <c r="X88" s="1275"/>
      <c r="Y88" s="1423"/>
      <c r="Z88" s="43"/>
      <c r="AA88" s="43"/>
      <c r="AB88" s="43"/>
      <c r="AC88" s="43"/>
      <c r="AD88" s="43"/>
      <c r="AE88" s="43"/>
      <c r="AF88" s="43"/>
      <c r="AG88" s="43"/>
      <c r="AH88" s="1275"/>
    </row>
    <row r="89" spans="2:34" x14ac:dyDescent="0.35">
      <c r="B89" s="43"/>
      <c r="C89" s="43"/>
      <c r="D89" s="44"/>
      <c r="E89" s="842" t="s">
        <v>1096</v>
      </c>
      <c r="F89" s="130"/>
      <c r="G89" s="43"/>
      <c r="H89" s="44"/>
      <c r="I89" s="43"/>
      <c r="J89" s="130"/>
      <c r="K89" s="43"/>
      <c r="L89" s="43"/>
      <c r="M89" s="123">
        <f>IF(No_of_for_gains&gt;1,'Multi-foreign-gains'!Q16,0)</f>
        <v>0</v>
      </c>
      <c r="O89" s="43"/>
      <c r="P89" s="1936" t="str">
        <f>"b) If "&amp;AOI&amp;AOI!C19&amp;" is present, b = the higher of 1 or ("&amp;AOI&amp;AOI!C19&amp;"/"&amp;AOI&amp;AOI!C22&amp;"), else b = zero"</f>
        <v>b) If AOI6 is present, b = the higher of 1 or (AOI6/AOI7), else b = zero</v>
      </c>
      <c r="Q89" s="43"/>
      <c r="R89" s="43"/>
      <c r="S89" s="43"/>
      <c r="T89" s="43"/>
      <c r="U89" s="44"/>
      <c r="V89" s="43"/>
      <c r="W89" s="43"/>
      <c r="X89" s="1275"/>
      <c r="Y89" s="1423"/>
      <c r="Z89" s="43"/>
      <c r="AA89" s="43"/>
      <c r="AB89" s="43"/>
      <c r="AC89" s="43"/>
      <c r="AD89" s="43"/>
      <c r="AE89" s="43"/>
      <c r="AF89" s="43"/>
      <c r="AG89" s="43"/>
      <c r="AH89" s="1275"/>
    </row>
    <row r="90" spans="2:34" x14ac:dyDescent="0.35">
      <c r="B90" s="43"/>
      <c r="C90" s="43"/>
      <c r="D90" s="44"/>
      <c r="E90" s="842" t="s">
        <v>1097</v>
      </c>
      <c r="F90" s="130"/>
      <c r="G90" s="43"/>
      <c r="H90" s="44"/>
      <c r="I90" s="43"/>
      <c r="J90" s="130"/>
      <c r="K90" s="43"/>
      <c r="L90" s="43"/>
      <c r="M90" s="123">
        <f>IF('Multi-UK-gains'!Q17&gt;1,'Multi-UK-gains'!S17,0)</f>
        <v>0</v>
      </c>
      <c r="O90" s="43"/>
      <c r="P90" s="1936" t="str">
        <f>"c) If "&amp;AOI&amp;AOI!G13&amp;" is present, c = the higher of 1 or ("&amp;AOI&amp;AOI!G13&amp;"/"&amp;AOI&amp;AOI!G16&amp;"), else c = zero"</f>
        <v>c) If AOI8 is present, c = the higher of 1 or (AOI8/AOI9), else c = zero</v>
      </c>
      <c r="Q90" s="43"/>
      <c r="R90" s="43"/>
      <c r="S90" s="43"/>
      <c r="T90" s="43"/>
      <c r="U90" s="44"/>
      <c r="V90" s="43"/>
      <c r="W90" s="43"/>
      <c r="X90" s="1275"/>
      <c r="Y90" s="1423"/>
      <c r="Z90" s="43"/>
      <c r="AA90" s="43"/>
      <c r="AB90" s="43"/>
      <c r="AC90" s="43"/>
      <c r="AD90" s="43"/>
      <c r="AE90" s="43"/>
      <c r="AF90" s="43"/>
      <c r="AG90" s="43"/>
      <c r="AH90" s="1275"/>
    </row>
    <row r="91" spans="2:34" x14ac:dyDescent="0.35">
      <c r="B91" s="43"/>
      <c r="C91" s="43"/>
      <c r="D91" s="44"/>
      <c r="E91" s="842" t="s">
        <v>1098</v>
      </c>
      <c r="F91" s="130"/>
      <c r="G91" s="43"/>
      <c r="H91" s="44"/>
      <c r="I91" s="43"/>
      <c r="J91" s="130"/>
      <c r="K91" s="43"/>
      <c r="L91" s="43"/>
      <c r="M91" s="123">
        <f>IF('Multi-UK-gains'!U22&gt;1,'Multi-UK-gains'!W22,0)</f>
        <v>0</v>
      </c>
      <c r="O91" s="43"/>
      <c r="P91" s="1936" t="str">
        <f>"d) If "&amp;FOR&amp;FOR!K37&amp;" is present, d = the higher of 1 or ("&amp;FOR&amp;FOR!K37&amp;"/"&amp;FOR&amp;FOR!O31&amp;"), else d = zero"</f>
        <v>d) If FOR43 is present, d = the higher of 1 or (FOR43/FOR44), else d = zero</v>
      </c>
      <c r="Q91" s="43"/>
      <c r="R91" s="43"/>
      <c r="S91" s="43"/>
      <c r="T91" s="43"/>
      <c r="U91" s="44"/>
      <c r="V91" s="43"/>
      <c r="W91" s="43"/>
      <c r="X91" s="1275"/>
      <c r="Y91" s="1423"/>
      <c r="Z91" s="43"/>
      <c r="AA91" s="43"/>
      <c r="AB91" s="43"/>
      <c r="AC91" s="43"/>
      <c r="AD91" s="43"/>
      <c r="AE91" s="43"/>
      <c r="AF91" s="43"/>
      <c r="AG91" s="43"/>
      <c r="AH91" s="1275"/>
    </row>
    <row r="92" spans="2:34" x14ac:dyDescent="0.35">
      <c r="B92" s="43"/>
      <c r="C92" s="43"/>
      <c r="D92" s="43"/>
      <c r="E92" s="43"/>
      <c r="F92" s="398"/>
      <c r="G92" s="43"/>
      <c r="H92" s="43"/>
      <c r="I92" s="43"/>
      <c r="J92" s="43"/>
      <c r="K92" s="43"/>
      <c r="L92" s="43"/>
      <c r="M92" s="398"/>
      <c r="N92" s="43"/>
      <c r="O92" s="43"/>
      <c r="P92" s="1230" t="str">
        <f>L95&amp;" = higher of 1 or (a + b + c +d)"</f>
        <v>c17.22 = higher of 1 or (a + b + c +d)</v>
      </c>
      <c r="Q92" s="43"/>
      <c r="R92" s="43"/>
      <c r="S92" s="43"/>
      <c r="T92" s="43"/>
      <c r="U92" s="44"/>
      <c r="V92" s="43"/>
      <c r="W92" s="43"/>
      <c r="X92" s="1275"/>
      <c r="Y92" s="1423"/>
      <c r="Z92" s="43"/>
      <c r="AA92" s="43"/>
      <c r="AB92" s="43"/>
      <c r="AC92" s="43"/>
      <c r="AD92" s="43"/>
      <c r="AE92" s="43"/>
      <c r="AF92" s="43"/>
      <c r="AG92" s="43"/>
      <c r="AH92" s="1275"/>
    </row>
    <row r="93" spans="2:34" x14ac:dyDescent="0.35">
      <c r="F93" s="44" t="s">
        <v>2708</v>
      </c>
      <c r="G93" s="43"/>
      <c r="H93" s="43"/>
      <c r="I93" s="43"/>
      <c r="J93" s="43"/>
      <c r="M93" s="44" t="s">
        <v>2708</v>
      </c>
      <c r="O93" s="43"/>
      <c r="P93" s="1232" t="s">
        <v>2638</v>
      </c>
      <c r="Q93" s="1270"/>
      <c r="R93" s="1270"/>
      <c r="S93" s="1270"/>
      <c r="T93" s="1270"/>
      <c r="U93" s="1938"/>
      <c r="V93" s="1270"/>
      <c r="W93" s="1270"/>
      <c r="X93" s="1199"/>
      <c r="Y93" s="1424"/>
      <c r="Z93" s="1270"/>
      <c r="AA93" s="1270"/>
      <c r="AB93" s="1270"/>
      <c r="AC93" s="1270"/>
      <c r="AD93" s="1270"/>
      <c r="AE93" s="1270"/>
      <c r="AF93" s="1270"/>
      <c r="AG93" s="1270"/>
      <c r="AH93" s="1199"/>
    </row>
    <row r="94" spans="2:34" x14ac:dyDescent="0.35">
      <c r="B94" s="43"/>
      <c r="C94" s="43"/>
      <c r="F94" s="109" t="str">
        <f>AOI&amp;AOI!C13&amp;" + "&amp;AOI&amp;AOI!C19&amp;" + "&amp;AOI&amp;AOI!G13&amp;" + "&amp;FOR&amp;FOR!K37</f>
        <v>AOI4 + AOI6 + AOI8 + FOR43</v>
      </c>
      <c r="M94" s="109" t="str">
        <f>AOI&amp;AOI!C16&amp;" + "&amp;AOI&amp;AOI!C22&amp;" +  "&amp;AOI&amp;AOI!G16&amp;" + "&amp;FOR&amp;FOR!O31</f>
        <v>AOI5 + AOI7 +  AOI9 + FOR44</v>
      </c>
      <c r="N94" s="43"/>
      <c r="O94" s="43"/>
    </row>
    <row r="95" spans="2:34" x14ac:dyDescent="0.35">
      <c r="B95" s="43"/>
      <c r="D95" s="44" t="s">
        <v>4279</v>
      </c>
      <c r="E95" s="790" t="str">
        <f>A21</f>
        <v>c17.21</v>
      </c>
      <c r="F95" s="131">
        <f>SUM(F85:F91)</f>
        <v>0</v>
      </c>
      <c r="G95" s="1084" t="s">
        <v>1837</v>
      </c>
      <c r="H95" s="43"/>
      <c r="I95" s="43"/>
      <c r="K95" s="44" t="s">
        <v>4280</v>
      </c>
      <c r="L95" s="790" t="str">
        <f>A22</f>
        <v>c17.22</v>
      </c>
      <c r="M95" s="123">
        <f>TRUNC(SUM(M85:M91),0)</f>
        <v>0</v>
      </c>
      <c r="N95" s="1084" t="s">
        <v>1837</v>
      </c>
      <c r="O95" s="43"/>
    </row>
    <row r="96" spans="2:34" x14ac:dyDescent="0.35">
      <c r="B96" s="96" t="s">
        <v>2638</v>
      </c>
      <c r="E96" s="759"/>
      <c r="L96" s="759"/>
    </row>
    <row r="97" spans="2:21" x14ac:dyDescent="0.35">
      <c r="O97" s="43"/>
    </row>
    <row r="98" spans="2:21" x14ac:dyDescent="0.35">
      <c r="B98" s="96" t="str">
        <f>"If box "&amp;O74&amp;" = 0 (zero)"</f>
        <v>If box c17.20 = 0 (zero)</v>
      </c>
    </row>
    <row r="99" spans="2:21" x14ac:dyDescent="0.35">
      <c r="B99" s="96" t="str">
        <f>"set "&amp;E105&amp;" to "&amp;L170&amp;" to 0 (zero)"</f>
        <v>set c17.23 to c17.48 to 0 (zero)</v>
      </c>
    </row>
    <row r="100" spans="2:21" x14ac:dyDescent="0.35">
      <c r="B100" s="96" t="s">
        <v>2520</v>
      </c>
    </row>
    <row r="101" spans="2:21" x14ac:dyDescent="0.35">
      <c r="B101" s="96" t="str">
        <f>"calculate "&amp;E105&amp;" to "&amp;L170</f>
        <v>calculate c17.23 to c17.48</v>
      </c>
    </row>
    <row r="103" spans="2:21" x14ac:dyDescent="0.35">
      <c r="B103" s="43"/>
      <c r="C103" s="1186" t="s">
        <v>4283</v>
      </c>
      <c r="E103" s="759"/>
      <c r="L103" s="759"/>
      <c r="N103" s="43"/>
    </row>
    <row r="104" spans="2:21" x14ac:dyDescent="0.35">
      <c r="B104" s="43"/>
      <c r="E104" s="759"/>
      <c r="F104" s="965" t="str">
        <f>"lower of "&amp;L71&amp;" and "&amp;E95</f>
        <v>lower of c17.18 and c17.21</v>
      </c>
      <c r="L104" s="759"/>
      <c r="M104" s="1078" t="str">
        <f>E105&amp;" x "&amp;AHR_rate*100&amp;"%"</f>
        <v>c17.23 x 45%</v>
      </c>
    </row>
    <row r="105" spans="2:21" x14ac:dyDescent="0.35">
      <c r="B105" s="43"/>
      <c r="C105" s="146" t="s">
        <v>1219</v>
      </c>
      <c r="E105" s="790" t="str">
        <f>A23</f>
        <v>c17.23</v>
      </c>
      <c r="F105" s="131">
        <f>MIN(M71,F95)</f>
        <v>0</v>
      </c>
      <c r="L105" s="790" t="str">
        <f>A24</f>
        <v>c17.24</v>
      </c>
      <c r="M105" s="966">
        <f>TRUNC(F105*AHR_rate,2)</f>
        <v>0</v>
      </c>
      <c r="N105" s="1084" t="s">
        <v>2872</v>
      </c>
    </row>
    <row r="106" spans="2:21" x14ac:dyDescent="0.35">
      <c r="B106" s="43"/>
      <c r="E106" s="759"/>
    </row>
    <row r="107" spans="2:21" x14ac:dyDescent="0.35">
      <c r="B107" s="43"/>
      <c r="E107" s="759"/>
      <c r="F107" s="124" t="str">
        <f>E95&amp;" minus "&amp;E105</f>
        <v>c17.21 minus c17.23</v>
      </c>
      <c r="Q107" s="43"/>
      <c r="U107" s="44"/>
    </row>
    <row r="108" spans="2:21" x14ac:dyDescent="0.35">
      <c r="B108" s="43"/>
      <c r="C108" s="42" t="s">
        <v>1221</v>
      </c>
      <c r="E108" s="790" t="str">
        <f>A25</f>
        <v>c17.25</v>
      </c>
      <c r="F108" s="420">
        <f>MAX(0,F95-F105)</f>
        <v>0</v>
      </c>
      <c r="Q108" s="43"/>
      <c r="U108" s="44"/>
    </row>
    <row r="109" spans="2:21" x14ac:dyDescent="0.35">
      <c r="B109" s="43"/>
      <c r="E109" s="759"/>
      <c r="P109" s="43"/>
      <c r="Q109" s="43"/>
      <c r="U109" s="44"/>
    </row>
    <row r="110" spans="2:21" x14ac:dyDescent="0.35">
      <c r="B110" s="43"/>
      <c r="E110" s="759"/>
      <c r="F110" s="965" t="str">
        <f>"lower of "&amp;L68&amp;" and "&amp;E108</f>
        <v>lower of c17.16 and c17.25</v>
      </c>
      <c r="M110" s="124" t="str">
        <f>E111&amp;" x "&amp;HR_rate*100&amp;"%"</f>
        <v>c17.26 x 40%</v>
      </c>
      <c r="Q110" s="43"/>
      <c r="U110" s="44"/>
    </row>
    <row r="111" spans="2:21" x14ac:dyDescent="0.35">
      <c r="B111" s="43"/>
      <c r="C111" s="146" t="s">
        <v>1222</v>
      </c>
      <c r="E111" s="790" t="str">
        <f>A26</f>
        <v>c17.26</v>
      </c>
      <c r="F111" s="131">
        <f>MIN(M68,F108)</f>
        <v>0</v>
      </c>
      <c r="L111" s="790" t="str">
        <f>A27</f>
        <v>c17.27</v>
      </c>
      <c r="M111" s="966">
        <f>TRUNC(F111*HR_rate,2)</f>
        <v>0</v>
      </c>
      <c r="N111" s="1084" t="s">
        <v>2872</v>
      </c>
      <c r="Q111" s="43"/>
      <c r="U111" s="44"/>
    </row>
    <row r="112" spans="2:21" x14ac:dyDescent="0.35">
      <c r="B112" s="43"/>
      <c r="E112" s="759"/>
      <c r="L112" s="759"/>
      <c r="Q112" s="43"/>
      <c r="U112" s="44"/>
    </row>
    <row r="113" spans="2:21" x14ac:dyDescent="0.35">
      <c r="E113" s="759"/>
      <c r="L113" s="759"/>
      <c r="M113" s="44" t="str">
        <f>L105&amp;" + "&amp;L111</f>
        <v>c17.24 + c17.27</v>
      </c>
      <c r="Q113" s="43"/>
      <c r="U113" s="136"/>
    </row>
    <row r="114" spans="2:21" x14ac:dyDescent="0.35">
      <c r="E114" s="759"/>
      <c r="L114" s="790" t="str">
        <f>A28</f>
        <v>c17.28</v>
      </c>
      <c r="M114" s="967">
        <f>M105+M111</f>
        <v>0</v>
      </c>
      <c r="Q114" s="43"/>
      <c r="U114" s="43"/>
    </row>
    <row r="115" spans="2:21" x14ac:dyDescent="0.35">
      <c r="B115" s="43"/>
      <c r="E115" s="759"/>
      <c r="L115" s="759"/>
      <c r="Q115" s="43"/>
      <c r="U115" s="43"/>
    </row>
    <row r="116" spans="2:21" x14ac:dyDescent="0.35">
      <c r="B116" s="43"/>
      <c r="E116" s="759"/>
      <c r="F116" s="44" t="str">
        <f>E105&amp;" + "&amp;E111</f>
        <v>c17.23 + c17.26</v>
      </c>
      <c r="L116" s="759"/>
      <c r="M116" s="968" t="str">
        <f>E117&amp;" x "&amp;BR_rate*100&amp;"%"</f>
        <v>c17.29 x 20%</v>
      </c>
      <c r="Q116" s="43"/>
      <c r="U116" s="43"/>
    </row>
    <row r="117" spans="2:21" x14ac:dyDescent="0.35">
      <c r="B117" s="43"/>
      <c r="E117" s="790" t="str">
        <f>A29</f>
        <v>c17.29</v>
      </c>
      <c r="F117" s="131">
        <f>F105+F111</f>
        <v>0</v>
      </c>
      <c r="L117" s="790" t="str">
        <f>A30</f>
        <v>c17.30</v>
      </c>
      <c r="M117" s="969">
        <f>TRUNC(F117*BR_rate,2)</f>
        <v>0</v>
      </c>
      <c r="N117" s="1084" t="s">
        <v>2872</v>
      </c>
      <c r="Q117" s="43"/>
      <c r="U117" s="43"/>
    </row>
    <row r="118" spans="2:21" x14ac:dyDescent="0.35">
      <c r="B118" s="43"/>
      <c r="L118" s="759"/>
      <c r="O118" s="43"/>
      <c r="Q118" s="43"/>
    </row>
    <row r="119" spans="2:21" x14ac:dyDescent="0.35">
      <c r="B119" s="43"/>
      <c r="L119" s="759"/>
      <c r="M119" s="124" t="str">
        <f>L114&amp;" minus "&amp;L117</f>
        <v>c17.28 minus c17.30</v>
      </c>
      <c r="Q119" s="43"/>
    </row>
    <row r="120" spans="2:21" x14ac:dyDescent="0.35">
      <c r="B120" s="43"/>
      <c r="L120" s="790" t="str">
        <f>A31</f>
        <v>c17.31</v>
      </c>
      <c r="M120" s="818">
        <f>MAX(0,M114-M117)</f>
        <v>0</v>
      </c>
      <c r="Q120" s="43"/>
    </row>
    <row r="121" spans="2:21" x14ac:dyDescent="0.35">
      <c r="B121" s="43"/>
      <c r="C121" s="1188" t="s">
        <v>1173</v>
      </c>
      <c r="Q121" s="43"/>
    </row>
    <row r="122" spans="2:21" x14ac:dyDescent="0.35">
      <c r="F122" s="44" t="str">
        <f>L45&amp;" + "&amp;L95</f>
        <v>c17.5 + c17.22</v>
      </c>
      <c r="K122" s="44"/>
      <c r="L122" s="44"/>
      <c r="M122" s="44"/>
      <c r="N122" s="43"/>
      <c r="Q122" s="43"/>
    </row>
    <row r="123" spans="2:21" x14ac:dyDescent="0.35">
      <c r="E123" s="790" t="str">
        <f>A32</f>
        <v>c17.32</v>
      </c>
      <c r="F123" s="131">
        <f>M45+M95</f>
        <v>0</v>
      </c>
      <c r="I123" s="44"/>
      <c r="J123" s="44"/>
      <c r="K123" s="43"/>
      <c r="L123" s="43"/>
      <c r="M123" s="43"/>
      <c r="Q123" s="43"/>
    </row>
    <row r="124" spans="2:21" x14ac:dyDescent="0.35">
      <c r="D124" s="44"/>
      <c r="E124" s="757"/>
      <c r="F124" s="44"/>
      <c r="I124" s="44"/>
      <c r="J124" s="44"/>
      <c r="K124" s="43"/>
      <c r="L124" s="43"/>
      <c r="M124" s="43"/>
      <c r="Q124" s="43"/>
    </row>
    <row r="125" spans="2:21" x14ac:dyDescent="0.35">
      <c r="D125" s="44"/>
      <c r="E125" s="757"/>
      <c r="F125" s="44" t="str">
        <f>E123&amp;" minus "&amp;E95</f>
        <v>c17.32 minus c17.21</v>
      </c>
      <c r="I125" s="44"/>
      <c r="J125" s="44"/>
      <c r="K125" s="43"/>
      <c r="L125" s="43"/>
      <c r="M125" s="43"/>
      <c r="Q125" s="43"/>
    </row>
    <row r="126" spans="2:21" x14ac:dyDescent="0.35">
      <c r="E126" s="790" t="str">
        <f>A33</f>
        <v>c17.33</v>
      </c>
      <c r="F126" s="970">
        <f>MAX(0,F123-F95)</f>
        <v>0</v>
      </c>
      <c r="I126" s="44"/>
      <c r="Q126" s="43"/>
    </row>
    <row r="127" spans="2:21" x14ac:dyDescent="0.35">
      <c r="E127" s="759"/>
      <c r="I127" s="44"/>
      <c r="Q127" s="43"/>
    </row>
    <row r="128" spans="2:21" x14ac:dyDescent="0.35">
      <c r="E128" s="759"/>
      <c r="F128" s="124" t="str">
        <f>E126&amp;" minus "&amp;L50</f>
        <v>c17.33 minus c17.8</v>
      </c>
      <c r="I128" s="44"/>
      <c r="Q128" s="43"/>
    </row>
    <row r="129" spans="2:17" x14ac:dyDescent="0.35">
      <c r="E129" s="790" t="str">
        <f>A34</f>
        <v>c17.34</v>
      </c>
      <c r="F129" s="420">
        <f>MAX(0,F126-M50)</f>
        <v>0</v>
      </c>
      <c r="I129" s="44"/>
      <c r="Q129" s="43"/>
    </row>
    <row r="130" spans="2:17" x14ac:dyDescent="0.35">
      <c r="E130" s="784"/>
      <c r="F130" s="422"/>
      <c r="I130" s="44"/>
      <c r="Q130" s="43"/>
    </row>
    <row r="131" spans="2:17" x14ac:dyDescent="0.35">
      <c r="E131" s="759"/>
      <c r="F131" s="124" t="str">
        <f>E129&amp;" minus "&amp;L60</f>
        <v>c17.34 minus c17.12</v>
      </c>
      <c r="Q131" s="43"/>
    </row>
    <row r="132" spans="2:17" x14ac:dyDescent="0.35">
      <c r="C132" s="146" t="s">
        <v>1174</v>
      </c>
      <c r="E132" s="790" t="str">
        <f>A35</f>
        <v>c17.35</v>
      </c>
      <c r="F132" s="420">
        <f>MAX(0,F129-M60)</f>
        <v>0</v>
      </c>
      <c r="I132" s="44"/>
      <c r="Q132" s="43"/>
    </row>
    <row r="133" spans="2:17" x14ac:dyDescent="0.35">
      <c r="E133" s="759"/>
      <c r="F133" s="422"/>
      <c r="I133" s="44"/>
      <c r="Q133" s="43"/>
    </row>
    <row r="134" spans="2:17" x14ac:dyDescent="0.35">
      <c r="E134" s="759"/>
      <c r="F134" s="965" t="str">
        <f>"lower of "&amp;L95&amp;" and "&amp;E132</f>
        <v>lower of c17.22 and c17.35</v>
      </c>
      <c r="I134" s="44"/>
      <c r="Q134" s="43"/>
    </row>
    <row r="135" spans="2:17" x14ac:dyDescent="0.35">
      <c r="C135" s="109" t="s">
        <v>1175</v>
      </c>
      <c r="E135" s="790" t="str">
        <f>A36</f>
        <v>c17.36</v>
      </c>
      <c r="F135" s="420">
        <f>MIN(M95,F132)</f>
        <v>0</v>
      </c>
      <c r="I135" s="44"/>
      <c r="Q135" s="43"/>
    </row>
    <row r="136" spans="2:17" x14ac:dyDescent="0.35">
      <c r="D136" s="109"/>
      <c r="E136" s="764"/>
      <c r="F136" s="422"/>
      <c r="I136" s="44"/>
    </row>
    <row r="137" spans="2:17" x14ac:dyDescent="0.35">
      <c r="D137" s="109"/>
      <c r="E137" s="759"/>
      <c r="F137" s="124" t="str">
        <f>E132&amp;" minus "&amp;E135</f>
        <v>c17.35 minus c17.36</v>
      </c>
      <c r="I137" s="44"/>
    </row>
    <row r="138" spans="2:17" x14ac:dyDescent="0.35">
      <c r="C138" s="146" t="s">
        <v>2811</v>
      </c>
      <c r="D138" s="109"/>
      <c r="E138" s="790" t="str">
        <f>A37</f>
        <v>c17.37</v>
      </c>
      <c r="F138" s="420">
        <f>MAX(0,F132-F135)</f>
        <v>0</v>
      </c>
      <c r="I138" s="44"/>
    </row>
    <row r="139" spans="2:17" x14ac:dyDescent="0.35">
      <c r="C139" s="146" t="s">
        <v>2812</v>
      </c>
      <c r="D139" s="109"/>
      <c r="E139" s="759"/>
      <c r="I139" s="44"/>
    </row>
    <row r="140" spans="2:17" x14ac:dyDescent="0.35">
      <c r="D140" s="109"/>
      <c r="E140" s="784"/>
      <c r="F140" s="124" t="str">
        <f>L68&amp;" minus "&amp;E138</f>
        <v>c17.16 minus c17.37</v>
      </c>
      <c r="I140" s="44"/>
    </row>
    <row r="141" spans="2:17" x14ac:dyDescent="0.35">
      <c r="C141" s="146" t="s">
        <v>2810</v>
      </c>
      <c r="D141" s="109"/>
      <c r="E141" s="790" t="str">
        <f>A38</f>
        <v>c17.38</v>
      </c>
      <c r="F141" s="420">
        <f>MAX(0,M68-F138)</f>
        <v>0</v>
      </c>
      <c r="I141" s="44"/>
    </row>
    <row r="142" spans="2:17" x14ac:dyDescent="0.35">
      <c r="D142" s="109"/>
      <c r="E142" s="784"/>
      <c r="F142" s="422"/>
      <c r="I142" s="44"/>
    </row>
    <row r="143" spans="2:17" x14ac:dyDescent="0.35">
      <c r="B143" s="784" t="str">
        <f>"If "&amp;E141&amp;" is zero no Top Slicing Relief is due"</f>
        <v>If c17.38 is zero no Top Slicing Relief is due</v>
      </c>
      <c r="D143" s="109"/>
      <c r="F143" s="422"/>
      <c r="I143" s="44"/>
    </row>
    <row r="144" spans="2:17" x14ac:dyDescent="0.35">
      <c r="B144" s="784" t="str">
        <f>"set "&amp;E148&amp;" to "&amp;L170&amp;" to 0 (zero)"</f>
        <v>set c17.39 to c17.48 to 0 (zero)</v>
      </c>
      <c r="D144" s="43"/>
      <c r="E144" s="784"/>
      <c r="F144" s="43"/>
      <c r="I144" s="43"/>
    </row>
    <row r="145" spans="2:14" x14ac:dyDescent="0.35">
      <c r="B145" s="784" t="str">
        <f>"else calculate TSR (boxes "&amp;E148&amp;" to "&amp;L170&amp;")"</f>
        <v>else calculate TSR (boxes c17.39 to c17.48)</v>
      </c>
    </row>
    <row r="147" spans="2:14" x14ac:dyDescent="0.35">
      <c r="C147" s="43"/>
      <c r="D147" s="43"/>
      <c r="E147" s="759"/>
      <c r="F147" s="965" t="str">
        <f>"lower of "&amp;E135&amp;" and "&amp;E141</f>
        <v>lower of c17.36 and c17.38</v>
      </c>
      <c r="L147" s="43"/>
      <c r="M147" s="120" t="str">
        <f>E148&amp;" x "&amp;HR_rate*100&amp;"%"</f>
        <v>c17.39 x 40%</v>
      </c>
    </row>
    <row r="148" spans="2:14" x14ac:dyDescent="0.35">
      <c r="C148" s="43"/>
      <c r="D148" s="43"/>
      <c r="E148" s="1058" t="str">
        <f>A39</f>
        <v>c17.39</v>
      </c>
      <c r="F148" s="420">
        <f>IF(F141=0,0,MIN(F135,F141))</f>
        <v>0</v>
      </c>
      <c r="I148" s="43"/>
      <c r="L148" s="790" t="str">
        <f>A40</f>
        <v>c17.40</v>
      </c>
      <c r="M148" s="966">
        <f>TRUNC(F148*HR_rate,2)</f>
        <v>0</v>
      </c>
      <c r="N148" s="1084" t="s">
        <v>2872</v>
      </c>
    </row>
    <row r="149" spans="2:14" x14ac:dyDescent="0.35">
      <c r="C149" s="43"/>
      <c r="E149" s="759"/>
      <c r="F149" s="43"/>
      <c r="G149" s="43"/>
      <c r="I149" s="43"/>
      <c r="L149" s="759"/>
    </row>
    <row r="150" spans="2:14" x14ac:dyDescent="0.35">
      <c r="C150" s="43"/>
      <c r="E150" s="759"/>
      <c r="F150" s="124" t="str">
        <f>E135&amp;" minus "&amp;E148</f>
        <v>c17.36 minus c17.39</v>
      </c>
      <c r="G150" s="43"/>
      <c r="I150" s="43"/>
      <c r="L150" s="759"/>
      <c r="M150" s="1078" t="str">
        <f>E151&amp;" x "&amp;AHR_rate*100&amp;"%"</f>
        <v>c17.41 x 45%</v>
      </c>
    </row>
    <row r="151" spans="2:14" x14ac:dyDescent="0.35">
      <c r="D151" s="43"/>
      <c r="E151" s="1058" t="str">
        <f>A41</f>
        <v>c17.41</v>
      </c>
      <c r="F151" s="420">
        <f>IF(F141=0,0,MAX(0,F135-F148))</f>
        <v>0</v>
      </c>
      <c r="G151" s="43"/>
      <c r="I151" s="43"/>
      <c r="L151" s="790" t="str">
        <f>A42</f>
        <v>c17.42</v>
      </c>
      <c r="M151" s="966">
        <f>TRUNC(F151*AHR_rate,2)</f>
        <v>0</v>
      </c>
      <c r="N151" s="1084" t="s">
        <v>2872</v>
      </c>
    </row>
    <row r="152" spans="2:14" x14ac:dyDescent="0.35">
      <c r="D152" s="43"/>
      <c r="L152" s="759"/>
    </row>
    <row r="153" spans="2:14" x14ac:dyDescent="0.35">
      <c r="B153" s="784" t="str">
        <f>"If "&amp;E151&amp;" is equal to "&amp;L95&amp;" no Top Slicing Relief is due"</f>
        <v>If c17.41 is equal to c17.22 no Top Slicing Relief is due</v>
      </c>
      <c r="D153" s="43"/>
      <c r="L153" s="759"/>
    </row>
    <row r="154" spans="2:14" x14ac:dyDescent="0.35">
      <c r="B154" s="784" t="str">
        <f>"set "&amp;L158&amp;" to "&amp;L170&amp;" to 0 (zero)"</f>
        <v>set c17.43 to c17.48 to 0 (zero)</v>
      </c>
      <c r="D154" s="43"/>
      <c r="E154" s="43"/>
      <c r="F154" s="43"/>
      <c r="G154" s="43"/>
      <c r="H154" s="43"/>
    </row>
    <row r="155" spans="2:14" x14ac:dyDescent="0.35">
      <c r="B155" s="784" t="s">
        <v>2520</v>
      </c>
      <c r="E155" s="43"/>
      <c r="F155" s="43"/>
      <c r="G155" s="43"/>
      <c r="H155" s="43"/>
      <c r="I155" s="43"/>
      <c r="J155" s="43"/>
    </row>
    <row r="156" spans="2:14" x14ac:dyDescent="0.35">
      <c r="B156" s="784" t="str">
        <f>"calculate "&amp;L158&amp;" to "&amp;L170</f>
        <v>calculate c17.43 to c17.48</v>
      </c>
      <c r="D156" s="43"/>
      <c r="L156" s="759"/>
    </row>
    <row r="157" spans="2:14" x14ac:dyDescent="0.35">
      <c r="L157" s="759"/>
      <c r="M157" s="44" t="str">
        <f>L148&amp;" + "&amp;L151</f>
        <v>c17.40 + c17.42</v>
      </c>
    </row>
    <row r="158" spans="2:14" x14ac:dyDescent="0.35">
      <c r="L158" s="790" t="str">
        <f>A43</f>
        <v>c17.43</v>
      </c>
      <c r="M158" s="966">
        <f>M148+M151</f>
        <v>0</v>
      </c>
    </row>
    <row r="160" spans="2:14" x14ac:dyDescent="0.35">
      <c r="L160" s="759"/>
      <c r="M160" s="120" t="str">
        <f>E135&amp;" x BR_rate "&amp;BR_rate*100&amp;"%"</f>
        <v>c17.36 x BR_rate 20%</v>
      </c>
    </row>
    <row r="161" spans="2:14" x14ac:dyDescent="0.35">
      <c r="L161" s="790" t="str">
        <f>A44</f>
        <v>c17.44</v>
      </c>
      <c r="M161" s="969">
        <f>IF(F141=0,0,TRUNC(F135*BR_rate,2))</f>
        <v>0</v>
      </c>
      <c r="N161" s="1084" t="s">
        <v>2872</v>
      </c>
    </row>
    <row r="162" spans="2:14" x14ac:dyDescent="0.35">
      <c r="E162" s="42" t="str">
        <f>"If "&amp;E95&amp;" divided by "&amp;L95&amp;" &gt;1"</f>
        <v>If c17.21 divided by c17.22 &gt;1</v>
      </c>
      <c r="L162" s="759"/>
    </row>
    <row r="163" spans="2:14" x14ac:dyDescent="0.35">
      <c r="E163" s="110" t="str">
        <f>E167&amp;" = "&amp;E95&amp;" divided by "&amp;L95</f>
        <v>c17.46 = c17.21 divided by c17.22</v>
      </c>
      <c r="L163" s="759"/>
      <c r="M163" s="120" t="str">
        <f>L158&amp;" minus "&amp;L161</f>
        <v>c17.43 minus c17.44</v>
      </c>
    </row>
    <row r="164" spans="2:14" x14ac:dyDescent="0.35">
      <c r="E164" s="146" t="s">
        <v>2520</v>
      </c>
      <c r="G164" s="110"/>
      <c r="K164" s="971" t="s">
        <v>1176</v>
      </c>
      <c r="L164" s="790" t="str">
        <f>A45</f>
        <v>c17.45</v>
      </c>
      <c r="M164" s="966">
        <f>MAX(0,M158-M161)</f>
        <v>0</v>
      </c>
    </row>
    <row r="165" spans="2:14" x14ac:dyDescent="0.35">
      <c r="D165" s="107"/>
      <c r="E165" s="42" t="str">
        <f>E167&amp;" = 1"</f>
        <v>c17.46 = 1</v>
      </c>
      <c r="K165" s="43"/>
      <c r="L165" s="43"/>
      <c r="M165" s="43"/>
      <c r="N165" s="43"/>
    </row>
    <row r="166" spans="2:14" x14ac:dyDescent="0.35">
      <c r="E166" s="146" t="s">
        <v>4335</v>
      </c>
      <c r="M166" s="120" t="str">
        <f>L164&amp;" x "&amp;E167</f>
        <v>c17.45 x c17.46</v>
      </c>
      <c r="N166" s="43"/>
    </row>
    <row r="167" spans="2:14" x14ac:dyDescent="0.35">
      <c r="E167" s="121" t="str">
        <f>A46</f>
        <v>c17.46</v>
      </c>
      <c r="F167" s="1227">
        <f>IF(F141=0,0,IF(M95&gt;0,TRUNC(F95/M95,4),1))</f>
        <v>0</v>
      </c>
      <c r="G167" s="1079" t="s">
        <v>37</v>
      </c>
      <c r="K167" s="971" t="s">
        <v>1177</v>
      </c>
      <c r="L167" s="121" t="str">
        <f>A47</f>
        <v>c17.47</v>
      </c>
      <c r="M167" s="133">
        <f>IF(F95+M95=0,F167,TRUNC(M164*F167,2))</f>
        <v>0</v>
      </c>
      <c r="N167" s="1084" t="s">
        <v>2872</v>
      </c>
    </row>
    <row r="169" spans="2:14" x14ac:dyDescent="0.35">
      <c r="M169" s="109" t="s">
        <v>4746</v>
      </c>
    </row>
    <row r="170" spans="2:14" x14ac:dyDescent="0.35">
      <c r="D170" s="44" t="s">
        <v>2137</v>
      </c>
      <c r="L170" s="122" t="str">
        <f>A48</f>
        <v>c17.48</v>
      </c>
      <c r="M170" s="818">
        <f>IF(F141=0,0,MAX(0,M120-M167))</f>
        <v>0</v>
      </c>
    </row>
    <row r="171" spans="2:14" x14ac:dyDescent="0.35">
      <c r="M171" s="44" t="str">
        <f>"copy to box "&amp;'Tax adj (c9)'!I11</f>
        <v>copy to box c9.3</v>
      </c>
    </row>
    <row r="172" spans="2:14" x14ac:dyDescent="0.35">
      <c r="B172" s="1190" t="s">
        <v>2638</v>
      </c>
    </row>
    <row r="173" spans="2:14" x14ac:dyDescent="0.35">
      <c r="B173" s="1189" t="s">
        <v>2638</v>
      </c>
    </row>
    <row r="174" spans="2:14" x14ac:dyDescent="0.35">
      <c r="B174" s="784" t="s">
        <v>2638</v>
      </c>
    </row>
    <row r="175" spans="2:14" x14ac:dyDescent="0.35">
      <c r="B175" s="784" t="s">
        <v>2520</v>
      </c>
    </row>
    <row r="176" spans="2:14" x14ac:dyDescent="0.35">
      <c r="B176" s="784" t="str">
        <f>L36&amp;" to "&amp;L170&amp;" = 0 (zero)"</f>
        <v>c17.1 to c17.48 = 0 (zero)</v>
      </c>
    </row>
    <row r="177" spans="2:2" x14ac:dyDescent="0.35">
      <c r="B177" s="784" t="s">
        <v>2638</v>
      </c>
    </row>
  </sheetData>
  <mergeCells count="2">
    <mergeCell ref="B19:Q19"/>
    <mergeCell ref="B21:P21"/>
  </mergeCells>
  <phoneticPr fontId="68" type="noConversion"/>
  <pageMargins left="0.19685039370078741" right="0.19685039370078741" top="0.19685039370078741" bottom="0.19685039370078741" header="0" footer="0"/>
  <pageSetup paperSize="9" orientation="portrait"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6"/>
  <sheetViews>
    <sheetView showGridLines="0" workbookViewId="0">
      <selection activeCell="D26" sqref="D26"/>
    </sheetView>
  </sheetViews>
  <sheetFormatPr defaultColWidth="9.1328125" defaultRowHeight="11.65" x14ac:dyDescent="0.35"/>
  <cols>
    <col min="1" max="1" width="38.73046875" style="40" customWidth="1"/>
    <col min="2" max="2" width="11.73046875" style="40" customWidth="1"/>
    <col min="3" max="3" width="13.1328125" style="40" customWidth="1"/>
    <col min="4" max="4" width="12.265625" style="40" customWidth="1"/>
    <col min="5" max="6" width="12.86328125" style="40" customWidth="1"/>
    <col min="7" max="8" width="12.3984375" style="40" customWidth="1"/>
    <col min="9" max="9" width="4.265625" style="40" customWidth="1"/>
    <col min="10" max="16384" width="9.1328125" style="40"/>
  </cols>
  <sheetData>
    <row r="1" spans="1:10" x14ac:dyDescent="0.35">
      <c r="A1" s="41"/>
      <c r="B1" s="41"/>
      <c r="C1" s="41"/>
      <c r="D1" s="41"/>
      <c r="E1" s="41"/>
      <c r="F1" s="41"/>
      <c r="G1" s="41"/>
      <c r="H1" s="41"/>
      <c r="I1" s="41"/>
      <c r="J1" s="41"/>
    </row>
    <row r="2" spans="1:10" x14ac:dyDescent="0.35">
      <c r="A2" s="41"/>
      <c r="B2" s="475" t="s">
        <v>4091</v>
      </c>
      <c r="C2" s="475" t="s">
        <v>4190</v>
      </c>
      <c r="D2" s="475" t="s">
        <v>3912</v>
      </c>
      <c r="E2" s="475" t="s">
        <v>708</v>
      </c>
      <c r="F2" s="475" t="s">
        <v>3371</v>
      </c>
      <c r="G2" s="475" t="s">
        <v>4091</v>
      </c>
    </row>
    <row r="3" spans="1:10" x14ac:dyDescent="0.35">
      <c r="A3" s="41"/>
      <c r="B3" s="476" t="s">
        <v>1430</v>
      </c>
      <c r="C3" s="476" t="s">
        <v>1588</v>
      </c>
      <c r="D3" s="476" t="s">
        <v>3449</v>
      </c>
      <c r="E3" s="476" t="s">
        <v>1632</v>
      </c>
      <c r="F3" s="476" t="s">
        <v>3372</v>
      </c>
      <c r="G3" s="476" t="s">
        <v>559</v>
      </c>
    </row>
    <row r="4" spans="1:10" x14ac:dyDescent="0.35">
      <c r="A4" s="41"/>
      <c r="B4" s="477"/>
      <c r="C4" s="477"/>
      <c r="D4" s="477"/>
      <c r="E4" s="477"/>
      <c r="F4" s="477" t="s">
        <v>2318</v>
      </c>
      <c r="G4" s="477" t="s">
        <v>2318</v>
      </c>
    </row>
    <row r="5" spans="1:10" x14ac:dyDescent="0.35">
      <c r="A5" s="471" t="s">
        <v>1602</v>
      </c>
      <c r="B5" s="123">
        <f>'NS income (c1)'!J24</f>
        <v>0</v>
      </c>
      <c r="C5" s="397">
        <f>'NS income (c1)'!J135</f>
        <v>0</v>
      </c>
      <c r="D5" s="470"/>
      <c r="E5" s="470"/>
      <c r="F5" s="470"/>
      <c r="G5" s="497"/>
      <c r="I5" s="401"/>
    </row>
    <row r="6" spans="1:10" x14ac:dyDescent="0.35">
      <c r="A6" s="153" t="s">
        <v>1954</v>
      </c>
      <c r="B6" s="123">
        <f>'NS income (c1)'!J28</f>
        <v>0</v>
      </c>
      <c r="C6" s="398"/>
      <c r="D6" s="398"/>
      <c r="E6" s="398"/>
      <c r="F6" s="398"/>
      <c r="G6" s="43"/>
    </row>
    <row r="7" spans="1:10" x14ac:dyDescent="0.35">
      <c r="A7" s="471" t="s">
        <v>2940</v>
      </c>
      <c r="B7" s="123">
        <f>'NS income (c1)'!J44+'NS income (c1)'!F51</f>
        <v>0</v>
      </c>
      <c r="C7" s="470"/>
      <c r="D7" s="470"/>
      <c r="E7" s="470"/>
      <c r="F7" s="470"/>
      <c r="G7" s="497"/>
    </row>
    <row r="8" spans="1:10" x14ac:dyDescent="0.35">
      <c r="A8" s="153" t="s">
        <v>1845</v>
      </c>
      <c r="B8" s="123">
        <f>'NS income (c1)'!J67</f>
        <v>0</v>
      </c>
      <c r="C8" s="398"/>
      <c r="D8" s="123">
        <f>'Savings (c2)'!I11</f>
        <v>0</v>
      </c>
      <c r="E8" s="397">
        <f>'Divs (c3)'!H4</f>
        <v>0</v>
      </c>
      <c r="F8" s="398"/>
      <c r="G8" s="43"/>
    </row>
    <row r="9" spans="1:10" x14ac:dyDescent="0.35">
      <c r="A9" s="471" t="s">
        <v>620</v>
      </c>
      <c r="B9" s="123">
        <f>'NS income (c1)'!J84</f>
        <v>0</v>
      </c>
      <c r="C9" s="470"/>
      <c r="D9" s="470"/>
      <c r="E9" s="470"/>
      <c r="F9" s="470"/>
      <c r="G9" s="497"/>
    </row>
    <row r="10" spans="1:10" x14ac:dyDescent="0.35">
      <c r="A10" s="153" t="s">
        <v>1427</v>
      </c>
      <c r="B10" s="123">
        <f>'NS income (c1)'!J88+'NS income (c1)'!J103+'NS income (c1)'!J109</f>
        <v>0</v>
      </c>
      <c r="C10" s="398"/>
      <c r="D10" s="123">
        <f>'Savings (c2)'!I40</f>
        <v>0</v>
      </c>
      <c r="E10" s="397">
        <f>'Divs (c3)'!H16</f>
        <v>0</v>
      </c>
      <c r="F10" s="123">
        <f>'Divs (c3)'!H51</f>
        <v>0</v>
      </c>
      <c r="G10" s="43"/>
    </row>
    <row r="11" spans="1:10" x14ac:dyDescent="0.35">
      <c r="A11" s="471" t="s">
        <v>1870</v>
      </c>
      <c r="B11" s="123">
        <f>'NS income (c1)'!J119</f>
        <v>0</v>
      </c>
      <c r="C11" s="470"/>
      <c r="D11" s="123">
        <f>'Savings (c2)'!I53</f>
        <v>0</v>
      </c>
      <c r="E11" s="397">
        <f>'Divs (c3)'!H32</f>
        <v>0</v>
      </c>
      <c r="F11" s="470"/>
      <c r="G11" s="123">
        <f>'Divs (c3)'!H62+'Divs (c3)'!H65</f>
        <v>0</v>
      </c>
    </row>
    <row r="12" spans="1:10" x14ac:dyDescent="0.35">
      <c r="A12" s="153" t="s">
        <v>3863</v>
      </c>
      <c r="B12" s="496"/>
      <c r="C12" s="398"/>
      <c r="D12" s="123">
        <f>'Savings (c2)'!I64</f>
        <v>0</v>
      </c>
      <c r="E12" s="398"/>
      <c r="F12" s="398"/>
      <c r="G12" s="398"/>
    </row>
    <row r="13" spans="1:10" x14ac:dyDescent="0.35">
      <c r="A13" s="471" t="s">
        <v>1117</v>
      </c>
      <c r="B13" s="498"/>
      <c r="C13" s="470"/>
      <c r="D13" s="470"/>
      <c r="E13" s="123">
        <f>'Divs (c3)'!H42</f>
        <v>0</v>
      </c>
      <c r="F13" s="470"/>
      <c r="G13" s="470"/>
    </row>
    <row r="14" spans="1:10" x14ac:dyDescent="0.35">
      <c r="A14" s="153" t="s">
        <v>2690</v>
      </c>
      <c r="B14" s="123">
        <f>'NS income (c1)'!J122</f>
        <v>0</v>
      </c>
      <c r="C14" s="398"/>
      <c r="D14" s="398"/>
      <c r="E14" s="398"/>
      <c r="F14" s="398"/>
      <c r="G14" s="398"/>
    </row>
    <row r="15" spans="1:10" x14ac:dyDescent="0.35">
      <c r="A15" s="471" t="s">
        <v>3647</v>
      </c>
      <c r="B15" s="470"/>
      <c r="C15" s="470"/>
      <c r="D15" s="123">
        <f>'Savings (c2)'!I71</f>
        <v>0</v>
      </c>
      <c r="E15" s="470"/>
      <c r="F15" s="123">
        <f>'Divs (c3)'!H54</f>
        <v>0</v>
      </c>
      <c r="G15" s="470"/>
    </row>
    <row r="16" spans="1:10" x14ac:dyDescent="0.35">
      <c r="A16" s="153" t="s">
        <v>1428</v>
      </c>
      <c r="B16" s="123">
        <f>'NS income (c1)'!J127</f>
        <v>0</v>
      </c>
      <c r="C16" s="398"/>
      <c r="D16" s="398"/>
      <c r="E16" s="398"/>
      <c r="F16" s="398"/>
      <c r="G16" s="398"/>
    </row>
    <row r="17" spans="1:8" x14ac:dyDescent="0.35">
      <c r="A17" s="447" t="s">
        <v>4189</v>
      </c>
      <c r="B17" s="123">
        <f>'NS income (c1)'!J131</f>
        <v>0</v>
      </c>
      <c r="C17" s="397">
        <f>'NS income (c1)'!J135</f>
        <v>0</v>
      </c>
      <c r="D17" s="397">
        <f>'Savings (c2)'!I75</f>
        <v>0</v>
      </c>
      <c r="E17" s="397">
        <f>'Divs (c3)'!H46</f>
        <v>0</v>
      </c>
      <c r="F17" s="397">
        <f>'Divs (c3)'!H57</f>
        <v>0</v>
      </c>
      <c r="G17" s="123">
        <f>G11</f>
        <v>0</v>
      </c>
    </row>
    <row r="19" spans="1:8" x14ac:dyDescent="0.35">
      <c r="F19" s="447" t="s">
        <v>4189</v>
      </c>
      <c r="G19" s="118">
        <f>'Divs (c3)'!H69</f>
        <v>0</v>
      </c>
    </row>
    <row r="21" spans="1:8" x14ac:dyDescent="0.35">
      <c r="B21" s="109" t="s">
        <v>5345</v>
      </c>
      <c r="C21" s="433" t="s">
        <v>3078</v>
      </c>
      <c r="D21" s="146" t="s">
        <v>2706</v>
      </c>
      <c r="E21" s="110" t="s">
        <v>1415</v>
      </c>
      <c r="F21" s="110" t="s">
        <v>3294</v>
      </c>
    </row>
    <row r="22" spans="1:8" x14ac:dyDescent="0.35">
      <c r="B22" s="420">
        <f>HR_band</f>
        <v>116500</v>
      </c>
      <c r="C22" s="420">
        <f>'Deductions (c4)'!I159</f>
        <v>0</v>
      </c>
      <c r="D22" s="420">
        <f>'Deductions (c4)'!I155</f>
        <v>0</v>
      </c>
      <c r="E22" s="420" t="e">
        <f>HR_band+'Divs (c3)'!H86+'Divs (c3)'!#REF!</f>
        <v>#REF!</v>
      </c>
      <c r="F22" s="118" t="e">
        <f>AHR_band-HR_band+'Divs (c3)'!H86+'Divs (c3)'!#REF!</f>
        <v>#REF!</v>
      </c>
      <c r="H22" s="939"/>
    </row>
    <row r="24" spans="1:8" x14ac:dyDescent="0.35">
      <c r="B24" s="478" t="s">
        <v>56</v>
      </c>
      <c r="C24" s="478" t="s">
        <v>1006</v>
      </c>
      <c r="D24" s="478" t="s">
        <v>1007</v>
      </c>
      <c r="E24" s="146" t="str">
        <f>"First "&amp;DOLLAR(SR_band,0)</f>
        <v>First £5,000</v>
      </c>
      <c r="F24" s="694" t="str">
        <f>"Next "&amp;DOLLAR('tax it (c6)'!G31,0)</f>
        <v>Next £0</v>
      </c>
      <c r="G24" s="694" t="str">
        <f>"Next "&amp;DOLLAR(HR_band+C22+D22,0)</f>
        <v>Next £116,500</v>
      </c>
      <c r="H24" s="694" t="e">
        <f>"Over "&amp;DOLLAR(AHR_band+'Divs (c3)'!H86+'Divs (c3)'!#REF!,0)</f>
        <v>#REF!</v>
      </c>
    </row>
    <row r="25" spans="1:8" x14ac:dyDescent="0.35">
      <c r="E25" s="940" t="s">
        <v>562</v>
      </c>
      <c r="F25" s="940" t="s">
        <v>562</v>
      </c>
      <c r="G25" s="478" t="str">
        <f>"@ 40%"</f>
        <v>@ 40%</v>
      </c>
      <c r="H25" s="694" t="str">
        <f>"@ 50%"</f>
        <v>@ 50%</v>
      </c>
    </row>
    <row r="26" spans="1:8" ht="12.75" customHeight="1" x14ac:dyDescent="0.35">
      <c r="A26" s="89" t="s">
        <v>1871</v>
      </c>
      <c r="B26" s="493">
        <f>'NS income (c1)'!J131+'Divs (c3)'!H62</f>
        <v>0</v>
      </c>
      <c r="C26" s="493">
        <f>MAX(0,B26-D26)</f>
        <v>0</v>
      </c>
      <c r="D26" s="493">
        <f>'tax it (c6)'!G18</f>
        <v>0</v>
      </c>
      <c r="E26" s="494">
        <f>'tax it (c6)'!G24</f>
        <v>0</v>
      </c>
      <c r="F26" s="494">
        <f>'tax it (c6)'!G48</f>
        <v>0</v>
      </c>
      <c r="G26" s="495">
        <f>'tax it (c6)'!G61</f>
        <v>0</v>
      </c>
      <c r="H26" s="941">
        <f>'tax it (c6)'!G68</f>
        <v>0</v>
      </c>
    </row>
    <row r="27" spans="1:8" ht="12.75" customHeight="1" x14ac:dyDescent="0.35">
      <c r="H27" s="692"/>
    </row>
    <row r="28" spans="1:8" ht="12.75" customHeight="1" x14ac:dyDescent="0.35">
      <c r="E28" s="105" t="s">
        <v>560</v>
      </c>
      <c r="F28" s="105" t="s">
        <v>562</v>
      </c>
      <c r="G28" s="105" t="s">
        <v>561</v>
      </c>
      <c r="H28" s="694" t="str">
        <f>"@ 50%"</f>
        <v>@ 50%</v>
      </c>
    </row>
    <row r="29" spans="1:8" ht="12.75" customHeight="1" x14ac:dyDescent="0.35">
      <c r="A29" s="89" t="s">
        <v>709</v>
      </c>
      <c r="B29" s="493">
        <f>'Savings (c2)'!I75</f>
        <v>0</v>
      </c>
      <c r="C29" s="493">
        <f>MAX(0,B29-D29)</f>
        <v>0</v>
      </c>
      <c r="D29" s="493">
        <f>'tax it (c6)'!K18</f>
        <v>0</v>
      </c>
      <c r="E29" s="493">
        <f>'tax it (c6)'!K27</f>
        <v>0</v>
      </c>
      <c r="F29" s="493">
        <f>'tax it (c6)'!K48</f>
        <v>0</v>
      </c>
      <c r="G29" s="493">
        <f>'tax it (c6)'!K61</f>
        <v>0</v>
      </c>
      <c r="H29" s="941">
        <f>'tax it (c6)'!K68</f>
        <v>0</v>
      </c>
    </row>
    <row r="30" spans="1:8" ht="12.75" customHeight="1" x14ac:dyDescent="0.35">
      <c r="H30" s="692"/>
    </row>
    <row r="31" spans="1:8" ht="12.75" customHeight="1" x14ac:dyDescent="0.35">
      <c r="E31" s="105" t="s">
        <v>560</v>
      </c>
      <c r="F31" s="105" t="s">
        <v>560</v>
      </c>
      <c r="G31" s="105" t="s">
        <v>563</v>
      </c>
      <c r="H31" s="693" t="s">
        <v>1416</v>
      </c>
    </row>
    <row r="32" spans="1:8" ht="12.75" customHeight="1" x14ac:dyDescent="0.35">
      <c r="A32" s="89" t="s">
        <v>3293</v>
      </c>
      <c r="B32" s="493">
        <f>'Divs (c3)'!H46</f>
        <v>0</v>
      </c>
      <c r="C32" s="493">
        <f>MAX(0,B32-D32)</f>
        <v>0</v>
      </c>
      <c r="D32" s="493">
        <f>'tax it (c6)'!O18</f>
        <v>0</v>
      </c>
      <c r="E32" s="493">
        <f>'tax it (c6)'!O24</f>
        <v>0</v>
      </c>
      <c r="F32" s="493">
        <f>'tax it (c6)'!O48</f>
        <v>0</v>
      </c>
      <c r="G32" s="493">
        <f>'tax it (c6)'!O61</f>
        <v>0</v>
      </c>
      <c r="H32" s="942">
        <f>'tax it (c6)'!O68</f>
        <v>0</v>
      </c>
    </row>
    <row r="33" spans="1:8" ht="12.75" customHeight="1" x14ac:dyDescent="0.35">
      <c r="A33" s="89"/>
      <c r="B33" s="422"/>
      <c r="C33" s="422"/>
      <c r="D33" s="422"/>
      <c r="E33" s="422"/>
      <c r="F33" s="422"/>
      <c r="G33" s="422"/>
      <c r="H33" s="692"/>
    </row>
    <row r="34" spans="1:8" ht="12.75" customHeight="1" x14ac:dyDescent="0.35">
      <c r="E34" s="105" t="s">
        <v>562</v>
      </c>
      <c r="F34" s="940" t="s">
        <v>562</v>
      </c>
      <c r="G34" s="105" t="s">
        <v>561</v>
      </c>
      <c r="H34" s="694" t="str">
        <f>"@ 50%"</f>
        <v>@ 50%</v>
      </c>
    </row>
    <row r="35" spans="1:8" ht="12.75" customHeight="1" x14ac:dyDescent="0.35">
      <c r="A35" s="89" t="s">
        <v>3292</v>
      </c>
      <c r="B35" s="493">
        <f>'NS income (c1)'!J135+'Taxable (c5)'!F147</f>
        <v>0</v>
      </c>
      <c r="C35" s="493">
        <f>MAX(0,B35-D35)</f>
        <v>0</v>
      </c>
      <c r="D35" s="493">
        <f>'tax it (c6)'!S18</f>
        <v>0</v>
      </c>
      <c r="E35" s="493">
        <f>'tax it (c6)'!S24</f>
        <v>0</v>
      </c>
      <c r="F35" s="493">
        <f>'tax it (c6)'!S48</f>
        <v>0</v>
      </c>
      <c r="G35" s="493">
        <f>'tax it (c6)'!S61</f>
        <v>0</v>
      </c>
      <c r="H35" s="941">
        <f>'tax it (c6)'!S68</f>
        <v>0</v>
      </c>
    </row>
    <row r="36" spans="1:8" ht="12.75" customHeight="1" x14ac:dyDescent="0.35">
      <c r="A36" s="89"/>
      <c r="B36" s="89"/>
      <c r="C36" s="89"/>
      <c r="D36" s="89"/>
      <c r="E36" s="89"/>
      <c r="F36" s="89"/>
      <c r="G36" s="89"/>
      <c r="H36" s="692"/>
    </row>
    <row r="37" spans="1:8" ht="12.75" customHeight="1" x14ac:dyDescent="0.35">
      <c r="A37" s="89" t="s">
        <v>2807</v>
      </c>
      <c r="B37" s="89"/>
      <c r="C37" s="89"/>
      <c r="D37" s="89"/>
      <c r="E37" s="940" t="s">
        <v>560</v>
      </c>
      <c r="F37" s="105" t="s">
        <v>562</v>
      </c>
      <c r="G37" s="105" t="s">
        <v>561</v>
      </c>
      <c r="H37" s="694" t="str">
        <f>"@ 50%"</f>
        <v>@ 50%</v>
      </c>
    </row>
    <row r="38" spans="1:8" ht="12.75" customHeight="1" x14ac:dyDescent="0.35">
      <c r="A38" s="90" t="s">
        <v>2318</v>
      </c>
      <c r="B38" s="493">
        <f>'Divs (c3)'!H57</f>
        <v>0</v>
      </c>
      <c r="C38" s="493">
        <f>MAX(0,B38-D38)</f>
        <v>0</v>
      </c>
      <c r="D38" s="493">
        <f>'tax it (c6)'!W18</f>
        <v>0</v>
      </c>
      <c r="E38" s="493">
        <f>'tax it (c6)'!W27</f>
        <v>0</v>
      </c>
      <c r="F38" s="493">
        <f>'tax it (c6)'!W48</f>
        <v>0</v>
      </c>
      <c r="G38" s="493">
        <f>'tax it (c6)'!W61</f>
        <v>0</v>
      </c>
      <c r="H38" s="941">
        <f>'tax it (c6)'!W68</f>
        <v>0</v>
      </c>
    </row>
    <row r="39" spans="1:8" x14ac:dyDescent="0.35">
      <c r="H39" s="692"/>
    </row>
    <row r="40" spans="1:8" x14ac:dyDescent="0.35">
      <c r="A40" s="90" t="s">
        <v>4189</v>
      </c>
      <c r="B40" s="493">
        <f>'Divs (c3)'!H69</f>
        <v>0</v>
      </c>
      <c r="C40" s="493">
        <f>MAX(0,B40-D40)</f>
        <v>0</v>
      </c>
      <c r="D40" s="493">
        <f>'Taxable (c5)'!AL164</f>
        <v>0</v>
      </c>
      <c r="E40" s="493">
        <f>SUM(E26:E38)</f>
        <v>0</v>
      </c>
      <c r="F40" s="493">
        <f>SUM(F26:F38)</f>
        <v>0</v>
      </c>
      <c r="G40" s="493">
        <f>'tax it (c8)'!D23+'tax it (c8)'!D45+'tax it (c8)'!D59</f>
        <v>0</v>
      </c>
      <c r="H40" s="942">
        <f>H26+H29+H32+H35+H38</f>
        <v>0</v>
      </c>
    </row>
    <row r="45" spans="1:8" ht="24.75" customHeight="1" x14ac:dyDescent="0.35"/>
    <row r="46" spans="1:8" x14ac:dyDescent="0.35">
      <c r="D46" s="479"/>
      <c r="E46" s="148"/>
    </row>
  </sheetData>
  <phoneticPr fontId="68" type="noConversion"/>
  <pageMargins left="0.196850393700787" right="0.196850393700787" top="0.196850393700787" bottom="0.196850393700787" header="0" footer="0"/>
  <pageSetup paperSize="9" orientation="landscape" horizontalDpi="4294967293"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99"/>
  </sheetPr>
  <dimension ref="A1:R145"/>
  <sheetViews>
    <sheetView showGridLines="0" topLeftCell="B1" zoomScaleNormal="100" workbookViewId="0">
      <selection activeCell="E4" sqref="E4"/>
    </sheetView>
  </sheetViews>
  <sheetFormatPr defaultColWidth="9.1328125" defaultRowHeight="11.65" x14ac:dyDescent="0.35"/>
  <cols>
    <col min="1" max="1" width="6.86328125" style="146" hidden="1" customWidth="1"/>
    <col min="2" max="2" width="38.1328125" style="146" customWidth="1"/>
    <col min="3" max="3" width="6.3984375" style="146" customWidth="1"/>
    <col min="4" max="4" width="18" style="146" customWidth="1"/>
    <col min="5" max="5" width="12.86328125" style="146" customWidth="1"/>
    <col min="6" max="6" width="6.3984375" style="146" customWidth="1"/>
    <col min="7" max="7" width="18" style="146" customWidth="1"/>
    <col min="8" max="8" width="12.86328125" style="146" customWidth="1"/>
    <col min="9" max="9" width="6.265625" style="146" customWidth="1"/>
    <col min="10" max="10" width="18" style="146" customWidth="1"/>
    <col min="11" max="11" width="12.86328125" style="146" customWidth="1"/>
    <col min="12" max="12" width="6.265625" style="146" customWidth="1"/>
    <col min="13" max="13" width="18" style="146" customWidth="1"/>
    <col min="14" max="14" width="12.86328125" style="146" customWidth="1"/>
    <col min="15" max="15" width="6.265625" style="146" customWidth="1"/>
    <col min="16" max="16" width="18" style="146" customWidth="1"/>
    <col min="17" max="17" width="6.265625" style="146" bestFit="1" customWidth="1"/>
    <col min="18" max="16384" width="9.1328125" style="146"/>
  </cols>
  <sheetData>
    <row r="1" spans="1:18" ht="20.65" x14ac:dyDescent="0.6">
      <c r="A1" s="146" t="s">
        <v>4306</v>
      </c>
      <c r="B1" s="2780" t="s">
        <v>2997</v>
      </c>
      <c r="R1" s="109"/>
    </row>
    <row r="2" spans="1:18" x14ac:dyDescent="0.35">
      <c r="A2" s="146" t="s">
        <v>2111</v>
      </c>
      <c r="B2" s="786"/>
      <c r="D2" s="452" t="s">
        <v>884</v>
      </c>
      <c r="E2" s="472"/>
      <c r="F2" s="472"/>
      <c r="G2" s="472"/>
      <c r="H2" s="472"/>
      <c r="I2" s="472"/>
      <c r="J2" s="445"/>
    </row>
    <row r="3" spans="1:18" x14ac:dyDescent="0.35">
      <c r="A3" s="146" t="s">
        <v>2112</v>
      </c>
      <c r="B3" s="1954"/>
      <c r="C3" s="1274"/>
      <c r="D3" s="43"/>
      <c r="E3" s="43"/>
      <c r="F3" s="43"/>
      <c r="G3" s="43"/>
      <c r="H3" s="43"/>
      <c r="I3" s="43"/>
      <c r="J3" s="43"/>
      <c r="K3" s="43"/>
      <c r="L3" s="43"/>
    </row>
    <row r="4" spans="1:18" x14ac:dyDescent="0.35">
      <c r="A4" s="146" t="s">
        <v>2113</v>
      </c>
      <c r="B4" s="2619"/>
      <c r="C4" s="1275"/>
    </row>
    <row r="5" spans="1:18" ht="12" customHeight="1" x14ac:dyDescent="0.35">
      <c r="A5" s="146" t="s">
        <v>2114</v>
      </c>
      <c r="B5" s="2620"/>
      <c r="C5" s="1275"/>
      <c r="R5" s="43"/>
    </row>
    <row r="6" spans="1:18" ht="12" customHeight="1" x14ac:dyDescent="0.35">
      <c r="A6" s="146" t="s">
        <v>3672</v>
      </c>
      <c r="B6" s="1230"/>
      <c r="C6" s="1275"/>
    </row>
    <row r="7" spans="1:18" x14ac:dyDescent="0.35">
      <c r="A7" s="146" t="s">
        <v>3673</v>
      </c>
      <c r="B7" s="1232"/>
      <c r="C7" s="1199"/>
      <c r="R7" s="43"/>
    </row>
    <row r="8" spans="1:18" ht="12" customHeight="1" x14ac:dyDescent="0.35">
      <c r="A8" s="146" t="s">
        <v>3674</v>
      </c>
    </row>
    <row r="9" spans="1:18" x14ac:dyDescent="0.35">
      <c r="A9" s="146" t="s">
        <v>3675</v>
      </c>
      <c r="B9" s="146" t="str">
        <f>"If boxes (("&amp;CGT&amp;CGT!C4&amp;" + "&amp;CGT&amp;CGT!C14&amp;" + "&amp;CGT&amp;CGT!C24&amp;" + "&amp;CGT&amp;CGT!C31&amp;") minus (("&amp;CGT&amp;CGT!C7&amp;" + "&amp;CGT&amp;CGT!G14&amp;" + "&amp;CGT&amp;CGT!G24&amp;" + "&amp;CGT&amp;CGT!C34&amp;") minus ("&amp;CGT&amp;CGT!C37&amp;" + "&amp;CGT&amp;CGT!G40&amp;"))"&amp;" + "&amp;CGT&amp;CGT!G4&amp;" + "&amp;CGT&amp;CGT!C17&amp;" + "&amp;CGT&amp;CGT!P15&amp;" is greater than zero) or (box "&amp;CGT&amp;CGT!L15&amp;" is not zero or null) or (box "&amp;CGT&amp;CGT!C17&amp;" is not zero or null)"</f>
        <v>If boxes ((CGT6 + CGT17 + CGT26 + CGT34) minus ((CGT7 + CGT19 + CGT27 + CGT35) minus (CGT41 + CGT43)) + CGT9 + CGT18 + CGT52 is greater than zero) or (box CGT51 is not zero or null) or (box CGT18 is not zero or null)</v>
      </c>
      <c r="C9" s="3045"/>
      <c r="D9" s="3045"/>
      <c r="E9" s="3045"/>
      <c r="F9" s="3045"/>
      <c r="G9" s="3045"/>
      <c r="J9" s="1462"/>
      <c r="K9" s="1462"/>
      <c r="L9" s="1462"/>
      <c r="M9" s="1462"/>
    </row>
    <row r="10" spans="1:18" x14ac:dyDescent="0.35">
      <c r="A10" s="146" t="s">
        <v>3677</v>
      </c>
      <c r="B10" s="146" t="str">
        <f>"Calculate "&amp;C18&amp;" to "&amp;O139</f>
        <v>Calculate c18.1 to c18.58</v>
      </c>
      <c r="P10" s="43"/>
    </row>
    <row r="11" spans="1:18" x14ac:dyDescent="0.35">
      <c r="A11" s="146" t="s">
        <v>3678</v>
      </c>
      <c r="P11" s="43"/>
      <c r="R11" s="43"/>
    </row>
    <row r="12" spans="1:18" x14ac:dyDescent="0.35">
      <c r="A12" s="146" t="s">
        <v>3679</v>
      </c>
      <c r="D12" s="950" t="s">
        <v>5800</v>
      </c>
      <c r="G12" s="950" t="s">
        <v>6226</v>
      </c>
      <c r="I12" s="951"/>
      <c r="J12" s="950" t="s">
        <v>617</v>
      </c>
      <c r="K12" s="951"/>
      <c r="M12" s="951" t="s">
        <v>618</v>
      </c>
      <c r="N12" s="951"/>
      <c r="R12" s="43"/>
    </row>
    <row r="13" spans="1:18" x14ac:dyDescent="0.35">
      <c r="A13" s="146" t="s">
        <v>3681</v>
      </c>
      <c r="G13" s="109" t="str">
        <f>"if "&amp;CGT&amp;CGT!G4&amp;" greater than 0 (zero)"</f>
        <v>if CGT9 greater than 0 (zero)</v>
      </c>
      <c r="R13" s="43"/>
    </row>
    <row r="14" spans="1:18" x14ac:dyDescent="0.35">
      <c r="A14" s="146" t="s">
        <v>3682</v>
      </c>
      <c r="G14" s="44" t="str">
        <f>F18&amp;" = from "&amp;CGT&amp;CGT!G4</f>
        <v>c18.2 = from CGT9</v>
      </c>
      <c r="R14" s="43"/>
    </row>
    <row r="15" spans="1:18" x14ac:dyDescent="0.35">
      <c r="A15" s="146" t="s">
        <v>3683</v>
      </c>
      <c r="G15" s="43" t="s">
        <v>2520</v>
      </c>
      <c r="R15" s="43"/>
    </row>
    <row r="16" spans="1:18" x14ac:dyDescent="0.35">
      <c r="A16" s="146" t="s">
        <v>3685</v>
      </c>
      <c r="G16" s="109" t="str">
        <f>F18&amp;" = 0 (zero)"</f>
        <v>c18.2 = 0 (zero)</v>
      </c>
      <c r="J16" s="757" t="str">
        <f>"("&amp;CGT&amp;CGT!C14&amp;" minus "&amp;CGT&amp;CGT!P12&amp;") + "</f>
        <v xml:space="preserve">(CGT17 minus CGT50) + </v>
      </c>
      <c r="R16" s="43"/>
    </row>
    <row r="17" spans="1:18" x14ac:dyDescent="0.35">
      <c r="A17" s="146" t="s">
        <v>3505</v>
      </c>
      <c r="D17" s="2621" t="str">
        <f>"From "&amp;CGT&amp;CGT!C4</f>
        <v>From CGT6</v>
      </c>
      <c r="G17" s="43" t="s">
        <v>2638</v>
      </c>
      <c r="J17" s="1225" t="str">
        <f>CGT&amp;CGT!C24&amp;" + "&amp;CGT&amp;CGT!C31</f>
        <v>CGT26 + CGT34</v>
      </c>
      <c r="M17" s="764" t="str">
        <f>"From CGT"&amp;CGT!P12</f>
        <v>From CGT50</v>
      </c>
      <c r="R17" s="43"/>
    </row>
    <row r="18" spans="1:18" x14ac:dyDescent="0.35">
      <c r="A18" s="146" t="s">
        <v>3506</v>
      </c>
      <c r="B18" s="146" t="s">
        <v>3671</v>
      </c>
      <c r="C18" s="790" t="str">
        <f>A1</f>
        <v>c18.1</v>
      </c>
      <c r="D18" s="420">
        <f>TRUNC(CGT!D5,0)</f>
        <v>0</v>
      </c>
      <c r="E18" s="1079" t="s">
        <v>1837</v>
      </c>
      <c r="F18" s="790" t="str">
        <f>A2</f>
        <v>c18.2</v>
      </c>
      <c r="G18" s="420">
        <f>IF(CGT!H5&gt;0,TRUNC(CGT!H5,0),0)</f>
        <v>0</v>
      </c>
      <c r="H18" s="1079" t="s">
        <v>1837</v>
      </c>
      <c r="I18" s="790" t="str">
        <f>A3</f>
        <v>c18.3</v>
      </c>
      <c r="J18" s="420">
        <f>MAX(0,(TRUNC(CGT!D15,0)-TRUNC(CGT!Q13,0))+TRUNC(CGT!D25,0)+TRUNC(CGT!D32,0))</f>
        <v>0</v>
      </c>
      <c r="K18" s="1079" t="s">
        <v>1837</v>
      </c>
      <c r="L18" s="790" t="str">
        <f>A4</f>
        <v>c18.4</v>
      </c>
      <c r="M18" s="420">
        <f>TRUNC(CGT!Q13,0)</f>
        <v>0</v>
      </c>
      <c r="N18" s="1079" t="s">
        <v>1837</v>
      </c>
      <c r="R18" s="43"/>
    </row>
    <row r="19" spans="1:18" x14ac:dyDescent="0.35">
      <c r="A19" s="146" t="s">
        <v>3507</v>
      </c>
      <c r="G19" s="1889"/>
      <c r="R19" s="43"/>
    </row>
    <row r="20" spans="1:18" x14ac:dyDescent="0.35">
      <c r="A20" s="146" t="s">
        <v>3509</v>
      </c>
      <c r="D20" s="2621" t="str">
        <f>"from "&amp;CGT&amp;CGT!L4</f>
        <v>from CGT45</v>
      </c>
      <c r="G20" s="143" t="str">
        <f>C21&amp;" minus "&amp;C18</f>
        <v>c18.5 minus c18.1</v>
      </c>
      <c r="J20" s="143" t="str">
        <f>C21&amp;" minus ("&amp;C18&amp;" + "&amp;F18&amp;")"</f>
        <v>c18.5 minus (c18.1 + c18.2)</v>
      </c>
      <c r="M20" s="109" t="str">
        <f>C21&amp;" minus ("&amp;C18&amp;" + "&amp;F18&amp;" + "&amp;I18&amp;")"</f>
        <v>c18.5 minus (c18.1 + c18.2 + c18.3)</v>
      </c>
      <c r="R20" s="43"/>
    </row>
    <row r="21" spans="1:18" x14ac:dyDescent="0.35">
      <c r="A21" s="146" t="s">
        <v>3510</v>
      </c>
      <c r="B21" s="146" t="s">
        <v>5797</v>
      </c>
      <c r="C21" s="790" t="str">
        <f>A5</f>
        <v>c18.5</v>
      </c>
      <c r="D21" s="420">
        <f>MAX(0,TRUNC(CGT!M5+0.99,0))</f>
        <v>0</v>
      </c>
      <c r="E21" s="1079" t="s">
        <v>3966</v>
      </c>
      <c r="F21" s="790" t="str">
        <f>A6</f>
        <v>c18.6</v>
      </c>
      <c r="G21" s="420">
        <f>MAX(0,D21-D18)</f>
        <v>0</v>
      </c>
      <c r="I21" s="790" t="str">
        <f>A7</f>
        <v>c18.7</v>
      </c>
      <c r="J21" s="420">
        <f>MAX(0,D21-(D18+G18))</f>
        <v>0</v>
      </c>
      <c r="L21" s="790" t="str">
        <f>A8</f>
        <v>c18.8</v>
      </c>
      <c r="M21" s="420">
        <f>MAX(0,D21-(D18+G18+J18))</f>
        <v>0</v>
      </c>
      <c r="R21" s="43"/>
    </row>
    <row r="22" spans="1:18" x14ac:dyDescent="0.35">
      <c r="A22" s="146" t="s">
        <v>3511</v>
      </c>
      <c r="R22" s="43"/>
    </row>
    <row r="23" spans="1:18" x14ac:dyDescent="0.35">
      <c r="A23" s="146" t="s">
        <v>3513</v>
      </c>
      <c r="D23" s="143" t="str">
        <f>C18&amp;" minus "&amp;C21</f>
        <v>c18.1 minus c18.5</v>
      </c>
      <c r="G23" s="143" t="str">
        <f>F18&amp;" minus "&amp;F21</f>
        <v>c18.2 minus c18.6</v>
      </c>
      <c r="J23" s="143" t="str">
        <f>I18&amp;" minus "&amp;I21</f>
        <v>c18.3 minus c18.7</v>
      </c>
      <c r="M23" s="143" t="str">
        <f>L18&amp;" minus "&amp;L21</f>
        <v>c18.4 minus c18.8</v>
      </c>
      <c r="R23" s="43"/>
    </row>
    <row r="24" spans="1:18" x14ac:dyDescent="0.35">
      <c r="A24" s="146" t="s">
        <v>3514</v>
      </c>
      <c r="B24" s="146" t="s">
        <v>6330</v>
      </c>
      <c r="C24" s="790" t="str">
        <f>A9</f>
        <v>c18.9</v>
      </c>
      <c r="D24" s="420">
        <f>MAX(0,D18-D21)</f>
        <v>0</v>
      </c>
      <c r="F24" s="790" t="str">
        <f>A10</f>
        <v>c18.10</v>
      </c>
      <c r="G24" s="420">
        <f>MAX(0,G18-G21)</f>
        <v>0</v>
      </c>
      <c r="I24" s="790" t="str">
        <f>A11</f>
        <v>c18.11</v>
      </c>
      <c r="J24" s="420">
        <f>MAX(0,J18-J21)</f>
        <v>0</v>
      </c>
      <c r="L24" s="790" t="str">
        <f>A12</f>
        <v>c18.12</v>
      </c>
      <c r="M24" s="420">
        <f>MAX(0,M18-M21)</f>
        <v>0</v>
      </c>
      <c r="R24" s="43"/>
    </row>
    <row r="25" spans="1:18" x14ac:dyDescent="0.35">
      <c r="A25" s="146" t="s">
        <v>2976</v>
      </c>
      <c r="G25" s="1889"/>
      <c r="R25" s="43"/>
    </row>
    <row r="26" spans="1:18" x14ac:dyDescent="0.35">
      <c r="A26" s="146" t="s">
        <v>2977</v>
      </c>
      <c r="D26" s="109" t="str">
        <f>"if "&amp;CGT&amp;CGT!G4&amp;" less than 0 (zero)"</f>
        <v>if CGT9 less than 0 (zero)</v>
      </c>
      <c r="R26" s="43"/>
    </row>
    <row r="27" spans="1:18" x14ac:dyDescent="0.35">
      <c r="A27" s="146" t="s">
        <v>2978</v>
      </c>
      <c r="D27" s="44" t="str">
        <f>C31&amp;" = "&amp;CGT&amp;CGT!C7&amp;" minus "&amp;CGT&amp;CGT!G4</f>
        <v>c18.13 = CGT7 minus CGT9</v>
      </c>
      <c r="R27" s="43"/>
    </row>
    <row r="28" spans="1:18" x14ac:dyDescent="0.35">
      <c r="A28" s="146" t="s">
        <v>2979</v>
      </c>
      <c r="D28" s="43" t="s">
        <v>2520</v>
      </c>
      <c r="R28" s="43"/>
    </row>
    <row r="29" spans="1:18" x14ac:dyDescent="0.35">
      <c r="A29" s="146" t="s">
        <v>3061</v>
      </c>
      <c r="D29" s="109" t="str">
        <f>C31&amp;" = from "&amp;CGT&amp;CGT!C7</f>
        <v>c18.13 = from CGT7</v>
      </c>
      <c r="R29" s="43"/>
    </row>
    <row r="30" spans="1:18" x14ac:dyDescent="0.35">
      <c r="A30" s="146" t="s">
        <v>3062</v>
      </c>
      <c r="D30" s="43" t="s">
        <v>2638</v>
      </c>
      <c r="R30" s="43"/>
    </row>
    <row r="31" spans="1:18" x14ac:dyDescent="0.35">
      <c r="A31" s="146" t="s">
        <v>3063</v>
      </c>
      <c r="B31" s="146" t="s">
        <v>4191</v>
      </c>
      <c r="C31" s="790" t="str">
        <f>A13</f>
        <v>c18.13</v>
      </c>
      <c r="D31" s="420">
        <f>IF(CGT!H5&lt;0,MAX(0,TRUNC(CGT!D8+0.99,0)-TRUNC(CGT!H5-0.99,0)),MAX(0,TRUNC(CGT!D8+0.99,0)))</f>
        <v>0</v>
      </c>
      <c r="E31" s="1079" t="s">
        <v>3966</v>
      </c>
      <c r="R31" s="43"/>
    </row>
    <row r="32" spans="1:18" x14ac:dyDescent="0.35">
      <c r="A32" s="146" t="s">
        <v>3065</v>
      </c>
      <c r="R32" s="43"/>
    </row>
    <row r="33" spans="1:13" x14ac:dyDescent="0.35">
      <c r="A33" s="146" t="s">
        <v>3066</v>
      </c>
      <c r="D33" s="757" t="str">
        <f>CGT&amp;CGT!G14&amp;" + "&amp;CGT&amp;CGT!G24&amp;" + "</f>
        <v xml:space="preserve">CGT19 + CGT27 + </v>
      </c>
    </row>
    <row r="34" spans="1:13" x14ac:dyDescent="0.35">
      <c r="A34" s="146" t="s">
        <v>3067</v>
      </c>
      <c r="D34" s="2621" t="str">
        <f>"("&amp;CGT&amp;CGT!C34&amp;" minus ("&amp;CGT&amp;CGT!C37&amp;" + "&amp;CGT&amp;CGT!G40&amp;"))"</f>
        <v>(CGT35 minus (CGT41 + CGT43))</v>
      </c>
    </row>
    <row r="35" spans="1:13" x14ac:dyDescent="0.35">
      <c r="A35" s="146" t="s">
        <v>5644</v>
      </c>
      <c r="B35" s="146" t="s">
        <v>4191</v>
      </c>
      <c r="C35" s="790" t="str">
        <f>A14</f>
        <v>c18.14</v>
      </c>
      <c r="D35" s="420">
        <f>MAX(0,TRUNC(CGT!H15+0.99,0)+TRUNC(CGT!H25+0.99,0)+TRUNC(CGT!D35-(CGT!D38+CGT!H41)+0.99,0))</f>
        <v>0</v>
      </c>
      <c r="E35" s="1079" t="s">
        <v>3966</v>
      </c>
    </row>
    <row r="36" spans="1:13" x14ac:dyDescent="0.35">
      <c r="A36" s="146" t="s">
        <v>5645</v>
      </c>
    </row>
    <row r="37" spans="1:13" x14ac:dyDescent="0.35">
      <c r="A37" s="146" t="s">
        <v>5646</v>
      </c>
      <c r="D37" s="2621" t="str">
        <f>"from "&amp;CGT&amp;CGT!P4</f>
        <v>from CGT46</v>
      </c>
    </row>
    <row r="38" spans="1:13" x14ac:dyDescent="0.35">
      <c r="A38" s="146" t="s">
        <v>5647</v>
      </c>
      <c r="B38" s="3045" t="str">
        <f>"Income losses of "&amp;tax_year&amp;" set against gains"</f>
        <v>Income losses of 2017-18 set against gains</v>
      </c>
      <c r="C38" s="790" t="str">
        <f>A15</f>
        <v>c18.15</v>
      </c>
      <c r="D38" s="420">
        <f>MAX(0,TRUNC(CGT!Q5+0.99,0))</f>
        <v>0</v>
      </c>
      <c r="E38" s="1079" t="s">
        <v>3966</v>
      </c>
    </row>
    <row r="39" spans="1:13" x14ac:dyDescent="0.35">
      <c r="A39" s="146" t="s">
        <v>5648</v>
      </c>
    </row>
    <row r="40" spans="1:13" x14ac:dyDescent="0.35">
      <c r="A40" s="146" t="s">
        <v>5649</v>
      </c>
      <c r="D40" s="109" t="str">
        <f>C31&amp;" + "&amp;C35&amp;" + "&amp;C38</f>
        <v>c18.13 + c18.14 + c18.15</v>
      </c>
      <c r="J40" s="143" t="str">
        <f>C41&amp;" minus ("&amp;C24&amp;" + "&amp;F24&amp;")"</f>
        <v>c18.16 minus (c18.9 + c18.10)</v>
      </c>
      <c r="M40" s="143" t="str">
        <f>C41&amp;" minus ("&amp;C24&amp;" + "&amp;F24&amp;" + "&amp;I24&amp;")"</f>
        <v>c18.16 minus (c18.9 + c18.10 + c18.11)</v>
      </c>
    </row>
    <row r="41" spans="1:13" x14ac:dyDescent="0.35">
      <c r="A41" s="146" t="s">
        <v>5650</v>
      </c>
      <c r="B41" s="146" t="s">
        <v>6287</v>
      </c>
      <c r="C41" s="790" t="str">
        <f>A16</f>
        <v>c18.16</v>
      </c>
      <c r="D41" s="420">
        <f>MAX(0,D31+D35+D38)</f>
        <v>0</v>
      </c>
      <c r="I41" s="790" t="str">
        <f>A17</f>
        <v>c18.17</v>
      </c>
      <c r="J41" s="420">
        <f>MAX(0,D41-(D24+G24))</f>
        <v>0</v>
      </c>
      <c r="L41" s="790" t="str">
        <f>A18</f>
        <v>c18.18</v>
      </c>
      <c r="M41" s="420">
        <f>MAX(0,D41-(D24+G24+J24))</f>
        <v>0</v>
      </c>
    </row>
    <row r="42" spans="1:13" x14ac:dyDescent="0.35">
      <c r="A42" s="146" t="s">
        <v>5651</v>
      </c>
    </row>
    <row r="43" spans="1:13" x14ac:dyDescent="0.35">
      <c r="A43" s="146" t="s">
        <v>5652</v>
      </c>
      <c r="D43" s="143" t="str">
        <f>"("&amp;C24&amp;" + "&amp;F24&amp;") minus "&amp;C41</f>
        <v>(c18.9 + c18.10) minus c18.16</v>
      </c>
      <c r="I43" s="759"/>
      <c r="J43" s="143" t="str">
        <f>I24&amp;" minus "&amp;I41</f>
        <v>c18.11 minus c18.17</v>
      </c>
      <c r="L43" s="759"/>
      <c r="M43" s="143" t="str">
        <f>L24&amp;" minus "&amp;L41</f>
        <v>c18.12 minus c18.18</v>
      </c>
    </row>
    <row r="44" spans="1:13" x14ac:dyDescent="0.35">
      <c r="A44" s="146" t="s">
        <v>5653</v>
      </c>
      <c r="B44" s="146" t="s">
        <v>3676</v>
      </c>
      <c r="C44" s="790" t="str">
        <f>A19</f>
        <v>c18.19</v>
      </c>
      <c r="D44" s="420">
        <f>MAX(0,(D24+G24)-D41)</f>
        <v>0</v>
      </c>
      <c r="I44" s="790" t="str">
        <f>A20</f>
        <v>c18.20</v>
      </c>
      <c r="J44" s="1697">
        <f>MAX(0,J24-J41)</f>
        <v>0</v>
      </c>
      <c r="L44" s="790" t="str">
        <f>A21</f>
        <v>c18.21</v>
      </c>
      <c r="M44" s="420">
        <f>MAX(0,M24-M41)</f>
        <v>0</v>
      </c>
    </row>
    <row r="45" spans="1:13" x14ac:dyDescent="0.35">
      <c r="A45" s="146" t="s">
        <v>5654</v>
      </c>
    </row>
    <row r="46" spans="1:13" x14ac:dyDescent="0.35">
      <c r="A46" s="146" t="s">
        <v>5655</v>
      </c>
      <c r="I46" s="759"/>
      <c r="J46" s="764" t="str">
        <f>"from CGT"&amp;CGT!C17</f>
        <v>from CGT18</v>
      </c>
      <c r="K46" s="759"/>
      <c r="L46" s="759"/>
    </row>
    <row r="47" spans="1:13" x14ac:dyDescent="0.35">
      <c r="A47" s="146" t="s">
        <v>5656</v>
      </c>
      <c r="B47" s="146" t="s">
        <v>3680</v>
      </c>
      <c r="I47" s="790" t="str">
        <f>A22</f>
        <v>c18.22</v>
      </c>
      <c r="J47" s="420">
        <f>TRUNC(CGT!D18,0)</f>
        <v>0</v>
      </c>
      <c r="K47" s="1079" t="s">
        <v>1837</v>
      </c>
      <c r="L47" s="759"/>
    </row>
    <row r="48" spans="1:13" x14ac:dyDescent="0.35">
      <c r="A48" s="146" t="s">
        <v>5657</v>
      </c>
      <c r="I48" s="759"/>
      <c r="J48" s="422"/>
      <c r="L48" s="759"/>
    </row>
    <row r="49" spans="1:17" x14ac:dyDescent="0.35">
      <c r="A49" s="146" t="s">
        <v>5658</v>
      </c>
      <c r="I49" s="759"/>
      <c r="J49" s="143" t="str">
        <f>I44&amp;" + "&amp;I47</f>
        <v>c18.20 + c18.22</v>
      </c>
    </row>
    <row r="50" spans="1:17" x14ac:dyDescent="0.35">
      <c r="A50" s="146" t="s">
        <v>5659</v>
      </c>
      <c r="B50" s="146" t="s">
        <v>3684</v>
      </c>
      <c r="I50" s="790" t="str">
        <f>A23</f>
        <v>c18.23</v>
      </c>
      <c r="J50" s="420">
        <f>J44+J47</f>
        <v>0</v>
      </c>
    </row>
    <row r="51" spans="1:17" x14ac:dyDescent="0.35">
      <c r="A51" s="146" t="s">
        <v>5660</v>
      </c>
    </row>
    <row r="52" spans="1:17" x14ac:dyDescent="0.35">
      <c r="A52" s="146" t="s">
        <v>5661</v>
      </c>
      <c r="B52" s="930" t="s">
        <v>5599</v>
      </c>
      <c r="C52" s="759" t="str">
        <f>"If ("&amp;NRD!P10&amp;" = Y and "&amp;NRD!P11&amp;" = N and "&amp;NRD!P9&amp;" = N)"</f>
        <v>If (box_NRD28 = Y and box_NRD29 = N and box_NRD16 = N)</v>
      </c>
    </row>
    <row r="53" spans="1:17" x14ac:dyDescent="0.35">
      <c r="A53" s="146" t="s">
        <v>5662</v>
      </c>
      <c r="C53" s="836" t="str">
        <f>C57&amp;" = 0 (zero)"</f>
        <v>c18.24 = 0 (zero)</v>
      </c>
    </row>
    <row r="54" spans="1:17" x14ac:dyDescent="0.35">
      <c r="A54" s="146" t="s">
        <v>5663</v>
      </c>
      <c r="C54" s="836" t="s">
        <v>1370</v>
      </c>
    </row>
    <row r="55" spans="1:17" x14ac:dyDescent="0.35">
      <c r="A55" s="146" t="s">
        <v>5799</v>
      </c>
      <c r="C55" s="836" t="str">
        <f>C57&amp;" = CG_exempt ("&amp;DOLLAR(CG_exempt,0)&amp;")"</f>
        <v>c18.24 = CG_exempt (£11,300)</v>
      </c>
      <c r="D55" s="3045"/>
    </row>
    <row r="56" spans="1:17" x14ac:dyDescent="0.35">
      <c r="A56" s="146" t="s">
        <v>6230</v>
      </c>
      <c r="C56" s="836" t="s">
        <v>3508</v>
      </c>
      <c r="I56" s="759"/>
      <c r="J56" s="143" t="str">
        <f>C57&amp;" minus "&amp;C44</f>
        <v>c18.24 minus c18.19</v>
      </c>
      <c r="L56" s="759"/>
      <c r="M56" s="143" t="str">
        <f>I57&amp;" minus "&amp;I50</f>
        <v>c18.25 minus c18.23</v>
      </c>
    </row>
    <row r="57" spans="1:17" x14ac:dyDescent="0.35">
      <c r="A57" s="146" t="s">
        <v>6231</v>
      </c>
      <c r="B57" s="930" t="s">
        <v>4654</v>
      </c>
      <c r="C57" s="790" t="str">
        <f>A24</f>
        <v>c18.24</v>
      </c>
      <c r="D57" s="420">
        <f>IF(NON_DOM_Allowances,CG_exempt,0)</f>
        <v>11300</v>
      </c>
      <c r="I57" s="790" t="str">
        <f>A25</f>
        <v>c18.25</v>
      </c>
      <c r="J57" s="420">
        <f>MAX(0,D57-D44)</f>
        <v>11300</v>
      </c>
      <c r="L57" s="790" t="str">
        <f>A26</f>
        <v>c18.26</v>
      </c>
      <c r="M57" s="420">
        <f>MAX(0,J57-J50)</f>
        <v>11300</v>
      </c>
    </row>
    <row r="58" spans="1:17" x14ac:dyDescent="0.35">
      <c r="A58" s="146" t="s">
        <v>6288</v>
      </c>
    </row>
    <row r="59" spans="1:17" x14ac:dyDescent="0.35">
      <c r="C59" s="759"/>
      <c r="D59" s="143" t="str">
        <f>C44&amp;" minus "&amp;C57</f>
        <v>c18.19 minus c18.24</v>
      </c>
      <c r="I59" s="759"/>
      <c r="J59" s="143" t="str">
        <f>I50&amp;" minus "&amp;I57</f>
        <v>c18.23 minus c18.25</v>
      </c>
      <c r="L59" s="759"/>
      <c r="M59" s="143" t="str">
        <f>L44&amp;" minus "&amp;L57</f>
        <v>c18.21 minus c18.26</v>
      </c>
    </row>
    <row r="60" spans="1:17" x14ac:dyDescent="0.35">
      <c r="B60" s="146" t="s">
        <v>3512</v>
      </c>
      <c r="C60" s="790" t="str">
        <f>A27</f>
        <v>c18.27</v>
      </c>
      <c r="D60" s="420">
        <f>MAX(0,D44-D57)</f>
        <v>0</v>
      </c>
      <c r="I60" s="790" t="str">
        <f>A28</f>
        <v>c18.28</v>
      </c>
      <c r="J60" s="420">
        <f>MAX(0,J50-J57)</f>
        <v>0</v>
      </c>
      <c r="L60" s="790" t="str">
        <f>A29</f>
        <v>c18.29</v>
      </c>
      <c r="M60" s="420">
        <f>MAX(0,M44-M57)</f>
        <v>0</v>
      </c>
    </row>
    <row r="61" spans="1:17" x14ac:dyDescent="0.35">
      <c r="I61" s="759"/>
      <c r="L61" s="759"/>
    </row>
    <row r="62" spans="1:17" x14ac:dyDescent="0.35">
      <c r="I62" s="759"/>
      <c r="O62" s="759"/>
      <c r="P62" s="143" t="str">
        <f>L60&amp;" x ER_CGT_rate ("&amp;(ER_CGT_rate)*100&amp;"%)"</f>
        <v>c18.29 x ER_CGT_rate (10%)</v>
      </c>
    </row>
    <row r="63" spans="1:17" x14ac:dyDescent="0.35">
      <c r="B63" s="146" t="str">
        <f>"Gains chargeable at "&amp;ER_CGT_rate*100&amp;"%"</f>
        <v>Gains chargeable at 10%</v>
      </c>
      <c r="O63" s="790" t="str">
        <f>A30</f>
        <v>c18.30</v>
      </c>
      <c r="P63" s="818">
        <f>TRUNC(M60*ER_CGT_rate,2)</f>
        <v>0</v>
      </c>
      <c r="Q63" s="1079" t="s">
        <v>2872</v>
      </c>
    </row>
    <row r="65" spans="2:10" x14ac:dyDescent="0.35">
      <c r="C65" s="836" t="s">
        <v>4334</v>
      </c>
    </row>
    <row r="66" spans="2:10" x14ac:dyDescent="0.35">
      <c r="C66" s="836" t="str">
        <f>C70&amp;" = "&amp;'non-res (c91)'!M118</f>
        <v>c18.31 = c91.28</v>
      </c>
    </row>
    <row r="67" spans="2:10" x14ac:dyDescent="0.35">
      <c r="C67" s="836" t="s">
        <v>1370</v>
      </c>
      <c r="D67" s="836"/>
    </row>
    <row r="68" spans="2:10" x14ac:dyDescent="0.35">
      <c r="C68" s="836" t="str">
        <f>C70&amp;" = "&amp;'Taxable (c5)'!AK164</f>
        <v>c18.31 = c5.86</v>
      </c>
    </row>
    <row r="69" spans="2:10" x14ac:dyDescent="0.35">
      <c r="C69" s="836" t="s">
        <v>3508</v>
      </c>
      <c r="D69" s="836"/>
    </row>
    <row r="70" spans="2:10" x14ac:dyDescent="0.35">
      <c r="B70" s="146" t="s">
        <v>3064</v>
      </c>
      <c r="C70" s="790" t="str">
        <f>A31</f>
        <v>c18.31</v>
      </c>
      <c r="D70" s="420">
        <f>MAX(0,IF(non_resident,'non-res (c91)'!N118,'Taxable (c5)'!AL164))</f>
        <v>0</v>
      </c>
    </row>
    <row r="71" spans="2:10" x14ac:dyDescent="0.35">
      <c r="C71" s="759"/>
    </row>
    <row r="72" spans="2:10" x14ac:dyDescent="0.35">
      <c r="C72" s="759" t="str">
        <f>"If ("&amp;FOR&amp;FOR!K37&amp;" + "&amp;AOI&amp;AOI!C13&amp;" + "&amp;AOI&amp;AOI!C19&amp;" + "&amp;AOI&amp;AOI!G13&amp;") &gt; 0"</f>
        <v>If (FOR43 + AOI4 + AOI6 + AOI8) &gt; 0</v>
      </c>
    </row>
    <row r="73" spans="2:10" x14ac:dyDescent="0.35">
      <c r="C73" s="836" t="str">
        <f>C77&amp;" = "&amp;'TSR (c17)'!L95</f>
        <v>c18.32 = c17.22</v>
      </c>
    </row>
    <row r="74" spans="2:10" x14ac:dyDescent="0.35">
      <c r="C74" s="836" t="s">
        <v>1370</v>
      </c>
    </row>
    <row r="75" spans="2:10" x14ac:dyDescent="0.35">
      <c r="C75" s="836" t="str">
        <f>C77&amp;" = 0 (zero)"</f>
        <v>c18.32 = 0 (zero)</v>
      </c>
    </row>
    <row r="76" spans="2:10" x14ac:dyDescent="0.35">
      <c r="C76" s="836" t="s">
        <v>3508</v>
      </c>
      <c r="I76" s="759"/>
      <c r="J76" s="143" t="str">
        <f>C70&amp;" + "&amp;C77</f>
        <v>c18.31 + c18.32</v>
      </c>
    </row>
    <row r="77" spans="2:10" x14ac:dyDescent="0.35">
      <c r="B77" s="146" t="s">
        <v>3068</v>
      </c>
      <c r="C77" s="790" t="str">
        <f>A32</f>
        <v>c18.32</v>
      </c>
      <c r="D77" s="974">
        <f>'TSR (c17)'!M95</f>
        <v>0</v>
      </c>
      <c r="I77" s="790" t="str">
        <f>A33</f>
        <v>c18.33</v>
      </c>
      <c r="J77" s="420">
        <f>D70+D77</f>
        <v>0</v>
      </c>
    </row>
    <row r="78" spans="2:10" x14ac:dyDescent="0.35">
      <c r="C78" s="759"/>
      <c r="I78" s="759"/>
    </row>
    <row r="79" spans="2:10" x14ac:dyDescent="0.35">
      <c r="C79" s="759" t="str">
        <f>"If ("&amp;FOR&amp;FOR!K37&amp;" + "&amp;AOI&amp;AOI!C13&amp;" + "&amp;AOI&amp;AOI!C19&amp;" + "&amp;AOI&amp;AOI!G13&amp;") &gt; 0"</f>
        <v>If (FOR43 + AOI4 + AOI6 + AOI8) &gt; 0</v>
      </c>
      <c r="I79" s="759"/>
    </row>
    <row r="80" spans="2:10" x14ac:dyDescent="0.35">
      <c r="C80" s="836" t="str">
        <f>C84&amp;" = "&amp;'TSR (c17)'!E95</f>
        <v>c18.34 = c17.21</v>
      </c>
    </row>
    <row r="81" spans="2:10" x14ac:dyDescent="0.35">
      <c r="C81" s="836" t="s">
        <v>1370</v>
      </c>
    </row>
    <row r="82" spans="2:10" x14ac:dyDescent="0.35">
      <c r="C82" s="836" t="str">
        <f>C84&amp;" = 0 (zero)"</f>
        <v>c18.34 = 0 (zero)</v>
      </c>
    </row>
    <row r="83" spans="2:10" x14ac:dyDescent="0.35">
      <c r="C83" s="836" t="s">
        <v>3508</v>
      </c>
      <c r="I83" s="759"/>
      <c r="J83" s="143" t="str">
        <f>I77&amp;" minus "&amp;C84</f>
        <v>c18.33 minus c18.34</v>
      </c>
    </row>
    <row r="84" spans="2:10" x14ac:dyDescent="0.35">
      <c r="B84" s="146" t="s">
        <v>628</v>
      </c>
      <c r="C84" s="790" t="str">
        <f>A34</f>
        <v>c18.34</v>
      </c>
      <c r="D84" s="974">
        <f>'TSR (c17)'!F95</f>
        <v>0</v>
      </c>
      <c r="I84" s="790" t="str">
        <f>A35</f>
        <v>c18.35</v>
      </c>
      <c r="J84" s="420">
        <f>MAX(0,J77-D84)</f>
        <v>0</v>
      </c>
    </row>
    <row r="85" spans="2:10" x14ac:dyDescent="0.35">
      <c r="C85" s="759"/>
      <c r="I85" s="759"/>
    </row>
    <row r="86" spans="2:10" x14ac:dyDescent="0.35">
      <c r="C86" s="759"/>
      <c r="D86" s="109" t="str">
        <f>"From "&amp;'CDR (c7)'!E4</f>
        <v>From c7.1</v>
      </c>
      <c r="I86" s="784"/>
      <c r="J86" s="143" t="str">
        <f>I84&amp;" minus "&amp;C87</f>
        <v>c18.35 minus c18.36</v>
      </c>
    </row>
    <row r="87" spans="2:10" x14ac:dyDescent="0.35">
      <c r="B87" s="146" t="s">
        <v>969</v>
      </c>
      <c r="C87" s="790" t="str">
        <f>A36</f>
        <v>c18.36</v>
      </c>
      <c r="D87" s="420">
        <f>'CDR (c7)'!F4</f>
        <v>0</v>
      </c>
      <c r="I87" s="790" t="str">
        <f>A37</f>
        <v>c18.37</v>
      </c>
      <c r="J87" s="420">
        <f>MAX(0,J84-D87)</f>
        <v>0</v>
      </c>
    </row>
    <row r="89" spans="2:10" x14ac:dyDescent="0.35">
      <c r="I89" s="759"/>
      <c r="J89" s="1463" t="str">
        <f>"BR_band ("&amp;DOLLAR(BR_band,0)&amp;") + "&amp;'Deductions (c4)'!H162</f>
        <v>BR_band (£33,500) + c4.59</v>
      </c>
    </row>
    <row r="90" spans="2:10" x14ac:dyDescent="0.35">
      <c r="B90" s="146" t="s">
        <v>3294</v>
      </c>
      <c r="I90" s="790" t="str">
        <f>A38</f>
        <v>c18.38</v>
      </c>
      <c r="J90" s="982">
        <f>BR_band+'Deductions (c4)'!I162</f>
        <v>33500</v>
      </c>
    </row>
    <row r="92" spans="2:10" x14ac:dyDescent="0.35">
      <c r="I92" s="759"/>
      <c r="J92" s="109" t="str">
        <f>I90&amp;" minus "&amp;I87</f>
        <v>c18.38 minus c18.37</v>
      </c>
    </row>
    <row r="93" spans="2:10" x14ac:dyDescent="0.35">
      <c r="B93" s="146" t="s">
        <v>3069</v>
      </c>
      <c r="I93" s="2622" t="str">
        <f>A39</f>
        <v>c18.39</v>
      </c>
      <c r="J93" s="1699">
        <f>MAX(0,J90-J87)</f>
        <v>33500</v>
      </c>
    </row>
    <row r="95" spans="2:10" x14ac:dyDescent="0.35">
      <c r="I95" s="759"/>
      <c r="J95" s="143" t="str">
        <f>I93&amp;" minus "&amp;L60</f>
        <v>c18.39 minus c18.29</v>
      </c>
    </row>
    <row r="96" spans="2:10" x14ac:dyDescent="0.35">
      <c r="B96" s="146" t="s">
        <v>6626</v>
      </c>
      <c r="I96" s="790" t="str">
        <f>A40</f>
        <v>c18.40</v>
      </c>
      <c r="J96" s="420">
        <f>MAX(0,J93-M60)</f>
        <v>33500</v>
      </c>
    </row>
    <row r="98" spans="2:17" x14ac:dyDescent="0.35">
      <c r="J98" s="109" t="str">
        <f>"Lower of "&amp;C60&amp;" and "&amp;I96</f>
        <v>Lower of c18.27 and c18.40</v>
      </c>
      <c r="P98" s="143" t="str">
        <f>I99&amp;" x Lower_CGT_rate_RP_CI ("&amp;(lower_CGT_rate_RP_CI)*100&amp;"%)"</f>
        <v>c18.41 x Lower_CGT_rate_RP_CI (18%)</v>
      </c>
    </row>
    <row r="99" spans="2:17" x14ac:dyDescent="0.35">
      <c r="B99" s="146" t="str">
        <f>"Gains chargeable at "&amp;lower_CGT_rate_RP_CI*100&amp;"%"</f>
        <v>Gains chargeable at 18%</v>
      </c>
      <c r="I99" s="790" t="str">
        <f>A41</f>
        <v>c18.41</v>
      </c>
      <c r="J99" s="982">
        <f>MAX(0,MIN(D60,J96))</f>
        <v>0</v>
      </c>
      <c r="O99" s="790" t="str">
        <f>A42</f>
        <v>c18.42</v>
      </c>
      <c r="P99" s="818">
        <f>TRUNC(J99*lower_CGT_rate_RP_CI,2)</f>
        <v>0</v>
      </c>
      <c r="Q99" s="1079" t="s">
        <v>2872</v>
      </c>
    </row>
    <row r="100" spans="2:17" x14ac:dyDescent="0.35">
      <c r="I100" s="759"/>
      <c r="L100" s="759"/>
      <c r="O100" s="759"/>
    </row>
    <row r="101" spans="2:17" x14ac:dyDescent="0.35">
      <c r="I101" s="759"/>
      <c r="J101" s="143" t="str">
        <f>C60&amp;" minus "&amp;I99</f>
        <v>c18.27 minus c18.41</v>
      </c>
      <c r="L101" s="784"/>
      <c r="M101" s="422"/>
      <c r="P101" s="143" t="str">
        <f>I102&amp;" x Upper_CGT_rate_RP_CI ("&amp;(upper_CGT_rate_RP_CI)*100&amp;"%)"</f>
        <v>c18.43 x Upper_CGT_rate_RP_CI (28%)</v>
      </c>
    </row>
    <row r="102" spans="2:17" x14ac:dyDescent="0.35">
      <c r="B102" s="146" t="str">
        <f>"Gains chargeable at "&amp;upper_CGT_rate_RP_CI*100&amp;"%"</f>
        <v>Gains chargeable at 28%</v>
      </c>
      <c r="I102" s="790" t="str">
        <f>A43</f>
        <v>c18.43</v>
      </c>
      <c r="J102" s="420">
        <f>MAX(0,D60-J99)</f>
        <v>0</v>
      </c>
      <c r="O102" s="790" t="str">
        <f>A44</f>
        <v>c18.44</v>
      </c>
      <c r="P102" s="818">
        <f>TRUNC(J102*upper_CGT_rate_RP_CI,2)</f>
        <v>0</v>
      </c>
      <c r="Q102" s="1079" t="s">
        <v>2872</v>
      </c>
    </row>
    <row r="104" spans="2:17" x14ac:dyDescent="0.35">
      <c r="I104" s="759"/>
      <c r="J104" s="109" t="str">
        <f>I96&amp;" minus "&amp;C60</f>
        <v>c18.40 minus c18.27</v>
      </c>
    </row>
    <row r="105" spans="2:17" x14ac:dyDescent="0.35">
      <c r="B105" s="146" t="s">
        <v>5664</v>
      </c>
      <c r="I105" s="2622" t="str">
        <f>A45</f>
        <v>c18.45</v>
      </c>
      <c r="J105" s="1699">
        <f>MAX(0,J96-D60)</f>
        <v>33500</v>
      </c>
    </row>
    <row r="107" spans="2:17" x14ac:dyDescent="0.35">
      <c r="I107" s="759"/>
      <c r="J107" s="109" t="str">
        <f>"Lower of "&amp;I60&amp;" and "&amp;I105</f>
        <v>Lower of c18.28 and c18.45</v>
      </c>
      <c r="P107" s="143" t="str">
        <f>I108&amp;" x Lower_CGT_rate ("&amp;(Lower_CGT_rate)*100&amp;"%)"</f>
        <v>c18.46 x Lower_CGT_rate (10%)</v>
      </c>
    </row>
    <row r="108" spans="2:17" x14ac:dyDescent="0.35">
      <c r="B108" s="146" t="str">
        <f>"Gains chargeable at "&amp;Lower_CGT_rate*100&amp;"%"</f>
        <v>Gains chargeable at 10%</v>
      </c>
      <c r="I108" s="790" t="str">
        <f>A46</f>
        <v>c18.46</v>
      </c>
      <c r="J108" s="982">
        <f>MIN(J60,J105)</f>
        <v>0</v>
      </c>
      <c r="O108" s="790" t="str">
        <f>A47</f>
        <v>c18.47</v>
      </c>
      <c r="P108" s="818">
        <f>TRUNC(J108*Lower_CGT_rate,2)</f>
        <v>0</v>
      </c>
      <c r="Q108" s="1079" t="s">
        <v>2872</v>
      </c>
    </row>
    <row r="109" spans="2:17" x14ac:dyDescent="0.35">
      <c r="I109" s="759"/>
      <c r="O109" s="759"/>
    </row>
    <row r="110" spans="2:17" x14ac:dyDescent="0.35">
      <c r="I110" s="759"/>
      <c r="J110" s="143" t="str">
        <f>I60&amp;" minus "&amp;I108</f>
        <v>c18.28 minus c18.46</v>
      </c>
      <c r="O110" s="759"/>
      <c r="P110" s="143" t="str">
        <f>I111&amp;" x Upper_CGT_rate ("&amp;(Upper_CGT_rate)*100&amp;"%)"</f>
        <v>c18.48 x Upper_CGT_rate (20%)</v>
      </c>
    </row>
    <row r="111" spans="2:17" x14ac:dyDescent="0.35">
      <c r="B111" s="146" t="str">
        <f>"Gains chargeable at "&amp;Upper_CGT_rate*100&amp;"%"</f>
        <v>Gains chargeable at 20%</v>
      </c>
      <c r="I111" s="790" t="str">
        <f>A48</f>
        <v>c18.48</v>
      </c>
      <c r="J111" s="420">
        <f>MAX(0,J60-J108)</f>
        <v>0</v>
      </c>
      <c r="O111" s="790" t="str">
        <f>A49</f>
        <v>c18.49</v>
      </c>
      <c r="P111" s="818">
        <f>TRUNC(J111*Upper_CGT_rate,2)</f>
        <v>0</v>
      </c>
      <c r="Q111" s="1079" t="s">
        <v>2872</v>
      </c>
    </row>
    <row r="112" spans="2:17" x14ac:dyDescent="0.35">
      <c r="L112" s="759"/>
    </row>
    <row r="113" spans="2:17" x14ac:dyDescent="0.35">
      <c r="O113" s="759"/>
      <c r="P113" s="143" t="str">
        <f>O63&amp;" + "&amp;O99&amp;" + "&amp;O102&amp;" + "&amp;O108&amp;" + "&amp;O111</f>
        <v>c18.30 + c18.42 + c18.44 + c18.47 + c18.49</v>
      </c>
    </row>
    <row r="114" spans="2:17" x14ac:dyDescent="0.35">
      <c r="B114" s="146" t="s">
        <v>965</v>
      </c>
      <c r="O114" s="790" t="str">
        <f>A50</f>
        <v>c18.50</v>
      </c>
      <c r="P114" s="818">
        <f>P63+P99+P102+P108+P111</f>
        <v>0</v>
      </c>
    </row>
    <row r="115" spans="2:17" x14ac:dyDescent="0.35">
      <c r="O115" s="759"/>
    </row>
    <row r="116" spans="2:17" x14ac:dyDescent="0.35">
      <c r="O116" s="759"/>
      <c r="P116" s="843" t="str">
        <f>"from "&amp;CGT&amp;CGT!L15</f>
        <v>from CGT51</v>
      </c>
    </row>
    <row r="117" spans="2:17" x14ac:dyDescent="0.35">
      <c r="B117" s="146" t="s">
        <v>3107</v>
      </c>
      <c r="O117" s="790" t="str">
        <f>A51</f>
        <v>c18.51</v>
      </c>
      <c r="P117" s="818">
        <f>CGT!M16</f>
        <v>0</v>
      </c>
      <c r="Q117" s="1076"/>
    </row>
    <row r="118" spans="2:17" x14ac:dyDescent="0.35">
      <c r="O118" s="759"/>
      <c r="P118" s="1889" t="s">
        <v>1590</v>
      </c>
    </row>
    <row r="120" spans="2:17" x14ac:dyDescent="0.35">
      <c r="O120" s="759"/>
      <c r="P120" s="143" t="str">
        <f>O114&amp;" + "&amp;O117</f>
        <v>c18.50 + c18.51</v>
      </c>
    </row>
    <row r="121" spans="2:17" x14ac:dyDescent="0.35">
      <c r="B121" s="146" t="s">
        <v>1552</v>
      </c>
      <c r="O121" s="790" t="str">
        <f>A52</f>
        <v>c18.52</v>
      </c>
      <c r="P121" s="818">
        <f>MAX(0,P114+P117)</f>
        <v>0</v>
      </c>
    </row>
    <row r="122" spans="2:17" x14ac:dyDescent="0.35">
      <c r="O122" s="759"/>
    </row>
    <row r="123" spans="2:17" x14ac:dyDescent="0.35">
      <c r="O123" s="784"/>
      <c r="P123" s="843" t="str">
        <f>"from "&amp;FOR&amp;FOR!K23</f>
        <v>from FOR39</v>
      </c>
    </row>
    <row r="124" spans="2:17" x14ac:dyDescent="0.35">
      <c r="B124" s="146" t="s">
        <v>4040</v>
      </c>
      <c r="O124" s="3494" t="str">
        <f>A53</f>
        <v>c18.53</v>
      </c>
      <c r="P124" s="133">
        <f>TRUNC(FOR!L24+0.99,0)</f>
        <v>0</v>
      </c>
      <c r="Q124" s="1076" t="s">
        <v>3966</v>
      </c>
    </row>
    <row r="125" spans="2:17" x14ac:dyDescent="0.35">
      <c r="O125" s="759"/>
    </row>
    <row r="126" spans="2:17" x14ac:dyDescent="0.35">
      <c r="K126" s="43"/>
      <c r="O126" s="759"/>
      <c r="P126" s="143" t="str">
        <f>O121&amp;" minus "&amp;O124</f>
        <v>c18.52 minus c18.53</v>
      </c>
    </row>
    <row r="127" spans="2:17" x14ac:dyDescent="0.35">
      <c r="B127" s="146" t="s">
        <v>5665</v>
      </c>
      <c r="K127" s="43"/>
      <c r="O127" s="3494" t="str">
        <f>A54</f>
        <v>c18.54</v>
      </c>
      <c r="P127" s="818">
        <f>MAX(0,P121-P124)</f>
        <v>0</v>
      </c>
    </row>
    <row r="128" spans="2:17" x14ac:dyDescent="0.35">
      <c r="K128" s="43"/>
      <c r="O128" s="759"/>
    </row>
    <row r="129" spans="2:17" x14ac:dyDescent="0.35">
      <c r="O129" s="759"/>
      <c r="P129" s="843" t="str">
        <f>"from "&amp;CGT&amp;CGT!P15</f>
        <v>from CGT52</v>
      </c>
    </row>
    <row r="130" spans="2:17" x14ac:dyDescent="0.35">
      <c r="B130" s="146" t="s">
        <v>2774</v>
      </c>
      <c r="O130" s="790" t="str">
        <f>A55</f>
        <v>c18.55</v>
      </c>
      <c r="P130" s="818">
        <f>TRUNC(CGT!Q16,0)</f>
        <v>0</v>
      </c>
      <c r="Q130" s="1076" t="s">
        <v>1837</v>
      </c>
    </row>
    <row r="132" spans="2:17" x14ac:dyDescent="0.35">
      <c r="P132" s="843" t="str">
        <f>"From "&amp;CGT&amp;CGT!G7</f>
        <v>From CGT10</v>
      </c>
    </row>
    <row r="133" spans="2:17" x14ac:dyDescent="0.35">
      <c r="B133" s="146" t="s">
        <v>6224</v>
      </c>
      <c r="O133" s="790" t="str">
        <f>A56</f>
        <v>c18.56</v>
      </c>
      <c r="P133" s="818">
        <f>TRUNC(CGT!H8+0.99,0)</f>
        <v>0</v>
      </c>
      <c r="Q133" s="1076" t="s">
        <v>3966</v>
      </c>
    </row>
    <row r="135" spans="2:17" x14ac:dyDescent="0.35">
      <c r="P135" s="843" t="str">
        <f>CGT&amp;CGT!G10&amp;" + "&amp;CGT&amp;CGT!G20&amp;" + "&amp;CGT&amp;CGT!G27&amp;" + "&amp;CGT&amp;CGT!G34</f>
        <v>CGT12 + CGT22 + CGT30 + CGT38</v>
      </c>
    </row>
    <row r="136" spans="2:17" x14ac:dyDescent="0.35">
      <c r="B136" s="146" t="s">
        <v>6225</v>
      </c>
      <c r="O136" s="790" t="str">
        <f>A57</f>
        <v>c18.57</v>
      </c>
      <c r="P136" s="818">
        <f>TRUNC(CGT!H11+0.99,0)+TRUNC(CGT!H21+0.99,0)+TRUNC(CGT!H28+0.99,0)+TRUNC(CGT!H35+0.99,0)</f>
        <v>0</v>
      </c>
      <c r="Q136" s="1076" t="s">
        <v>3966</v>
      </c>
    </row>
    <row r="138" spans="2:17" x14ac:dyDescent="0.35">
      <c r="O138" s="784"/>
      <c r="P138" s="44" t="str">
        <f>"("&amp;O127&amp;"  + "&amp;O130&amp;") minus ("&amp;O133&amp;" + "&amp;O136&amp;")"</f>
        <v>(c18.54  + c18.55) minus (c18.56 + c18.57)</v>
      </c>
    </row>
    <row r="139" spans="2:17" x14ac:dyDescent="0.35">
      <c r="B139" s="42" t="s">
        <v>1426</v>
      </c>
      <c r="K139" s="43"/>
      <c r="O139" s="3494" t="str">
        <f>A58</f>
        <v>c18.58</v>
      </c>
      <c r="P139" s="133">
        <f>MAX(0,(P127+P130)-(P133+P136))</f>
        <v>0</v>
      </c>
    </row>
    <row r="140" spans="2:17" x14ac:dyDescent="0.35">
      <c r="N140" s="3045"/>
      <c r="O140" s="3155"/>
      <c r="P140" s="3155" t="str">
        <f>"copy "&amp;O133&amp;" + "&amp;O136&amp;" + "&amp;O139&amp;" to box "&amp;'Tax adj (c9)'!F115</f>
        <v>copy c18.56 + c18.57 + c18.58 to box c9.35</v>
      </c>
    </row>
    <row r="141" spans="2:17" x14ac:dyDescent="0.35">
      <c r="P141" s="44" t="str">
        <f>"and copy to box "&amp;'Tax due (c12)'!F59</f>
        <v>and copy to box c12.17</v>
      </c>
    </row>
    <row r="142" spans="2:17" x14ac:dyDescent="0.35">
      <c r="B142" s="146" t="s">
        <v>3508</v>
      </c>
    </row>
    <row r="143" spans="2:17" ht="12.75" x14ac:dyDescent="0.35">
      <c r="B143" s="1415" t="s">
        <v>4842</v>
      </c>
    </row>
    <row r="144" spans="2:17" ht="12.75" x14ac:dyDescent="0.35">
      <c r="B144" s="1415" t="str">
        <f>C18&amp;" to "&amp;O139&amp;" = 0 (zero)"</f>
        <v>c18.1 to c18.58 = 0 (zero)</v>
      </c>
    </row>
    <row r="145" spans="2:2" ht="12.75" x14ac:dyDescent="0.35">
      <c r="B145" s="1890" t="s">
        <v>4843</v>
      </c>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113"/>
  <sheetViews>
    <sheetView showGridLines="0" topLeftCell="B1" workbookViewId="0">
      <selection activeCell="L24" sqref="L24"/>
    </sheetView>
  </sheetViews>
  <sheetFormatPr defaultColWidth="9.1328125" defaultRowHeight="12.75" x14ac:dyDescent="0.35"/>
  <cols>
    <col min="1" max="1" width="6.265625" style="413" hidden="1" customWidth="1"/>
    <col min="2" max="2" width="31" style="413" customWidth="1"/>
    <col min="3" max="3" width="6.265625" style="413" customWidth="1"/>
    <col min="4" max="4" width="11.265625" style="413" customWidth="1"/>
    <col min="5" max="5" width="9.73046875" style="7" customWidth="1"/>
    <col min="6" max="6" width="6.265625" style="7" customWidth="1"/>
    <col min="7" max="7" width="11.265625" style="413" customWidth="1"/>
    <col min="8" max="8" width="9.73046875" style="7" customWidth="1"/>
    <col min="9" max="9" width="6.265625" style="7" customWidth="1"/>
    <col min="10" max="10" width="11.265625" style="413" customWidth="1"/>
    <col min="11" max="11" width="8.86328125" style="413" customWidth="1"/>
    <col min="12" max="12" width="31" style="413" customWidth="1"/>
    <col min="13" max="14" width="6.265625" style="413" customWidth="1"/>
    <col min="15" max="15" width="11.265625" style="413" customWidth="1"/>
    <col min="16" max="16" width="8.86328125" style="413" customWidth="1"/>
    <col min="17" max="17" width="6.265625" style="413" customWidth="1"/>
    <col min="18" max="18" width="11.265625" style="413" customWidth="1"/>
    <col min="19" max="16384" width="9.1328125" style="413"/>
  </cols>
  <sheetData>
    <row r="1" spans="1:20" x14ac:dyDescent="0.35">
      <c r="A1" s="413" t="s">
        <v>3586</v>
      </c>
      <c r="B1" s="786" t="s">
        <v>4752</v>
      </c>
    </row>
    <row r="2" spans="1:20" x14ac:dyDescent="0.35">
      <c r="A2" s="413" t="s">
        <v>2750</v>
      </c>
      <c r="B2" s="786"/>
    </row>
    <row r="3" spans="1:20" ht="11.65" x14ac:dyDescent="0.35">
      <c r="A3" s="413" t="s">
        <v>2751</v>
      </c>
      <c r="C3" s="452" t="s">
        <v>884</v>
      </c>
      <c r="D3" s="472"/>
      <c r="E3" s="472"/>
      <c r="F3" s="472"/>
      <c r="G3" s="472"/>
      <c r="H3" s="472"/>
      <c r="I3" s="445"/>
    </row>
    <row r="4" spans="1:20" x14ac:dyDescent="0.35">
      <c r="A4" s="413" t="s">
        <v>2752</v>
      </c>
    </row>
    <row r="5" spans="1:20" x14ac:dyDescent="0.35">
      <c r="A5" s="413" t="s">
        <v>2753</v>
      </c>
      <c r="B5" s="815" t="s">
        <v>3807</v>
      </c>
      <c r="E5" s="413"/>
      <c r="F5" s="413"/>
    </row>
    <row r="6" spans="1:20" x14ac:dyDescent="0.35">
      <c r="A6" s="413" t="s">
        <v>2754</v>
      </c>
      <c r="B6" s="815"/>
      <c r="E6" s="413"/>
      <c r="F6" s="413"/>
      <c r="H6" s="413"/>
    </row>
    <row r="7" spans="1:20" x14ac:dyDescent="0.35">
      <c r="A7" s="413" t="s">
        <v>2755</v>
      </c>
      <c r="B7" s="815"/>
      <c r="D7" s="413" t="str">
        <f>"if ("&amp;NRD!P10&amp;" = Y, "&amp;NRD!P11&amp;" = N, and "&amp;NRD!P15&amp;" = N)"</f>
        <v>if (box_NRD28 = Y, box_NRD29 = N, and box_NRD33 = N)</v>
      </c>
      <c r="E7" s="413"/>
      <c r="F7" s="413"/>
      <c r="H7" s="413"/>
    </row>
    <row r="8" spans="1:20" x14ac:dyDescent="0.35">
      <c r="A8" s="413" t="s">
        <v>2756</v>
      </c>
      <c r="B8" s="815"/>
      <c r="C8" s="1418"/>
      <c r="D8" s="413" t="str">
        <f>"and (NRD"&amp;NRD!K20&amp;" + NRD"&amp;NRD!H23&amp;" is greater than 0 (zero))"</f>
        <v>and (NRD34 + NRD35 is greater than 0 (zero))</v>
      </c>
      <c r="E8" s="413"/>
      <c r="F8" s="413"/>
      <c r="H8" s="413"/>
    </row>
    <row r="9" spans="1:20" x14ac:dyDescent="0.35">
      <c r="A9" s="413" t="s">
        <v>2757</v>
      </c>
      <c r="B9" s="815"/>
      <c r="D9" s="3095" t="str">
        <f>" if "&amp;NRD!P12&amp;" = Y then "&amp;C20&amp;" = RBC_Additional_ch ("&amp;DOLLAR(RBC_Additional_ch,0)&amp;")"</f>
        <v xml:space="preserve"> if box_NRD30 = Y then c19.1 = RBC_Additional_ch (£90,000)</v>
      </c>
      <c r="E9" s="3092"/>
      <c r="F9" s="3092"/>
      <c r="G9" s="3092"/>
      <c r="H9" s="3092"/>
      <c r="I9" s="3510"/>
    </row>
    <row r="10" spans="1:20" x14ac:dyDescent="0.35">
      <c r="A10" s="413" t="s">
        <v>2758</v>
      </c>
      <c r="B10" s="815"/>
      <c r="D10" s="3092" t="s">
        <v>2520</v>
      </c>
      <c r="E10" s="1141"/>
      <c r="F10" s="1141"/>
      <c r="G10" s="1141"/>
      <c r="H10" s="1141"/>
      <c r="I10" s="3749"/>
    </row>
    <row r="11" spans="1:20" x14ac:dyDescent="0.35">
      <c r="A11" s="413" t="s">
        <v>2759</v>
      </c>
      <c r="B11" s="146"/>
      <c r="C11" s="146"/>
      <c r="D11" s="1418" t="str">
        <f>" if "&amp;NRD!P13&amp;" = Y then "&amp;C20&amp;" = Res_non_dom_High_ch ("&amp;DOLLAR(Res_non_dom_High_ch,0)&amp;")"</f>
        <v xml:space="preserve"> if box_NRD31 = Y then c19.1 = Res_non_dom_High_ch (£60,000)</v>
      </c>
      <c r="E11" s="146"/>
      <c r="F11" s="146"/>
      <c r="G11" s="146"/>
      <c r="H11" s="413"/>
    </row>
    <row r="12" spans="1:20" x14ac:dyDescent="0.35">
      <c r="A12" s="413" t="s">
        <v>2760</v>
      </c>
      <c r="B12" s="146"/>
      <c r="C12" s="146"/>
      <c r="D12" s="146" t="s">
        <v>2520</v>
      </c>
      <c r="E12" s="146"/>
      <c r="F12" s="146"/>
      <c r="G12" s="146"/>
      <c r="H12" s="146"/>
    </row>
    <row r="13" spans="1:20" x14ac:dyDescent="0.35">
      <c r="A13" s="413" t="s">
        <v>2761</v>
      </c>
      <c r="B13" s="815"/>
      <c r="C13" s="752"/>
      <c r="D13" s="1418" t="str">
        <f>" if "&amp;NRD!P14&amp;" = Y then "&amp;C20&amp;" = Res_non_dom_ch ("&amp;DOLLAR(Res_non_dom_ch,0)&amp;")"</f>
        <v xml:space="preserve"> if box_NRD32 = Y then c19.1 = Res_non_dom_ch (£30,000)</v>
      </c>
      <c r="E13" s="413"/>
      <c r="F13" s="413"/>
      <c r="H13" s="146"/>
      <c r="L13" s="7"/>
      <c r="M13" s="7"/>
    </row>
    <row r="14" spans="1:20" ht="13.15" x14ac:dyDescent="0.4">
      <c r="A14" s="413" t="s">
        <v>2762</v>
      </c>
      <c r="B14" s="815"/>
      <c r="C14" s="752"/>
      <c r="D14" s="797" t="s">
        <v>2520</v>
      </c>
      <c r="E14" s="413"/>
      <c r="F14" s="413"/>
      <c r="H14" s="413"/>
      <c r="L14" s="1127"/>
      <c r="M14" s="1128"/>
      <c r="N14" s="1128"/>
      <c r="O14" s="1128"/>
      <c r="P14" s="1128"/>
      <c r="Q14" s="1128"/>
      <c r="R14" s="1128"/>
      <c r="S14" s="1128"/>
      <c r="T14" s="1128"/>
    </row>
    <row r="15" spans="1:20" x14ac:dyDescent="0.35">
      <c r="A15" s="413" t="s">
        <v>2763</v>
      </c>
      <c r="B15" s="815"/>
      <c r="C15" s="752"/>
      <c r="D15" s="1418" t="str">
        <f>C20&amp;" = 0 (zero)"</f>
        <v>c19.1 = 0 (zero)</v>
      </c>
      <c r="E15" s="413"/>
      <c r="F15" s="413"/>
      <c r="H15" s="413"/>
      <c r="L15" s="1128"/>
      <c r="M15" s="1128"/>
      <c r="N15" s="1128"/>
      <c r="O15" s="1128"/>
      <c r="P15" s="1128"/>
      <c r="Q15" s="1128"/>
      <c r="R15" s="1128"/>
      <c r="S15" s="1128"/>
      <c r="T15" s="1128"/>
    </row>
    <row r="16" spans="1:20" x14ac:dyDescent="0.35">
      <c r="A16" s="413" t="s">
        <v>2764</v>
      </c>
      <c r="D16" s="1419" t="s">
        <v>2638</v>
      </c>
      <c r="E16" s="413"/>
      <c r="F16" s="413"/>
      <c r="H16" s="413"/>
      <c r="L16" s="1128"/>
      <c r="M16" s="1128"/>
      <c r="N16" s="1128"/>
      <c r="O16" s="1128"/>
      <c r="P16" s="1128"/>
      <c r="Q16" s="1128"/>
      <c r="R16" s="1128"/>
      <c r="S16" s="1128"/>
      <c r="T16" s="1128"/>
    </row>
    <row r="17" spans="1:20" x14ac:dyDescent="0.35">
      <c r="A17" s="413" t="s">
        <v>2765</v>
      </c>
      <c r="D17" s="1420" t="s">
        <v>2638</v>
      </c>
      <c r="E17" s="413"/>
      <c r="F17" s="413"/>
      <c r="H17" s="413"/>
      <c r="L17" s="1129"/>
      <c r="M17" s="1128"/>
      <c r="N17" s="1128"/>
      <c r="O17" s="1128"/>
      <c r="P17" s="1128"/>
      <c r="Q17" s="1128"/>
      <c r="R17" s="1128"/>
      <c r="S17" s="1128"/>
      <c r="T17" s="1128"/>
    </row>
    <row r="18" spans="1:20" x14ac:dyDescent="0.35">
      <c r="A18" s="413" t="s">
        <v>2766</v>
      </c>
      <c r="D18" s="3095" t="s">
        <v>2638</v>
      </c>
      <c r="G18" s="7"/>
      <c r="H18" s="413"/>
      <c r="L18" s="1128"/>
      <c r="M18" s="1128"/>
      <c r="N18" s="1128"/>
      <c r="O18" s="1128"/>
      <c r="P18" s="1128"/>
      <c r="Q18" s="1128"/>
      <c r="R18" s="1128"/>
      <c r="S18" s="1128"/>
      <c r="T18" s="1128"/>
    </row>
    <row r="19" spans="1:20" x14ac:dyDescent="0.35">
      <c r="A19" s="413" t="s">
        <v>2767</v>
      </c>
      <c r="D19" s="146" t="s">
        <v>2638</v>
      </c>
      <c r="G19" s="7"/>
      <c r="L19" s="1128"/>
      <c r="M19" s="1129"/>
      <c r="N19" s="1130"/>
      <c r="O19" s="1128"/>
      <c r="P19" s="1128"/>
      <c r="Q19" s="1128"/>
      <c r="R19" s="1128"/>
      <c r="S19" s="1128"/>
      <c r="T19" s="1128"/>
    </row>
    <row r="20" spans="1:20" x14ac:dyDescent="0.35">
      <c r="A20" s="413" t="s">
        <v>2768</v>
      </c>
      <c r="B20" s="7"/>
      <c r="C20" s="1421" t="str">
        <f>A1</f>
        <v>c19.1</v>
      </c>
      <c r="D20" s="420">
        <f>IF(NON_DOM_Charge,IF(NRD!L21+NRD!I24&gt;0,IF(box_NRD31,Res_non_dom_High_ch,IF(box_NRD32,Res_non_dom_ch,0))),0)</f>
        <v>0</v>
      </c>
      <c r="L20" s="1128"/>
      <c r="M20" s="1128"/>
      <c r="N20" s="1130"/>
      <c r="O20" s="1128"/>
      <c r="P20" s="1128"/>
      <c r="Q20" s="1128"/>
      <c r="R20" s="1128"/>
      <c r="S20" s="1128"/>
      <c r="T20" s="1128"/>
    </row>
    <row r="21" spans="1:20" x14ac:dyDescent="0.35">
      <c r="A21" s="413" t="s">
        <v>2769</v>
      </c>
      <c r="B21" s="1135"/>
      <c r="C21" s="1135"/>
      <c r="D21" s="44" t="str">
        <f>"Copy to "&amp;'Tax adj (c9)'!F118&amp;" and to "&amp;'Tax due (c12)'!F40</f>
        <v>Copy to c9.36 and to c12.11</v>
      </c>
      <c r="H21" s="1135"/>
      <c r="L21" s="1128"/>
      <c r="M21" s="1128"/>
      <c r="N21" s="1130"/>
      <c r="O21" s="1128"/>
      <c r="P21" s="1128"/>
      <c r="Q21" s="1128"/>
      <c r="R21" s="1128"/>
      <c r="S21" s="1128"/>
      <c r="T21" s="1128"/>
    </row>
    <row r="22" spans="1:20" x14ac:dyDescent="0.35">
      <c r="A22" s="413" t="s">
        <v>2770</v>
      </c>
      <c r="B22" s="7"/>
      <c r="C22" s="7"/>
      <c r="I22" s="1135"/>
      <c r="J22" s="1134"/>
      <c r="K22" s="1134"/>
      <c r="L22" s="1128"/>
      <c r="M22" s="1128"/>
      <c r="N22" s="1130"/>
      <c r="O22" s="1128"/>
      <c r="P22" s="1128"/>
      <c r="Q22" s="1128"/>
      <c r="R22" s="1128"/>
      <c r="S22" s="1128"/>
      <c r="T22" s="1128"/>
    </row>
    <row r="23" spans="1:20" x14ac:dyDescent="0.35">
      <c r="A23" s="413" t="s">
        <v>725</v>
      </c>
      <c r="B23" s="146"/>
      <c r="D23" s="1135"/>
      <c r="H23" s="1135"/>
      <c r="I23" s="1135"/>
      <c r="J23" s="1134"/>
      <c r="K23" s="1134"/>
      <c r="L23" s="1128"/>
      <c r="M23" s="1128"/>
      <c r="N23" s="1130"/>
      <c r="O23" s="1128"/>
      <c r="P23" s="1128"/>
      <c r="Q23" s="1128"/>
      <c r="R23" s="1128"/>
      <c r="S23" s="1128"/>
      <c r="T23" s="1128"/>
    </row>
    <row r="24" spans="1:20" x14ac:dyDescent="0.35">
      <c r="A24" s="413" t="s">
        <v>726</v>
      </c>
      <c r="I24" s="1135"/>
      <c r="J24" s="1134"/>
      <c r="K24" s="1134"/>
      <c r="L24" s="1128"/>
      <c r="M24" s="1128"/>
      <c r="N24" s="1130"/>
      <c r="O24" s="1128"/>
      <c r="P24" s="1128"/>
      <c r="Q24" s="1128"/>
      <c r="R24" s="1128"/>
      <c r="S24" s="1128"/>
      <c r="T24" s="1128"/>
    </row>
    <row r="25" spans="1:20" x14ac:dyDescent="0.35">
      <c r="A25" s="413" t="s">
        <v>727</v>
      </c>
      <c r="I25" s="1135"/>
      <c r="J25" s="1134"/>
      <c r="K25" s="1134"/>
      <c r="L25" s="1128"/>
      <c r="M25" s="1128"/>
      <c r="N25" s="1130"/>
      <c r="O25" s="1128"/>
      <c r="P25" s="1128"/>
      <c r="Q25" s="1128"/>
      <c r="R25" s="1128"/>
      <c r="S25" s="1128"/>
      <c r="T25" s="1128"/>
    </row>
    <row r="26" spans="1:20" x14ac:dyDescent="0.35">
      <c r="A26" s="413" t="s">
        <v>728</v>
      </c>
      <c r="B26" s="1134"/>
      <c r="C26" s="1134"/>
      <c r="D26" s="1134"/>
      <c r="E26" s="1135"/>
      <c r="F26" s="1134"/>
      <c r="G26" s="1134"/>
      <c r="H26" s="1135"/>
      <c r="I26" s="1135"/>
      <c r="J26" s="1134"/>
      <c r="K26" s="1134"/>
      <c r="L26" s="1128"/>
      <c r="M26" s="1128"/>
      <c r="N26" s="1130"/>
      <c r="O26" s="1128"/>
      <c r="P26" s="1128"/>
      <c r="Q26" s="1128"/>
      <c r="R26" s="1128"/>
      <c r="S26" s="1128"/>
      <c r="T26" s="1128"/>
    </row>
    <row r="27" spans="1:20" x14ac:dyDescent="0.35">
      <c r="A27" s="413" t="s">
        <v>729</v>
      </c>
      <c r="B27" s="1134"/>
      <c r="C27" s="1134"/>
      <c r="D27" s="1134"/>
      <c r="E27" s="1135"/>
      <c r="F27" s="1134"/>
      <c r="G27" s="1134"/>
      <c r="H27" s="1135"/>
      <c r="I27" s="1135"/>
      <c r="J27" s="1134"/>
      <c r="K27" s="1134"/>
      <c r="L27" s="1128"/>
      <c r="M27" s="1128"/>
      <c r="N27" s="1130"/>
      <c r="O27" s="1128"/>
      <c r="P27" s="1128"/>
      <c r="Q27" s="1128"/>
      <c r="R27" s="1128"/>
      <c r="S27" s="1128"/>
      <c r="T27" s="1128"/>
    </row>
    <row r="28" spans="1:20" x14ac:dyDescent="0.35">
      <c r="A28" s="413" t="s">
        <v>730</v>
      </c>
      <c r="B28" s="1134"/>
      <c r="C28" s="1134"/>
      <c r="D28" s="1134"/>
      <c r="E28" s="1135"/>
      <c r="F28" s="1134"/>
      <c r="G28" s="1134"/>
      <c r="H28" s="1135"/>
      <c r="I28" s="1135"/>
      <c r="J28" s="1134"/>
      <c r="K28" s="1134"/>
      <c r="L28" s="1128"/>
      <c r="M28" s="1128"/>
      <c r="N28" s="1130"/>
      <c r="O28" s="1128"/>
      <c r="P28" s="1128"/>
      <c r="Q28" s="1128"/>
      <c r="R28" s="1128"/>
      <c r="S28" s="1128"/>
      <c r="T28" s="1128"/>
    </row>
    <row r="29" spans="1:20" x14ac:dyDescent="0.35">
      <c r="A29" s="413" t="s">
        <v>731</v>
      </c>
      <c r="B29" s="1134"/>
      <c r="C29" s="1134"/>
      <c r="D29" s="1134"/>
      <c r="E29" s="1135"/>
      <c r="F29" s="1134"/>
      <c r="G29" s="1134"/>
      <c r="H29" s="1135"/>
      <c r="I29" s="1135"/>
      <c r="J29" s="1134"/>
      <c r="K29" s="1134"/>
      <c r="L29" s="1128"/>
      <c r="M29" s="1128"/>
      <c r="N29" s="1130"/>
      <c r="O29" s="1128"/>
      <c r="P29" s="1128"/>
      <c r="Q29" s="1128"/>
      <c r="R29" s="1128"/>
      <c r="S29" s="1128"/>
      <c r="T29" s="1128"/>
    </row>
    <row r="30" spans="1:20" x14ac:dyDescent="0.35">
      <c r="A30" s="413" t="s">
        <v>3475</v>
      </c>
      <c r="B30" s="1134"/>
      <c r="C30" s="1134"/>
      <c r="D30" s="1134"/>
      <c r="E30" s="1135"/>
      <c r="F30" s="1134"/>
      <c r="G30" s="1134"/>
      <c r="H30" s="1135"/>
      <c r="I30" s="1135"/>
      <c r="J30" s="1134"/>
      <c r="K30" s="1134"/>
      <c r="L30" s="1128"/>
      <c r="M30" s="1128"/>
      <c r="N30" s="1130"/>
      <c r="O30" s="1128"/>
      <c r="P30" s="1128"/>
      <c r="Q30" s="1128"/>
      <c r="R30" s="1128"/>
      <c r="S30" s="1128"/>
      <c r="T30" s="1128"/>
    </row>
    <row r="31" spans="1:20" x14ac:dyDescent="0.35">
      <c r="A31" s="413" t="s">
        <v>3476</v>
      </c>
      <c r="B31" s="1134"/>
      <c r="C31" s="1134"/>
      <c r="D31" s="1134"/>
      <c r="E31" s="1135"/>
      <c r="F31" s="1134"/>
      <c r="G31" s="1134"/>
      <c r="H31" s="1135"/>
      <c r="I31" s="1135"/>
      <c r="J31" s="1134"/>
      <c r="K31" s="1134"/>
      <c r="L31" s="1128"/>
      <c r="M31" s="1128"/>
      <c r="N31" s="1130"/>
      <c r="O31" s="1128"/>
      <c r="P31" s="1128"/>
      <c r="Q31" s="1128"/>
      <c r="R31" s="1128"/>
      <c r="S31" s="1128"/>
      <c r="T31" s="1128"/>
    </row>
    <row r="32" spans="1:20" x14ac:dyDescent="0.35">
      <c r="A32" s="413" t="s">
        <v>3491</v>
      </c>
      <c r="B32" s="1134"/>
      <c r="C32" s="1134"/>
      <c r="D32" s="1134"/>
      <c r="E32" s="1135"/>
      <c r="F32" s="1134"/>
      <c r="G32" s="1134"/>
      <c r="H32" s="1135"/>
      <c r="I32" s="1135"/>
      <c r="J32" s="1134"/>
      <c r="K32" s="1134"/>
      <c r="L32" s="1128"/>
      <c r="M32" s="1128"/>
      <c r="N32" s="1130"/>
      <c r="O32" s="1128"/>
      <c r="P32" s="1128"/>
      <c r="Q32" s="1128"/>
      <c r="R32" s="1128"/>
      <c r="S32" s="1128"/>
      <c r="T32" s="1128"/>
    </row>
    <row r="33" spans="1:20" x14ac:dyDescent="0.35">
      <c r="A33" s="413" t="s">
        <v>2406</v>
      </c>
      <c r="B33" s="1134"/>
      <c r="C33" s="1134"/>
      <c r="D33" s="1134"/>
      <c r="E33" s="1135"/>
      <c r="F33" s="1134"/>
      <c r="G33" s="1134"/>
      <c r="H33" s="1135"/>
      <c r="I33" s="1135"/>
      <c r="J33" s="1134"/>
      <c r="K33" s="1134"/>
      <c r="L33" s="1128"/>
      <c r="M33" s="1128"/>
      <c r="N33" s="1130"/>
      <c r="O33" s="1128"/>
      <c r="P33" s="1128"/>
      <c r="Q33" s="1128"/>
      <c r="R33" s="1128"/>
      <c r="S33" s="1128"/>
      <c r="T33" s="1128"/>
    </row>
    <row r="34" spans="1:20" x14ac:dyDescent="0.35">
      <c r="A34" s="413" t="s">
        <v>3541</v>
      </c>
      <c r="B34" s="1134"/>
      <c r="C34" s="1134"/>
      <c r="D34" s="1134"/>
      <c r="E34" s="1135"/>
      <c r="F34" s="1134"/>
      <c r="G34" s="1134"/>
      <c r="H34" s="1135"/>
      <c r="I34" s="1135"/>
      <c r="J34" s="1134"/>
      <c r="K34" s="1134"/>
      <c r="L34" s="1128"/>
      <c r="M34" s="1128"/>
      <c r="N34" s="1130"/>
      <c r="O34" s="1128"/>
      <c r="P34" s="1128"/>
      <c r="Q34" s="1128"/>
      <c r="R34" s="1128"/>
      <c r="S34" s="1128"/>
      <c r="T34" s="1128"/>
    </row>
    <row r="35" spans="1:20" x14ac:dyDescent="0.35">
      <c r="A35" s="413" t="s">
        <v>3542</v>
      </c>
      <c r="B35" s="1134"/>
      <c r="C35" s="1134"/>
      <c r="D35" s="1134"/>
      <c r="E35" s="1135"/>
      <c r="F35" s="1134"/>
      <c r="G35" s="1134"/>
      <c r="H35" s="1135"/>
      <c r="I35" s="1135"/>
      <c r="J35" s="1134"/>
      <c r="K35" s="1134"/>
      <c r="L35" s="1128"/>
      <c r="M35" s="1128"/>
      <c r="N35" s="1130"/>
      <c r="O35" s="1128"/>
      <c r="P35" s="1128"/>
      <c r="Q35" s="1128"/>
      <c r="R35" s="1128"/>
      <c r="S35" s="1128"/>
      <c r="T35" s="1128"/>
    </row>
    <row r="36" spans="1:20" x14ac:dyDescent="0.35">
      <c r="A36" s="413" t="s">
        <v>3543</v>
      </c>
      <c r="B36" s="1134"/>
      <c r="C36" s="1134"/>
      <c r="D36" s="1134"/>
      <c r="E36" s="1135"/>
      <c r="F36" s="1134"/>
      <c r="G36" s="1134"/>
      <c r="H36" s="1135"/>
      <c r="I36" s="1135"/>
      <c r="J36" s="1134"/>
      <c r="K36" s="1134"/>
      <c r="L36" s="1128"/>
      <c r="M36" s="1128"/>
      <c r="N36" s="1130"/>
      <c r="O36" s="1128"/>
      <c r="P36" s="1128"/>
      <c r="Q36" s="1128"/>
      <c r="R36" s="1128"/>
      <c r="S36" s="1128"/>
      <c r="T36" s="1128"/>
    </row>
    <row r="37" spans="1:20" x14ac:dyDescent="0.35">
      <c r="A37" s="413" t="s">
        <v>3544</v>
      </c>
      <c r="B37" s="1134"/>
      <c r="C37" s="1134"/>
      <c r="D37" s="1134"/>
      <c r="E37" s="1135"/>
      <c r="F37" s="1134"/>
      <c r="G37" s="1134"/>
      <c r="H37" s="1135"/>
      <c r="I37" s="1135"/>
      <c r="J37" s="1134"/>
      <c r="K37" s="1134"/>
      <c r="L37" s="1128"/>
      <c r="M37" s="1128"/>
      <c r="N37" s="1130"/>
      <c r="O37" s="1128"/>
      <c r="P37" s="1128"/>
      <c r="Q37" s="1128"/>
      <c r="R37" s="1128"/>
      <c r="S37" s="1128"/>
      <c r="T37" s="1128"/>
    </row>
    <row r="38" spans="1:20" x14ac:dyDescent="0.35">
      <c r="A38" s="413" t="s">
        <v>2545</v>
      </c>
      <c r="B38" s="1134"/>
      <c r="C38" s="1134"/>
      <c r="D38" s="1134"/>
      <c r="E38" s="1135"/>
      <c r="F38" s="1134"/>
      <c r="G38" s="1134"/>
      <c r="H38" s="1135"/>
      <c r="I38" s="1135"/>
      <c r="J38" s="1134"/>
      <c r="K38" s="1134"/>
      <c r="L38" s="1128"/>
      <c r="M38" s="1128"/>
      <c r="N38" s="1130"/>
      <c r="O38" s="1128"/>
      <c r="P38" s="1128"/>
      <c r="Q38" s="1128"/>
      <c r="R38" s="1128"/>
      <c r="S38" s="1128"/>
      <c r="T38" s="1128"/>
    </row>
    <row r="39" spans="1:20" x14ac:dyDescent="0.35">
      <c r="A39" s="413" t="s">
        <v>2546</v>
      </c>
      <c r="B39" s="1134"/>
      <c r="C39" s="1134"/>
      <c r="D39" s="1134"/>
      <c r="E39" s="1135"/>
      <c r="F39" s="1134"/>
      <c r="G39" s="1134"/>
      <c r="H39" s="1135"/>
      <c r="I39" s="1135"/>
      <c r="J39" s="1134"/>
      <c r="K39" s="1134"/>
      <c r="L39" s="1128"/>
      <c r="M39" s="1128"/>
      <c r="N39" s="1130"/>
      <c r="O39" s="1128"/>
      <c r="P39" s="1128"/>
      <c r="Q39" s="1128"/>
      <c r="R39" s="1128"/>
      <c r="S39" s="1128"/>
      <c r="T39" s="1128"/>
    </row>
    <row r="40" spans="1:20" x14ac:dyDescent="0.35">
      <c r="A40" s="413" t="s">
        <v>2547</v>
      </c>
      <c r="B40" s="1134"/>
      <c r="C40" s="1134"/>
      <c r="D40" s="1134"/>
      <c r="E40" s="1135"/>
      <c r="F40" s="1134"/>
      <c r="G40" s="1134"/>
      <c r="H40" s="1135"/>
      <c r="I40" s="1135"/>
      <c r="J40" s="1134"/>
      <c r="K40" s="1134"/>
      <c r="L40" s="1131"/>
      <c r="M40" s="1131"/>
      <c r="N40" s="1130"/>
      <c r="O40" s="1128"/>
      <c r="P40" s="1128"/>
      <c r="Q40" s="1128"/>
      <c r="R40" s="1128"/>
      <c r="S40" s="1128"/>
      <c r="T40" s="1128"/>
    </row>
    <row r="41" spans="1:20" x14ac:dyDescent="0.35">
      <c r="A41" s="413" t="s">
        <v>4337</v>
      </c>
      <c r="B41" s="1134"/>
      <c r="C41" s="1134"/>
      <c r="D41" s="1134"/>
      <c r="E41" s="1135"/>
      <c r="F41" s="1134"/>
      <c r="G41" s="1134"/>
      <c r="H41" s="1135"/>
      <c r="I41" s="1135"/>
      <c r="J41" s="1134"/>
      <c r="K41" s="1134"/>
      <c r="L41" s="1131"/>
      <c r="M41" s="1131"/>
      <c r="N41" s="1130"/>
      <c r="O41" s="1128"/>
      <c r="P41" s="1128"/>
      <c r="Q41" s="1128"/>
      <c r="R41" s="1128"/>
      <c r="S41" s="1128"/>
      <c r="T41" s="1128"/>
    </row>
    <row r="42" spans="1:20" x14ac:dyDescent="0.35">
      <c r="A42" s="413" t="s">
        <v>4338</v>
      </c>
      <c r="B42" s="1134"/>
      <c r="C42" s="1134"/>
      <c r="D42" s="1134"/>
      <c r="E42" s="1135"/>
      <c r="F42" s="1134"/>
      <c r="G42" s="1134"/>
      <c r="H42" s="1135"/>
      <c r="I42" s="1135"/>
      <c r="J42" s="1134"/>
      <c r="K42" s="1134"/>
      <c r="N42" s="1130"/>
      <c r="O42" s="1128"/>
    </row>
    <row r="43" spans="1:20" x14ac:dyDescent="0.35">
      <c r="A43" s="413" t="s">
        <v>4339</v>
      </c>
      <c r="B43" s="1134"/>
      <c r="C43" s="1134"/>
      <c r="D43" s="1134"/>
      <c r="E43" s="1135"/>
      <c r="F43" s="1134"/>
      <c r="G43" s="1134"/>
      <c r="H43" s="1135"/>
      <c r="I43" s="1135"/>
      <c r="J43" s="1134"/>
      <c r="K43" s="1134"/>
    </row>
    <row r="44" spans="1:20" x14ac:dyDescent="0.35">
      <c r="A44" s="413" t="s">
        <v>4340</v>
      </c>
      <c r="B44" s="1134"/>
      <c r="C44" s="1134"/>
      <c r="D44" s="1134"/>
      <c r="E44" s="1135"/>
      <c r="F44" s="1134"/>
      <c r="G44" s="1134"/>
      <c r="H44" s="1135"/>
      <c r="I44" s="1135"/>
      <c r="J44" s="1134"/>
      <c r="K44" s="1134"/>
    </row>
    <row r="45" spans="1:20" x14ac:dyDescent="0.35">
      <c r="A45" s="413" t="s">
        <v>4341</v>
      </c>
      <c r="B45" s="1134"/>
      <c r="C45" s="1134"/>
      <c r="D45" s="1134"/>
      <c r="E45" s="1135"/>
      <c r="F45" s="1134"/>
      <c r="G45" s="1134"/>
      <c r="H45" s="1135"/>
      <c r="I45" s="1135"/>
      <c r="J45" s="1134"/>
      <c r="K45" s="1134"/>
    </row>
    <row r="46" spans="1:20" x14ac:dyDescent="0.35">
      <c r="A46" s="413" t="s">
        <v>4342</v>
      </c>
      <c r="B46" s="1134"/>
      <c r="C46" s="1134"/>
      <c r="D46" s="1134"/>
      <c r="E46" s="1135"/>
      <c r="F46" s="1134"/>
      <c r="G46" s="1134"/>
      <c r="H46" s="1135"/>
      <c r="I46" s="1135"/>
      <c r="J46" s="1134"/>
      <c r="K46" s="1134"/>
    </row>
    <row r="47" spans="1:20" x14ac:dyDescent="0.35">
      <c r="A47" s="413" t="s">
        <v>4343</v>
      </c>
      <c r="B47" s="1134"/>
      <c r="C47" s="1134"/>
      <c r="D47" s="1134"/>
      <c r="E47" s="1135"/>
      <c r="F47" s="1134"/>
      <c r="G47" s="1134"/>
      <c r="H47" s="1135"/>
      <c r="I47" s="1135"/>
      <c r="J47" s="1134"/>
      <c r="K47" s="1134"/>
    </row>
    <row r="48" spans="1:20" x14ac:dyDescent="0.35">
      <c r="A48" s="413" t="s">
        <v>4344</v>
      </c>
      <c r="B48" s="1134"/>
      <c r="C48" s="1134"/>
      <c r="D48" s="1134"/>
      <c r="E48" s="1135"/>
      <c r="F48" s="1134"/>
      <c r="G48" s="1134"/>
      <c r="H48" s="1135"/>
      <c r="I48" s="1135"/>
      <c r="J48" s="1134"/>
      <c r="K48" s="1134"/>
    </row>
    <row r="49" spans="1:13" x14ac:dyDescent="0.35">
      <c r="A49" s="413" t="s">
        <v>4345</v>
      </c>
      <c r="B49" s="1134"/>
      <c r="C49" s="1134"/>
      <c r="D49" s="1134"/>
      <c r="E49" s="1135"/>
      <c r="F49" s="1134"/>
      <c r="G49" s="1134"/>
      <c r="H49" s="1135"/>
      <c r="I49" s="1135"/>
      <c r="J49" s="1134"/>
      <c r="K49" s="1134"/>
    </row>
    <row r="50" spans="1:13" x14ac:dyDescent="0.35">
      <c r="A50" s="413" t="s">
        <v>4346</v>
      </c>
      <c r="B50" s="1134"/>
      <c r="C50" s="1134"/>
      <c r="D50" s="1134"/>
      <c r="E50" s="1135"/>
      <c r="F50" s="1134"/>
      <c r="G50" s="1134"/>
      <c r="H50" s="1135"/>
      <c r="I50" s="1135"/>
      <c r="J50" s="1134"/>
      <c r="K50" s="1134"/>
    </row>
    <row r="51" spans="1:13" x14ac:dyDescent="0.35">
      <c r="A51" s="413" t="s">
        <v>4347</v>
      </c>
      <c r="B51" s="1134"/>
      <c r="C51" s="1134"/>
      <c r="D51" s="1134"/>
      <c r="E51" s="1135"/>
      <c r="F51" s="1134"/>
      <c r="G51" s="1134"/>
      <c r="H51" s="1135"/>
      <c r="I51" s="1135"/>
      <c r="J51" s="1134"/>
      <c r="K51" s="1134"/>
    </row>
    <row r="52" spans="1:13" x14ac:dyDescent="0.35">
      <c r="A52" s="413" t="s">
        <v>4348</v>
      </c>
      <c r="B52" s="1134"/>
      <c r="C52" s="1134"/>
      <c r="D52" s="1134"/>
      <c r="E52" s="1135"/>
      <c r="F52" s="1134"/>
      <c r="G52" s="1134"/>
      <c r="H52" s="1135"/>
      <c r="I52" s="1135"/>
      <c r="J52" s="1134"/>
      <c r="K52" s="1134"/>
    </row>
    <row r="53" spans="1:13" x14ac:dyDescent="0.35">
      <c r="A53" s="413" t="s">
        <v>4349</v>
      </c>
      <c r="B53" s="1134"/>
      <c r="C53" s="1134"/>
      <c r="D53" s="1134"/>
      <c r="E53" s="1135"/>
      <c r="F53" s="1134"/>
      <c r="G53" s="1134"/>
      <c r="H53" s="1135"/>
      <c r="I53" s="1135"/>
      <c r="J53" s="1134"/>
      <c r="K53" s="1134"/>
    </row>
    <row r="54" spans="1:13" x14ac:dyDescent="0.35">
      <c r="A54" s="413" t="s">
        <v>4350</v>
      </c>
      <c r="B54" s="1134"/>
      <c r="C54" s="1134"/>
      <c r="D54" s="1134"/>
      <c r="E54" s="1135"/>
      <c r="F54" s="1134"/>
      <c r="G54" s="1134"/>
      <c r="H54" s="1135"/>
      <c r="I54" s="1135"/>
      <c r="J54" s="1134"/>
      <c r="K54" s="1134"/>
    </row>
    <row r="55" spans="1:13" x14ac:dyDescent="0.35">
      <c r="A55" s="413" t="s">
        <v>4351</v>
      </c>
      <c r="B55" s="1134"/>
      <c r="C55" s="1134"/>
      <c r="D55" s="1134"/>
      <c r="E55" s="1135"/>
      <c r="F55" s="1134"/>
      <c r="G55" s="1134"/>
      <c r="H55" s="1135"/>
      <c r="I55" s="1135"/>
      <c r="J55" s="1134"/>
      <c r="K55" s="1134"/>
    </row>
    <row r="56" spans="1:13" x14ac:dyDescent="0.35">
      <c r="A56" s="413" t="s">
        <v>4352</v>
      </c>
      <c r="B56" s="1134"/>
      <c r="C56" s="1134"/>
      <c r="D56" s="1134"/>
      <c r="E56" s="1135"/>
      <c r="F56" s="1134"/>
      <c r="G56" s="1134"/>
      <c r="H56" s="1135"/>
      <c r="I56" s="1135"/>
      <c r="J56" s="1134"/>
      <c r="K56" s="1134"/>
    </row>
    <row r="57" spans="1:13" x14ac:dyDescent="0.35">
      <c r="A57" s="413" t="s">
        <v>4353</v>
      </c>
      <c r="B57" s="1134"/>
      <c r="C57" s="1134"/>
      <c r="D57" s="1134"/>
      <c r="E57" s="1135"/>
      <c r="F57" s="1134"/>
      <c r="G57" s="1134"/>
      <c r="H57" s="1135"/>
      <c r="I57" s="1135"/>
      <c r="J57" s="1134"/>
      <c r="K57" s="1134"/>
    </row>
    <row r="58" spans="1:13" x14ac:dyDescent="0.35">
      <c r="A58" s="413" t="s">
        <v>4354</v>
      </c>
      <c r="B58" s="1134"/>
      <c r="C58" s="1134"/>
      <c r="D58" s="1134"/>
      <c r="E58" s="1135"/>
      <c r="F58" s="1134"/>
      <c r="G58" s="1134"/>
      <c r="H58" s="1135"/>
      <c r="I58" s="1135"/>
      <c r="J58" s="1134"/>
      <c r="K58" s="1134"/>
    </row>
    <row r="59" spans="1:13" x14ac:dyDescent="0.35">
      <c r="A59" s="413" t="s">
        <v>4355</v>
      </c>
      <c r="B59" s="1134"/>
      <c r="C59" s="1134"/>
      <c r="D59" s="1134"/>
      <c r="E59" s="1135"/>
      <c r="F59" s="1134"/>
      <c r="G59" s="1134"/>
      <c r="H59" s="1135"/>
      <c r="I59" s="1135"/>
      <c r="J59" s="1134"/>
      <c r="K59" s="1134"/>
    </row>
    <row r="60" spans="1:13" x14ac:dyDescent="0.35">
      <c r="A60" s="413" t="s">
        <v>4356</v>
      </c>
      <c r="B60" s="1134"/>
      <c r="C60" s="1134"/>
      <c r="D60" s="1134"/>
      <c r="E60" s="1135"/>
      <c r="F60" s="1134"/>
      <c r="G60" s="1134"/>
      <c r="H60" s="1135"/>
      <c r="I60" s="1135"/>
      <c r="J60" s="1134"/>
      <c r="K60" s="1134"/>
    </row>
    <row r="61" spans="1:13" x14ac:dyDescent="0.35">
      <c r="A61" s="413" t="s">
        <v>4357</v>
      </c>
      <c r="B61" s="1134"/>
      <c r="C61" s="1134"/>
      <c r="D61" s="1134"/>
      <c r="E61" s="1135"/>
      <c r="F61" s="1134"/>
      <c r="G61" s="1134"/>
      <c r="H61" s="1135"/>
      <c r="I61" s="1135"/>
      <c r="J61" s="1134"/>
      <c r="K61" s="1134"/>
    </row>
    <row r="62" spans="1:13" x14ac:dyDescent="0.35">
      <c r="A62" s="413" t="s">
        <v>4358</v>
      </c>
      <c r="B62" s="1134"/>
      <c r="C62" s="1134"/>
      <c r="D62" s="1134"/>
      <c r="E62" s="1135"/>
      <c r="F62" s="1134"/>
      <c r="G62" s="1134"/>
      <c r="H62" s="1135"/>
      <c r="I62" s="1135"/>
      <c r="J62" s="1134"/>
      <c r="K62" s="1134"/>
      <c r="L62" s="1076"/>
      <c r="M62" s="1076"/>
    </row>
    <row r="63" spans="1:13" x14ac:dyDescent="0.35">
      <c r="A63" s="413" t="s">
        <v>4359</v>
      </c>
      <c r="B63" s="1134"/>
      <c r="C63" s="1134"/>
      <c r="D63" s="1134"/>
      <c r="E63" s="1135"/>
      <c r="F63" s="1134"/>
      <c r="G63" s="1134"/>
      <c r="H63" s="1135"/>
      <c r="I63" s="1135"/>
      <c r="J63" s="1134"/>
      <c r="K63" s="1134"/>
    </row>
    <row r="64" spans="1:13" x14ac:dyDescent="0.35">
      <c r="A64" s="413" t="s">
        <v>4360</v>
      </c>
      <c r="B64" s="1134"/>
      <c r="C64" s="1134"/>
      <c r="D64" s="1134"/>
      <c r="E64" s="1135"/>
      <c r="F64" s="1134"/>
      <c r="G64" s="1134"/>
      <c r="H64" s="1135"/>
      <c r="I64" s="1135"/>
      <c r="J64" s="1134"/>
      <c r="K64" s="1134"/>
    </row>
    <row r="65" spans="1:13" x14ac:dyDescent="0.35">
      <c r="A65" s="413" t="s">
        <v>4361</v>
      </c>
      <c r="B65" s="1134"/>
      <c r="C65" s="1134"/>
      <c r="D65" s="1134"/>
      <c r="E65" s="1135"/>
      <c r="F65" s="1134"/>
      <c r="G65" s="1134"/>
      <c r="H65" s="1135"/>
      <c r="I65" s="1135"/>
      <c r="J65" s="1134"/>
      <c r="K65" s="1134"/>
    </row>
    <row r="66" spans="1:13" x14ac:dyDescent="0.35">
      <c r="A66" s="413" t="s">
        <v>4362</v>
      </c>
      <c r="B66" s="1134"/>
      <c r="C66" s="1134"/>
      <c r="D66" s="1134"/>
      <c r="E66" s="1135"/>
      <c r="F66" s="1134"/>
      <c r="G66" s="1134"/>
      <c r="H66" s="1135"/>
      <c r="I66" s="1135"/>
      <c r="J66" s="1134"/>
      <c r="K66" s="1134"/>
    </row>
    <row r="67" spans="1:13" x14ac:dyDescent="0.35">
      <c r="A67" s="413" t="s">
        <v>4363</v>
      </c>
      <c r="B67" s="1134"/>
      <c r="C67" s="1134"/>
      <c r="D67" s="1134"/>
      <c r="E67" s="1135"/>
      <c r="F67" s="1134"/>
      <c r="G67" s="1134"/>
      <c r="H67" s="1135"/>
      <c r="I67" s="1135"/>
      <c r="J67" s="1134"/>
      <c r="K67" s="1134"/>
    </row>
    <row r="68" spans="1:13" x14ac:dyDescent="0.35">
      <c r="A68" s="413" t="s">
        <v>4364</v>
      </c>
      <c r="B68" s="1134"/>
      <c r="C68" s="1134"/>
      <c r="D68" s="1134"/>
      <c r="E68" s="1135"/>
      <c r="F68" s="1134"/>
      <c r="G68" s="1134"/>
      <c r="H68" s="1135"/>
      <c r="I68" s="1135"/>
      <c r="J68" s="1134"/>
      <c r="K68" s="1134"/>
    </row>
    <row r="69" spans="1:13" x14ac:dyDescent="0.35">
      <c r="A69" s="413" t="s">
        <v>4365</v>
      </c>
      <c r="B69" s="1134"/>
      <c r="C69" s="1134"/>
      <c r="D69" s="1134"/>
      <c r="E69" s="1135"/>
      <c r="F69" s="1134"/>
      <c r="G69" s="1134"/>
      <c r="H69" s="1135"/>
      <c r="I69" s="1135"/>
      <c r="J69" s="1134"/>
      <c r="K69" s="1134"/>
    </row>
    <row r="70" spans="1:13" x14ac:dyDescent="0.35">
      <c r="B70" s="1134"/>
      <c r="C70" s="1134"/>
      <c r="D70" s="1134"/>
      <c r="E70" s="1135"/>
      <c r="F70" s="1134"/>
      <c r="G70" s="1134"/>
      <c r="H70" s="1135"/>
      <c r="I70" s="1135"/>
      <c r="J70" s="1134"/>
      <c r="K70" s="1134"/>
    </row>
    <row r="71" spans="1:13" x14ac:dyDescent="0.35">
      <c r="B71" s="1134"/>
      <c r="C71" s="1134"/>
      <c r="D71" s="1134"/>
      <c r="E71" s="1135"/>
      <c r="F71" s="1134"/>
      <c r="G71" s="1134"/>
      <c r="H71" s="1135"/>
      <c r="I71" s="1135"/>
      <c r="J71" s="1134"/>
      <c r="K71" s="1134"/>
      <c r="L71" s="1076"/>
      <c r="M71" s="1076"/>
    </row>
    <row r="72" spans="1:13" x14ac:dyDescent="0.35">
      <c r="B72" s="1134"/>
      <c r="C72" s="1134"/>
      <c r="D72" s="1134"/>
      <c r="E72" s="1135"/>
      <c r="F72" s="1134"/>
      <c r="G72" s="1134"/>
      <c r="H72" s="1135"/>
      <c r="I72" s="1135"/>
      <c r="J72" s="1134"/>
      <c r="K72" s="1134"/>
    </row>
    <row r="73" spans="1:13" x14ac:dyDescent="0.35">
      <c r="B73" s="1134"/>
      <c r="C73" s="1134"/>
      <c r="D73" s="1134"/>
      <c r="E73" s="1135"/>
      <c r="F73" s="1134"/>
      <c r="G73" s="1134"/>
      <c r="H73" s="1135"/>
      <c r="I73" s="1135"/>
      <c r="J73" s="1134"/>
      <c r="K73" s="1134"/>
    </row>
    <row r="74" spans="1:13" x14ac:dyDescent="0.35">
      <c r="B74" s="1134"/>
      <c r="C74" s="1134"/>
      <c r="D74" s="1134"/>
      <c r="E74" s="1135"/>
      <c r="F74" s="1134"/>
      <c r="G74" s="1134"/>
      <c r="H74" s="1135"/>
      <c r="I74" s="1135"/>
      <c r="J74" s="1134"/>
      <c r="K74" s="1134"/>
    </row>
    <row r="75" spans="1:13" x14ac:dyDescent="0.35">
      <c r="B75" s="1134"/>
      <c r="C75" s="1134"/>
      <c r="D75" s="1134"/>
      <c r="E75" s="1135"/>
      <c r="F75" s="1134"/>
      <c r="G75" s="1134"/>
      <c r="H75" s="1135"/>
      <c r="I75" s="1135"/>
      <c r="J75" s="1134"/>
      <c r="K75" s="1134"/>
    </row>
    <row r="76" spans="1:13" x14ac:dyDescent="0.35">
      <c r="B76" s="1134"/>
      <c r="C76" s="1134"/>
      <c r="D76" s="1134"/>
      <c r="E76" s="1135"/>
      <c r="F76" s="1134"/>
      <c r="G76" s="1134"/>
      <c r="H76" s="1135"/>
      <c r="I76" s="1135"/>
      <c r="J76" s="1134"/>
      <c r="K76" s="1134"/>
    </row>
    <row r="77" spans="1:13" x14ac:dyDescent="0.35">
      <c r="B77" s="1134"/>
      <c r="C77" s="1134"/>
      <c r="D77" s="1134"/>
      <c r="E77" s="1135"/>
      <c r="F77" s="1134"/>
      <c r="G77" s="1134"/>
      <c r="H77" s="1135"/>
      <c r="I77" s="1135"/>
      <c r="J77" s="1134"/>
      <c r="K77" s="1134"/>
    </row>
    <row r="78" spans="1:13" x14ac:dyDescent="0.35">
      <c r="B78" s="1134"/>
      <c r="C78" s="1134"/>
      <c r="D78" s="1134"/>
      <c r="E78" s="1135"/>
      <c r="F78" s="1134"/>
      <c r="G78" s="1134"/>
      <c r="H78" s="1135"/>
      <c r="I78" s="1135"/>
      <c r="J78" s="1134"/>
      <c r="K78" s="1134"/>
    </row>
    <row r="79" spans="1:13" x14ac:dyDescent="0.35">
      <c r="B79" s="1134"/>
      <c r="C79" s="1134"/>
      <c r="D79" s="1134"/>
      <c r="E79" s="1135"/>
      <c r="F79" s="1134"/>
      <c r="G79" s="1134"/>
      <c r="H79" s="1135"/>
      <c r="I79" s="1135"/>
      <c r="J79" s="1134"/>
      <c r="K79" s="1134"/>
    </row>
    <row r="80" spans="1:13" x14ac:dyDescent="0.35">
      <c r="B80" s="1134"/>
      <c r="C80" s="1134"/>
      <c r="D80" s="1134"/>
      <c r="E80" s="1135"/>
      <c r="F80" s="1134"/>
      <c r="G80" s="1134"/>
      <c r="H80" s="1135"/>
      <c r="I80" s="1135"/>
      <c r="J80" s="1134"/>
      <c r="K80" s="1134"/>
    </row>
    <row r="81" spans="2:11" x14ac:dyDescent="0.35">
      <c r="B81" s="1134"/>
      <c r="C81" s="1134"/>
      <c r="D81" s="1134"/>
      <c r="E81" s="1135"/>
      <c r="F81" s="1134"/>
      <c r="G81" s="1134"/>
      <c r="H81" s="1135"/>
      <c r="I81" s="1135"/>
      <c r="J81" s="1134"/>
      <c r="K81" s="1134"/>
    </row>
    <row r="82" spans="2:11" x14ac:dyDescent="0.35">
      <c r="B82" s="1134"/>
      <c r="C82" s="1134"/>
      <c r="D82" s="1134"/>
      <c r="E82" s="1135"/>
      <c r="F82" s="1134"/>
      <c r="G82" s="1134"/>
      <c r="H82" s="1135"/>
      <c r="I82" s="1135"/>
      <c r="J82" s="1134"/>
      <c r="K82" s="1134"/>
    </row>
    <row r="83" spans="2:11" x14ac:dyDescent="0.35">
      <c r="B83" s="1134"/>
      <c r="C83" s="1134"/>
      <c r="D83" s="1134"/>
      <c r="E83" s="1135"/>
      <c r="F83" s="1134"/>
      <c r="G83" s="1134"/>
      <c r="H83" s="1135"/>
      <c r="I83" s="1135"/>
      <c r="J83" s="1134"/>
      <c r="K83" s="1134"/>
    </row>
    <row r="84" spans="2:11" x14ac:dyDescent="0.35">
      <c r="B84" s="1134"/>
      <c r="C84" s="1134"/>
      <c r="D84" s="1134"/>
      <c r="E84" s="1135"/>
      <c r="F84" s="1134"/>
      <c r="G84" s="1134"/>
      <c r="H84" s="1135"/>
      <c r="I84" s="1135"/>
      <c r="J84" s="1134"/>
      <c r="K84" s="1134"/>
    </row>
    <row r="85" spans="2:11" x14ac:dyDescent="0.35">
      <c r="B85" s="1134"/>
      <c r="C85" s="1134"/>
      <c r="D85" s="1134"/>
      <c r="E85" s="1135"/>
      <c r="F85" s="1134"/>
      <c r="G85" s="1134"/>
      <c r="H85" s="1135"/>
      <c r="I85" s="1135"/>
      <c r="J85" s="1134"/>
      <c r="K85" s="1134"/>
    </row>
    <row r="86" spans="2:11" x14ac:dyDescent="0.35">
      <c r="B86" s="1134"/>
      <c r="C86" s="1134"/>
      <c r="D86" s="1134"/>
      <c r="E86" s="1135"/>
      <c r="F86" s="1134"/>
      <c r="G86" s="1134"/>
      <c r="H86" s="1135"/>
      <c r="I86" s="1135"/>
      <c r="J86" s="1134"/>
      <c r="K86" s="1134"/>
    </row>
    <row r="87" spans="2:11" x14ac:dyDescent="0.35">
      <c r="B87" s="1134"/>
      <c r="C87" s="1134"/>
      <c r="D87" s="1134"/>
      <c r="E87" s="1135"/>
      <c r="F87" s="1134"/>
      <c r="G87" s="1134"/>
      <c r="H87" s="1135"/>
      <c r="I87" s="1135"/>
      <c r="J87" s="1134"/>
      <c r="K87" s="1134"/>
    </row>
    <row r="88" spans="2:11" x14ac:dyDescent="0.35">
      <c r="B88" s="1134"/>
      <c r="C88" s="1134"/>
      <c r="D88" s="1134"/>
      <c r="E88" s="1135"/>
      <c r="F88" s="1134"/>
      <c r="G88" s="1134"/>
      <c r="H88" s="1135"/>
      <c r="I88" s="1135"/>
      <c r="J88" s="1134"/>
      <c r="K88" s="1134"/>
    </row>
    <row r="89" spans="2:11" x14ac:dyDescent="0.35">
      <c r="B89" s="1134"/>
      <c r="C89" s="1134"/>
      <c r="D89" s="1134"/>
      <c r="E89" s="1135"/>
      <c r="F89" s="1134"/>
      <c r="G89" s="1134"/>
      <c r="H89" s="1135"/>
      <c r="I89" s="1135"/>
      <c r="J89" s="1134"/>
      <c r="K89" s="1134"/>
    </row>
    <row r="90" spans="2:11" x14ac:dyDescent="0.35">
      <c r="B90" s="1134"/>
      <c r="C90" s="1134"/>
      <c r="D90" s="1134"/>
      <c r="E90" s="1135"/>
      <c r="F90" s="1134"/>
      <c r="G90" s="1134"/>
      <c r="H90" s="1135"/>
      <c r="I90" s="1135"/>
      <c r="J90" s="1134"/>
      <c r="K90" s="1134"/>
    </row>
    <row r="91" spans="2:11" x14ac:dyDescent="0.35">
      <c r="B91" s="1134"/>
      <c r="C91" s="1134"/>
      <c r="D91" s="1134"/>
      <c r="E91" s="1135"/>
      <c r="F91" s="1134"/>
      <c r="G91" s="1134"/>
      <c r="H91" s="1135"/>
      <c r="I91" s="1135"/>
      <c r="J91" s="1134"/>
      <c r="K91" s="1134"/>
    </row>
    <row r="92" spans="2:11" x14ac:dyDescent="0.35">
      <c r="B92" s="1134"/>
      <c r="C92" s="1134"/>
      <c r="D92" s="1134"/>
      <c r="E92" s="1135"/>
      <c r="F92" s="1134"/>
      <c r="G92" s="1134"/>
      <c r="H92" s="1135"/>
      <c r="I92" s="1135"/>
      <c r="J92" s="1134"/>
      <c r="K92" s="1134"/>
    </row>
    <row r="93" spans="2:11" x14ac:dyDescent="0.35">
      <c r="B93" s="1134"/>
      <c r="C93" s="1134"/>
      <c r="D93" s="1134"/>
      <c r="E93" s="1135"/>
      <c r="F93" s="1134"/>
      <c r="G93" s="1134"/>
      <c r="H93" s="1135"/>
      <c r="I93" s="1135"/>
      <c r="J93" s="1134"/>
      <c r="K93" s="1134"/>
    </row>
    <row r="94" spans="2:11" x14ac:dyDescent="0.35">
      <c r="B94" s="1134"/>
      <c r="C94" s="1134"/>
      <c r="D94" s="1134"/>
      <c r="E94" s="1135"/>
      <c r="F94" s="1134"/>
      <c r="G94" s="1134"/>
      <c r="H94" s="1135"/>
      <c r="I94" s="1135"/>
      <c r="J94" s="1134"/>
      <c r="K94" s="1134"/>
    </row>
    <row r="95" spans="2:11" x14ac:dyDescent="0.35">
      <c r="B95" s="1134"/>
      <c r="C95" s="1134"/>
      <c r="D95" s="1134"/>
      <c r="E95" s="1135"/>
      <c r="F95" s="1134"/>
      <c r="G95" s="1134"/>
      <c r="H95" s="1135"/>
      <c r="I95" s="1135"/>
      <c r="J95" s="1134"/>
      <c r="K95" s="1134"/>
    </row>
    <row r="96" spans="2:11" x14ac:dyDescent="0.35">
      <c r="B96" s="1134"/>
      <c r="C96" s="1134"/>
      <c r="D96" s="1134"/>
      <c r="E96" s="1135"/>
      <c r="F96" s="1134"/>
      <c r="G96" s="1134"/>
      <c r="H96" s="1135"/>
      <c r="I96" s="1135"/>
      <c r="J96" s="1134"/>
      <c r="K96" s="1134"/>
    </row>
    <row r="97" spans="2:11" x14ac:dyDescent="0.35">
      <c r="B97" s="1134"/>
      <c r="C97" s="1134"/>
      <c r="D97" s="1134"/>
      <c r="E97" s="1135"/>
      <c r="F97" s="1134"/>
      <c r="G97" s="1134"/>
      <c r="H97" s="1135"/>
      <c r="I97" s="1135"/>
      <c r="J97" s="1134"/>
      <c r="K97" s="1134"/>
    </row>
    <row r="98" spans="2:11" x14ac:dyDescent="0.35">
      <c r="B98" s="1134"/>
      <c r="C98" s="1134"/>
      <c r="D98" s="1134"/>
      <c r="E98" s="1135"/>
      <c r="F98" s="1134"/>
      <c r="G98" s="1134"/>
      <c r="H98" s="1135"/>
      <c r="I98" s="1135"/>
      <c r="J98" s="1134"/>
      <c r="K98" s="1134"/>
    </row>
    <row r="99" spans="2:11" x14ac:dyDescent="0.35">
      <c r="B99" s="1134"/>
      <c r="C99" s="1134"/>
      <c r="D99" s="1134"/>
      <c r="E99" s="1135"/>
      <c r="F99" s="1134"/>
      <c r="G99" s="1134"/>
      <c r="H99" s="1135"/>
      <c r="I99" s="1135"/>
      <c r="J99" s="1134"/>
      <c r="K99" s="1134"/>
    </row>
    <row r="100" spans="2:11" x14ac:dyDescent="0.35">
      <c r="B100" s="1134"/>
      <c r="C100" s="1134"/>
      <c r="D100" s="1134"/>
      <c r="E100" s="1135"/>
      <c r="F100" s="1134"/>
      <c r="G100" s="1134"/>
      <c r="H100" s="1135"/>
      <c r="I100" s="1135"/>
      <c r="J100" s="1134"/>
      <c r="K100" s="1134"/>
    </row>
    <row r="101" spans="2:11" x14ac:dyDescent="0.35">
      <c r="B101" s="1134"/>
      <c r="C101" s="1134"/>
      <c r="D101" s="1134"/>
      <c r="E101" s="1135"/>
      <c r="F101" s="1134"/>
      <c r="G101" s="1134"/>
      <c r="H101" s="1135"/>
      <c r="I101" s="1135"/>
      <c r="J101" s="1134"/>
      <c r="K101" s="1134"/>
    </row>
    <row r="102" spans="2:11" x14ac:dyDescent="0.35">
      <c r="B102" s="1134"/>
      <c r="C102" s="1134"/>
      <c r="D102" s="1134"/>
      <c r="E102" s="1135"/>
      <c r="F102" s="1134"/>
      <c r="G102" s="1134"/>
      <c r="H102" s="1135"/>
      <c r="I102" s="1135"/>
      <c r="J102" s="1134"/>
      <c r="K102" s="1134"/>
    </row>
    <row r="103" spans="2:11" x14ac:dyDescent="0.35">
      <c r="B103" s="1134"/>
      <c r="C103" s="1134"/>
      <c r="D103" s="1134"/>
      <c r="E103" s="1135"/>
      <c r="F103" s="1134"/>
      <c r="G103" s="1134"/>
      <c r="H103" s="1135"/>
      <c r="I103" s="1135"/>
      <c r="J103" s="1134"/>
      <c r="K103" s="1134"/>
    </row>
    <row r="104" spans="2:11" x14ac:dyDescent="0.35">
      <c r="B104" s="1134"/>
      <c r="C104" s="1134"/>
      <c r="D104" s="1134"/>
      <c r="E104" s="1135"/>
      <c r="F104" s="1134"/>
      <c r="G104" s="1134"/>
      <c r="H104" s="1135"/>
      <c r="I104" s="1135"/>
      <c r="J104" s="1134"/>
      <c r="K104" s="1134"/>
    </row>
    <row r="105" spans="2:11" x14ac:dyDescent="0.35">
      <c r="B105" s="1134"/>
      <c r="C105" s="1134"/>
      <c r="D105" s="1134"/>
      <c r="E105" s="1135"/>
      <c r="F105" s="1134"/>
      <c r="G105" s="1134"/>
      <c r="H105" s="1135"/>
      <c r="I105" s="1135"/>
      <c r="J105" s="1134"/>
      <c r="K105" s="1134"/>
    </row>
    <row r="106" spans="2:11" x14ac:dyDescent="0.35">
      <c r="B106" s="1134"/>
      <c r="C106" s="1134"/>
      <c r="D106" s="1134"/>
      <c r="E106" s="1135"/>
      <c r="F106" s="1134"/>
      <c r="G106" s="1134"/>
      <c r="H106" s="1135"/>
      <c r="I106" s="1135"/>
      <c r="J106" s="1134"/>
      <c r="K106" s="1134"/>
    </row>
    <row r="107" spans="2:11" x14ac:dyDescent="0.35">
      <c r="B107" s="1134"/>
      <c r="C107" s="1134"/>
      <c r="D107" s="1134"/>
      <c r="E107" s="1135"/>
      <c r="F107" s="1134"/>
      <c r="G107" s="1134"/>
      <c r="H107" s="1135"/>
      <c r="I107" s="1135"/>
      <c r="J107" s="1134"/>
      <c r="K107" s="1134"/>
    </row>
    <row r="108" spans="2:11" x14ac:dyDescent="0.35">
      <c r="B108" s="1134"/>
      <c r="C108" s="1134"/>
      <c r="D108" s="1134"/>
      <c r="E108" s="1135"/>
      <c r="F108" s="1134"/>
      <c r="G108" s="1134"/>
      <c r="H108" s="1135"/>
      <c r="I108" s="1135"/>
      <c r="J108" s="1134"/>
      <c r="K108" s="1134"/>
    </row>
    <row r="109" spans="2:11" x14ac:dyDescent="0.35">
      <c r="B109" s="1134"/>
      <c r="C109" s="1134"/>
      <c r="D109" s="1134"/>
      <c r="E109" s="1135"/>
      <c r="F109" s="1134"/>
      <c r="G109" s="1134"/>
      <c r="H109" s="1135"/>
      <c r="I109" s="1135"/>
      <c r="J109" s="1134"/>
      <c r="K109" s="1134"/>
    </row>
    <row r="110" spans="2:11" x14ac:dyDescent="0.35">
      <c r="B110" s="1134"/>
      <c r="C110" s="1134"/>
      <c r="D110" s="1134"/>
      <c r="E110" s="1135"/>
      <c r="F110" s="1134"/>
      <c r="G110" s="1134"/>
      <c r="H110" s="1135"/>
      <c r="I110" s="1135"/>
      <c r="J110" s="1134"/>
      <c r="K110" s="1134"/>
    </row>
    <row r="111" spans="2:11" x14ac:dyDescent="0.35">
      <c r="B111" s="1134"/>
      <c r="C111" s="1134"/>
      <c r="D111" s="1134"/>
      <c r="E111" s="1135"/>
      <c r="F111" s="1134"/>
      <c r="G111" s="1134"/>
      <c r="H111" s="1135"/>
      <c r="I111" s="1135"/>
      <c r="J111" s="1134"/>
      <c r="K111" s="1134"/>
    </row>
    <row r="112" spans="2:11" x14ac:dyDescent="0.35">
      <c r="B112" s="1134"/>
      <c r="C112" s="1134"/>
      <c r="D112" s="1134"/>
      <c r="E112" s="1135"/>
      <c r="F112" s="1134"/>
      <c r="G112" s="1134"/>
      <c r="H112" s="1135"/>
      <c r="I112" s="1135"/>
      <c r="J112" s="1134"/>
      <c r="K112" s="1134"/>
    </row>
    <row r="113" spans="2:11" x14ac:dyDescent="0.35">
      <c r="B113" s="1134"/>
      <c r="C113" s="1134"/>
      <c r="D113" s="1134"/>
      <c r="E113" s="1135"/>
      <c r="F113" s="1134"/>
      <c r="G113" s="1134"/>
      <c r="H113" s="1135"/>
      <c r="I113" s="1135"/>
      <c r="J113" s="1134"/>
      <c r="K113" s="1134"/>
    </row>
  </sheetData>
  <phoneticPr fontId="68" type="noConversion"/>
  <pageMargins left="0.19685" right="0.19685" top="0.19685" bottom="0.19685" header="0" footer="0"/>
  <pageSetup paperSize="9" orientation="portrait"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AB100"/>
  <sheetViews>
    <sheetView showGridLines="0" topLeftCell="C1" zoomScaleNormal="100" workbookViewId="0">
      <selection activeCell="C1" sqref="C1:Q3"/>
    </sheetView>
  </sheetViews>
  <sheetFormatPr defaultColWidth="9.1328125" defaultRowHeight="12.75" x14ac:dyDescent="0.35"/>
  <cols>
    <col min="1" max="1" width="7.86328125" style="7" hidden="1" customWidth="1"/>
    <col min="2" max="2" width="1.265625" style="7" customWidth="1"/>
    <col min="3" max="3" width="22.265625" style="7" bestFit="1" customWidth="1"/>
    <col min="4" max="4" width="7.1328125" style="1075" customWidth="1"/>
    <col min="5" max="5" width="11.73046875" style="1073" customWidth="1"/>
    <col min="6" max="6" width="3.86328125" style="7" customWidth="1"/>
    <col min="7" max="7" width="20.73046875" style="7" bestFit="1" customWidth="1"/>
    <col min="8" max="8" width="7.265625" style="1074" customWidth="1"/>
    <col min="9" max="9" width="11.73046875" style="878" customWidth="1"/>
    <col min="10" max="10" width="4.1328125" style="7" customWidth="1"/>
    <col min="11" max="11" width="7.3984375" style="1075" customWidth="1"/>
    <col min="12" max="12" width="13.265625" style="1073" customWidth="1"/>
    <col min="13" max="13" width="2.86328125" style="7" customWidth="1"/>
    <col min="14" max="14" width="7.3984375" style="1074" customWidth="1"/>
    <col min="15" max="15" width="12.86328125" style="878" customWidth="1"/>
    <col min="16" max="16" width="4.1328125" style="7" customWidth="1"/>
    <col min="17" max="17" width="7.3984375" style="7" customWidth="1"/>
    <col min="18" max="18" width="13.265625" style="7" customWidth="1"/>
    <col min="19" max="19" width="2.86328125" style="7" customWidth="1"/>
    <col min="20" max="20" width="7.3984375" style="7" customWidth="1"/>
    <col min="21" max="21" width="12.86328125" style="7" customWidth="1"/>
    <col min="22" max="22" width="4.1328125" style="7" customWidth="1"/>
    <col min="23" max="23" width="7.3984375" style="7" customWidth="1"/>
    <col min="24" max="24" width="13.265625" style="7" customWidth="1"/>
    <col min="25" max="25" width="2.86328125" style="7" customWidth="1"/>
    <col min="26" max="26" width="7.3984375" style="7" customWidth="1"/>
    <col min="27" max="27" width="13" style="7" customWidth="1"/>
    <col min="28" max="16384" width="9.1328125" style="7"/>
  </cols>
  <sheetData>
    <row r="1" spans="1:15" ht="13.15" x14ac:dyDescent="0.4">
      <c r="A1" s="7" t="s">
        <v>2719</v>
      </c>
      <c r="D1" s="1072" t="s">
        <v>2455</v>
      </c>
    </row>
    <row r="2" spans="1:15" ht="13.15" x14ac:dyDescent="0.4">
      <c r="A2" s="7" t="s">
        <v>2720</v>
      </c>
      <c r="D2" s="1072"/>
      <c r="J2" s="788" t="s">
        <v>1955</v>
      </c>
      <c r="K2" s="754"/>
      <c r="L2" s="754"/>
      <c r="M2" s="754"/>
      <c r="N2" s="754"/>
      <c r="O2" s="876"/>
    </row>
    <row r="3" spans="1:15" ht="13.15" x14ac:dyDescent="0.4">
      <c r="A3" s="7" t="s">
        <v>2721</v>
      </c>
      <c r="C3" s="1139" t="s">
        <v>4589</v>
      </c>
      <c r="D3" s="1072"/>
      <c r="J3" s="793"/>
      <c r="K3" s="416"/>
      <c r="L3" s="416"/>
      <c r="M3" s="416"/>
      <c r="N3" s="416"/>
      <c r="O3" s="38"/>
    </row>
    <row r="4" spans="1:15" x14ac:dyDescent="0.35">
      <c r="A4" s="7" t="s">
        <v>2722</v>
      </c>
    </row>
    <row r="5" spans="1:15" x14ac:dyDescent="0.35">
      <c r="A5" s="7" t="s">
        <v>2723</v>
      </c>
    </row>
    <row r="6" spans="1:15" x14ac:dyDescent="0.35">
      <c r="A6" s="7" t="s">
        <v>2724</v>
      </c>
    </row>
    <row r="7" spans="1:15" x14ac:dyDescent="0.35">
      <c r="A7" s="7" t="s">
        <v>3089</v>
      </c>
    </row>
    <row r="8" spans="1:15" x14ac:dyDescent="0.35">
      <c r="A8" s="7" t="s">
        <v>2725</v>
      </c>
    </row>
    <row r="9" spans="1:15" x14ac:dyDescent="0.35">
      <c r="A9" s="7" t="s">
        <v>2726</v>
      </c>
    </row>
    <row r="10" spans="1:15" x14ac:dyDescent="0.35">
      <c r="A10" s="7" t="s">
        <v>2727</v>
      </c>
    </row>
    <row r="11" spans="1:15" x14ac:dyDescent="0.35">
      <c r="A11" s="7" t="s">
        <v>2728</v>
      </c>
    </row>
    <row r="12" spans="1:15" x14ac:dyDescent="0.35">
      <c r="A12" s="7" t="s">
        <v>2729</v>
      </c>
    </row>
    <row r="13" spans="1:15" x14ac:dyDescent="0.35">
      <c r="A13" s="7" t="s">
        <v>2730</v>
      </c>
    </row>
    <row r="14" spans="1:15" x14ac:dyDescent="0.35">
      <c r="A14" s="7" t="s">
        <v>2731</v>
      </c>
    </row>
    <row r="15" spans="1:15" x14ac:dyDescent="0.35">
      <c r="A15" s="7" t="s">
        <v>2732</v>
      </c>
    </row>
    <row r="16" spans="1:15" x14ac:dyDescent="0.35">
      <c r="A16" s="7" t="s">
        <v>2733</v>
      </c>
    </row>
    <row r="17" spans="1:28" x14ac:dyDescent="0.35">
      <c r="A17" s="7" t="s">
        <v>2400</v>
      </c>
    </row>
    <row r="18" spans="1:28" x14ac:dyDescent="0.35">
      <c r="A18" s="7" t="s">
        <v>2460</v>
      </c>
    </row>
    <row r="19" spans="1:28" x14ac:dyDescent="0.35">
      <c r="A19" s="7" t="s">
        <v>2461</v>
      </c>
    </row>
    <row r="20" spans="1:28" x14ac:dyDescent="0.35">
      <c r="A20" s="7" t="s">
        <v>2462</v>
      </c>
    </row>
    <row r="21" spans="1:28" x14ac:dyDescent="0.35">
      <c r="A21" s="7" t="s">
        <v>2463</v>
      </c>
    </row>
    <row r="22" spans="1:28" x14ac:dyDescent="0.35">
      <c r="A22" s="7" t="s">
        <v>2464</v>
      </c>
      <c r="AB22" s="1117"/>
    </row>
    <row r="23" spans="1:28" x14ac:dyDescent="0.35">
      <c r="A23" s="7" t="s">
        <v>2465</v>
      </c>
    </row>
    <row r="24" spans="1:28" x14ac:dyDescent="0.35">
      <c r="A24" s="7" t="s">
        <v>2466</v>
      </c>
    </row>
    <row r="25" spans="1:28" x14ac:dyDescent="0.35">
      <c r="A25" s="7" t="s">
        <v>2467</v>
      </c>
    </row>
    <row r="26" spans="1:28" x14ac:dyDescent="0.35">
      <c r="A26" s="7" t="s">
        <v>2468</v>
      </c>
    </row>
    <row r="27" spans="1:28" x14ac:dyDescent="0.35">
      <c r="A27" s="7" t="s">
        <v>2469</v>
      </c>
    </row>
    <row r="28" spans="1:28" x14ac:dyDescent="0.35">
      <c r="A28" s="7" t="s">
        <v>2470</v>
      </c>
    </row>
    <row r="29" spans="1:28" x14ac:dyDescent="0.35">
      <c r="A29" s="7" t="s">
        <v>2471</v>
      </c>
    </row>
    <row r="30" spans="1:28" x14ac:dyDescent="0.35">
      <c r="A30" s="7" t="s">
        <v>2472</v>
      </c>
    </row>
    <row r="31" spans="1:28" x14ac:dyDescent="0.35">
      <c r="A31" s="7" t="s">
        <v>2473</v>
      </c>
    </row>
    <row r="32" spans="1:28" x14ac:dyDescent="0.35">
      <c r="A32" s="7" t="s">
        <v>2474</v>
      </c>
    </row>
    <row r="33" spans="1:28" x14ac:dyDescent="0.35">
      <c r="A33" s="7" t="s">
        <v>2475</v>
      </c>
    </row>
    <row r="34" spans="1:28" x14ac:dyDescent="0.35">
      <c r="A34" s="7" t="s">
        <v>2476</v>
      </c>
      <c r="AB34" s="1117"/>
    </row>
    <row r="35" spans="1:28" x14ac:dyDescent="0.35">
      <c r="A35" s="7" t="s">
        <v>2477</v>
      </c>
    </row>
    <row r="36" spans="1:28" x14ac:dyDescent="0.35">
      <c r="A36" s="7" t="s">
        <v>2478</v>
      </c>
    </row>
    <row r="37" spans="1:28" x14ac:dyDescent="0.35">
      <c r="A37" s="7" t="s">
        <v>2479</v>
      </c>
    </row>
    <row r="38" spans="1:28" x14ac:dyDescent="0.35">
      <c r="A38" s="7" t="s">
        <v>2480</v>
      </c>
    </row>
    <row r="39" spans="1:28" x14ac:dyDescent="0.35">
      <c r="A39" s="7" t="s">
        <v>2481</v>
      </c>
    </row>
    <row r="40" spans="1:28" x14ac:dyDescent="0.35">
      <c r="A40" s="7" t="s">
        <v>2482</v>
      </c>
    </row>
    <row r="41" spans="1:28" x14ac:dyDescent="0.35">
      <c r="A41" s="7" t="s">
        <v>2483</v>
      </c>
    </row>
    <row r="42" spans="1:28" x14ac:dyDescent="0.35">
      <c r="A42" s="7" t="s">
        <v>2484</v>
      </c>
    </row>
    <row r="43" spans="1:28" x14ac:dyDescent="0.35">
      <c r="A43" s="7" t="s">
        <v>2485</v>
      </c>
    </row>
    <row r="44" spans="1:28" x14ac:dyDescent="0.35">
      <c r="A44" s="7" t="s">
        <v>2486</v>
      </c>
    </row>
    <row r="45" spans="1:28" x14ac:dyDescent="0.35">
      <c r="A45" s="7" t="s">
        <v>2487</v>
      </c>
    </row>
    <row r="46" spans="1:28" x14ac:dyDescent="0.35">
      <c r="A46" s="7" t="s">
        <v>2488</v>
      </c>
    </row>
    <row r="47" spans="1:28" x14ac:dyDescent="0.35">
      <c r="A47" s="7" t="s">
        <v>2489</v>
      </c>
    </row>
    <row r="48" spans="1:28" x14ac:dyDescent="0.35">
      <c r="A48" s="7" t="s">
        <v>2490</v>
      </c>
    </row>
    <row r="49" spans="1:1" x14ac:dyDescent="0.35">
      <c r="A49" s="7" t="s">
        <v>2491</v>
      </c>
    </row>
    <row r="50" spans="1:1" x14ac:dyDescent="0.35">
      <c r="A50" s="7" t="s">
        <v>2492</v>
      </c>
    </row>
    <row r="51" spans="1:1" x14ac:dyDescent="0.35">
      <c r="A51" s="7" t="s">
        <v>2493</v>
      </c>
    </row>
    <row r="52" spans="1:1" x14ac:dyDescent="0.35">
      <c r="A52" s="7" t="s">
        <v>740</v>
      </c>
    </row>
    <row r="53" spans="1:1" x14ac:dyDescent="0.35">
      <c r="A53" s="7" t="s">
        <v>741</v>
      </c>
    </row>
    <row r="54" spans="1:1" x14ac:dyDescent="0.35">
      <c r="A54" s="7" t="s">
        <v>742</v>
      </c>
    </row>
    <row r="55" spans="1:1" x14ac:dyDescent="0.35">
      <c r="A55" s="7" t="s">
        <v>743</v>
      </c>
    </row>
    <row r="56" spans="1:1" x14ac:dyDescent="0.35">
      <c r="A56" s="7" t="s">
        <v>744</v>
      </c>
    </row>
    <row r="57" spans="1:1" x14ac:dyDescent="0.35">
      <c r="A57" s="7" t="s">
        <v>745</v>
      </c>
    </row>
    <row r="58" spans="1:1" x14ac:dyDescent="0.35">
      <c r="A58" s="7" t="s">
        <v>746</v>
      </c>
    </row>
    <row r="59" spans="1:1" x14ac:dyDescent="0.35">
      <c r="A59" s="7" t="s">
        <v>747</v>
      </c>
    </row>
    <row r="60" spans="1:1" x14ac:dyDescent="0.35">
      <c r="A60" s="7" t="s">
        <v>748</v>
      </c>
    </row>
    <row r="61" spans="1:1" x14ac:dyDescent="0.35">
      <c r="A61" s="7" t="s">
        <v>749</v>
      </c>
    </row>
    <row r="62" spans="1:1" x14ac:dyDescent="0.35">
      <c r="A62" s="7" t="s">
        <v>750</v>
      </c>
    </row>
    <row r="63" spans="1:1" x14ac:dyDescent="0.35">
      <c r="A63" s="7" t="s">
        <v>751</v>
      </c>
    </row>
    <row r="64" spans="1:1" x14ac:dyDescent="0.35">
      <c r="A64" s="7" t="s">
        <v>752</v>
      </c>
    </row>
    <row r="65" spans="1:1" x14ac:dyDescent="0.35">
      <c r="A65" s="7" t="s">
        <v>753</v>
      </c>
    </row>
    <row r="66" spans="1:1" x14ac:dyDescent="0.35">
      <c r="A66" s="7" t="s">
        <v>754</v>
      </c>
    </row>
    <row r="67" spans="1:1" x14ac:dyDescent="0.35">
      <c r="A67" s="7" t="s">
        <v>755</v>
      </c>
    </row>
    <row r="68" spans="1:1" x14ac:dyDescent="0.35">
      <c r="A68" s="7" t="s">
        <v>756</v>
      </c>
    </row>
    <row r="69" spans="1:1" x14ac:dyDescent="0.35">
      <c r="A69" s="7" t="s">
        <v>757</v>
      </c>
    </row>
    <row r="70" spans="1:1" x14ac:dyDescent="0.35">
      <c r="A70" s="7" t="s">
        <v>758</v>
      </c>
    </row>
    <row r="71" spans="1:1" x14ac:dyDescent="0.35">
      <c r="A71" s="7" t="s">
        <v>759</v>
      </c>
    </row>
    <row r="72" spans="1:1" x14ac:dyDescent="0.35">
      <c r="A72" s="7" t="s">
        <v>760</v>
      </c>
    </row>
    <row r="73" spans="1:1" x14ac:dyDescent="0.35">
      <c r="A73" s="7" t="s">
        <v>761</v>
      </c>
    </row>
    <row r="74" spans="1:1" x14ac:dyDescent="0.35">
      <c r="A74" s="7" t="s">
        <v>762</v>
      </c>
    </row>
    <row r="75" spans="1:1" x14ac:dyDescent="0.35">
      <c r="A75" s="7" t="s">
        <v>763</v>
      </c>
    </row>
    <row r="76" spans="1:1" x14ac:dyDescent="0.35">
      <c r="A76" s="7" t="s">
        <v>764</v>
      </c>
    </row>
    <row r="77" spans="1:1" x14ac:dyDescent="0.35">
      <c r="A77" s="7" t="s">
        <v>765</v>
      </c>
    </row>
    <row r="78" spans="1:1" x14ac:dyDescent="0.35">
      <c r="A78" s="7" t="s">
        <v>766</v>
      </c>
    </row>
    <row r="79" spans="1:1" x14ac:dyDescent="0.35">
      <c r="A79" s="7" t="s">
        <v>767</v>
      </c>
    </row>
    <row r="80" spans="1:1" x14ac:dyDescent="0.35">
      <c r="A80" s="7" t="s">
        <v>768</v>
      </c>
    </row>
    <row r="81" spans="1:1" x14ac:dyDescent="0.35">
      <c r="A81" s="7" t="s">
        <v>769</v>
      </c>
    </row>
    <row r="82" spans="1:1" x14ac:dyDescent="0.35">
      <c r="A82" s="7" t="s">
        <v>770</v>
      </c>
    </row>
    <row r="83" spans="1:1" x14ac:dyDescent="0.35">
      <c r="A83" s="7" t="s">
        <v>771</v>
      </c>
    </row>
    <row r="84" spans="1:1" x14ac:dyDescent="0.35">
      <c r="A84" s="7" t="s">
        <v>772</v>
      </c>
    </row>
    <row r="85" spans="1:1" x14ac:dyDescent="0.35">
      <c r="A85" s="7" t="s">
        <v>773</v>
      </c>
    </row>
    <row r="86" spans="1:1" x14ac:dyDescent="0.35">
      <c r="A86" s="7" t="s">
        <v>774</v>
      </c>
    </row>
    <row r="87" spans="1:1" x14ac:dyDescent="0.35">
      <c r="A87" s="7" t="s">
        <v>775</v>
      </c>
    </row>
    <row r="88" spans="1:1" x14ac:dyDescent="0.35">
      <c r="A88" s="7" t="s">
        <v>776</v>
      </c>
    </row>
    <row r="89" spans="1:1" x14ac:dyDescent="0.35">
      <c r="A89" s="7" t="s">
        <v>777</v>
      </c>
    </row>
    <row r="90" spans="1:1" x14ac:dyDescent="0.35">
      <c r="A90" s="7" t="s">
        <v>778</v>
      </c>
    </row>
    <row r="91" spans="1:1" x14ac:dyDescent="0.35">
      <c r="A91" s="7" t="s">
        <v>779</v>
      </c>
    </row>
    <row r="92" spans="1:1" x14ac:dyDescent="0.35">
      <c r="A92" s="7" t="s">
        <v>780</v>
      </c>
    </row>
    <row r="93" spans="1:1" x14ac:dyDescent="0.35">
      <c r="A93" s="7" t="s">
        <v>781</v>
      </c>
    </row>
    <row r="94" spans="1:1" x14ac:dyDescent="0.35">
      <c r="A94" s="7" t="s">
        <v>782</v>
      </c>
    </row>
    <row r="95" spans="1:1" x14ac:dyDescent="0.35">
      <c r="A95" s="7" t="s">
        <v>783</v>
      </c>
    </row>
    <row r="96" spans="1:1" x14ac:dyDescent="0.35">
      <c r="A96" s="7" t="s">
        <v>784</v>
      </c>
    </row>
    <row r="97" spans="1:1" x14ac:dyDescent="0.35">
      <c r="A97" s="7" t="s">
        <v>785</v>
      </c>
    </row>
    <row r="98" spans="1:1" x14ac:dyDescent="0.35">
      <c r="A98" s="7" t="s">
        <v>786</v>
      </c>
    </row>
    <row r="99" spans="1:1" x14ac:dyDescent="0.35">
      <c r="A99" s="7" t="s">
        <v>787</v>
      </c>
    </row>
    <row r="100" spans="1:1" x14ac:dyDescent="0.35">
      <c r="A100" s="7" t="s">
        <v>788</v>
      </c>
    </row>
  </sheetData>
  <phoneticPr fontId="68" type="noConversion"/>
  <pageMargins left="0.19685" right="0.19685" top="0.19685" bottom="0.19685" header="0" footer="0"/>
  <pageSetup paperSize="9" orientation="portrait"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W78"/>
  <sheetViews>
    <sheetView showGridLines="0" topLeftCell="B70" workbookViewId="0">
      <selection activeCell="I27" sqref="I27"/>
    </sheetView>
  </sheetViews>
  <sheetFormatPr defaultColWidth="9.1328125" defaultRowHeight="11.65" x14ac:dyDescent="0.35"/>
  <cols>
    <col min="1" max="1" width="5.265625" style="146" hidden="1" customWidth="1"/>
    <col min="2" max="2" width="1.73046875" style="146" customWidth="1"/>
    <col min="3" max="3" width="32.265625" style="146" customWidth="1"/>
    <col min="4" max="4" width="6.73046875" style="146" customWidth="1"/>
    <col min="5" max="5" width="6.3984375" style="433" customWidth="1"/>
    <col min="6" max="6" width="16" style="146" customWidth="1"/>
    <col min="7" max="7" width="18.265625" style="146" customWidth="1"/>
    <col min="8" max="8" width="6.1328125" style="433" customWidth="1"/>
    <col min="9" max="9" width="16" style="146" customWidth="1"/>
    <col min="10" max="10" width="18.265625" style="146" customWidth="1"/>
    <col min="11" max="11" width="6.73046875" style="433" customWidth="1"/>
    <col min="12" max="12" width="16" style="146" customWidth="1"/>
    <col min="13" max="13" width="6.265625" style="146" bestFit="1" customWidth="1"/>
    <col min="14" max="14" width="4.73046875" style="146" customWidth="1"/>
    <col min="15" max="15" width="9.1328125" style="146"/>
    <col min="16" max="16" width="5.86328125" style="146" customWidth="1"/>
    <col min="17" max="18" width="9.1328125" style="146"/>
    <col min="19" max="19" width="6.86328125" style="146" customWidth="1"/>
    <col min="20" max="20" width="9.1328125" style="146"/>
    <col min="21" max="21" width="3.86328125" style="146" customWidth="1"/>
    <col min="22" max="22" width="7.265625" style="146" customWidth="1"/>
    <col min="23" max="16384" width="9.1328125" style="146"/>
  </cols>
  <sheetData>
    <row r="1" spans="1:14" ht="20.65" x14ac:dyDescent="0.6">
      <c r="C1" s="2490" t="s">
        <v>5759</v>
      </c>
      <c r="N1" s="1141"/>
    </row>
    <row r="2" spans="1:14" x14ac:dyDescent="0.35">
      <c r="B2" s="43"/>
      <c r="C2" s="431"/>
      <c r="N2" s="1141"/>
    </row>
    <row r="3" spans="1:14" x14ac:dyDescent="0.35">
      <c r="B3" s="43"/>
      <c r="C3" s="1428" t="s">
        <v>2890</v>
      </c>
      <c r="H3" s="756" t="s">
        <v>1425</v>
      </c>
      <c r="I3" s="472"/>
      <c r="J3" s="710"/>
      <c r="K3" s="472"/>
      <c r="L3" s="445"/>
      <c r="M3" s="43"/>
      <c r="N3" s="1141"/>
    </row>
    <row r="4" spans="1:14" x14ac:dyDescent="0.35">
      <c r="B4" s="43"/>
      <c r="C4" s="759" t="s">
        <v>5387</v>
      </c>
      <c r="F4" s="3487" t="str">
        <f>"from "&amp;LUN&amp;LUN!C13</f>
        <v>from LUN8</v>
      </c>
      <c r="M4" s="43"/>
      <c r="N4" s="1141"/>
    </row>
    <row r="5" spans="1:14" x14ac:dyDescent="0.35">
      <c r="A5" s="122" t="s">
        <v>3478</v>
      </c>
      <c r="B5" s="43"/>
      <c r="C5" s="759" t="s">
        <v>3194</v>
      </c>
      <c r="E5" s="826" t="s">
        <v>3478</v>
      </c>
      <c r="F5" s="125">
        <f>TRUNC(LUN!D14,0)</f>
        <v>0</v>
      </c>
      <c r="G5" s="1076" t="s">
        <v>1837</v>
      </c>
      <c r="N5" s="1141"/>
    </row>
    <row r="6" spans="1:14" x14ac:dyDescent="0.35">
      <c r="A6" s="122" t="s">
        <v>3479</v>
      </c>
      <c r="B6" s="43"/>
      <c r="D6" s="759"/>
      <c r="E6" s="1778"/>
      <c r="N6" s="1141"/>
    </row>
    <row r="7" spans="1:14" x14ac:dyDescent="0.35">
      <c r="A7" s="122" t="s">
        <v>3480</v>
      </c>
      <c r="C7" s="759" t="s">
        <v>5388</v>
      </c>
      <c r="F7" s="766" t="str">
        <f>LUN&amp;LUN!G7&amp;" + "&amp;LUN&amp;LUN!G10&amp;" + "&amp;LUN&amp;LUN!G13</f>
        <v>LUN15 + LUN16 + LUN17</v>
      </c>
      <c r="N7" s="1141"/>
    </row>
    <row r="8" spans="1:14" x14ac:dyDescent="0.35">
      <c r="A8" s="122" t="s">
        <v>3481</v>
      </c>
      <c r="B8" s="43"/>
      <c r="C8" s="759" t="s">
        <v>5390</v>
      </c>
      <c r="E8" s="821" t="s">
        <v>3479</v>
      </c>
      <c r="F8" s="125">
        <f>TRUNC(LUN!H8,0)+TRUNC(LUN!H11,0)+TRUNC(LUN!H14,0)</f>
        <v>0</v>
      </c>
      <c r="G8" s="1076" t="s">
        <v>1837</v>
      </c>
      <c r="N8" s="1141"/>
    </row>
    <row r="9" spans="1:14" x14ac:dyDescent="0.35">
      <c r="A9" s="122" t="s">
        <v>3482</v>
      </c>
      <c r="B9" s="43"/>
      <c r="N9" s="1141"/>
    </row>
    <row r="10" spans="1:14" x14ac:dyDescent="0.35">
      <c r="A10" s="122" t="s">
        <v>3483</v>
      </c>
      <c r="B10" s="43"/>
      <c r="C10" s="3450" t="s">
        <v>5391</v>
      </c>
      <c r="D10" s="2873"/>
      <c r="E10" s="3451"/>
      <c r="F10" s="3452" t="str">
        <f>"from  "&amp;LUN&amp;LUN!G17</f>
        <v>from  LUN19</v>
      </c>
      <c r="G10" s="2873"/>
      <c r="N10" s="1141"/>
    </row>
    <row r="11" spans="1:14" x14ac:dyDescent="0.35">
      <c r="A11" s="122" t="s">
        <v>3484</v>
      </c>
      <c r="B11" s="43"/>
      <c r="C11" s="3450" t="s">
        <v>5392</v>
      </c>
      <c r="D11" s="2873"/>
      <c r="E11" s="3453" t="s">
        <v>3480</v>
      </c>
      <c r="F11" s="3454"/>
      <c r="G11" s="3455" t="s">
        <v>1837</v>
      </c>
      <c r="N11" s="1141"/>
    </row>
    <row r="12" spans="1:14" x14ac:dyDescent="0.35">
      <c r="A12" s="122" t="s">
        <v>3485</v>
      </c>
      <c r="B12" s="43"/>
      <c r="E12" s="146"/>
      <c r="H12" s="146"/>
      <c r="K12" s="146"/>
      <c r="N12" s="1141"/>
    </row>
    <row r="13" spans="1:14" x14ac:dyDescent="0.35">
      <c r="A13" s="122" t="s">
        <v>3486</v>
      </c>
      <c r="B13" s="43"/>
      <c r="C13" s="2873"/>
      <c r="D13" s="2873"/>
      <c r="E13" s="2873"/>
      <c r="F13" s="2874" t="str">
        <f>E8&amp;" minus "&amp;E11</f>
        <v>c21.2 minus c21.3</v>
      </c>
      <c r="G13" s="2873"/>
      <c r="H13" s="146"/>
      <c r="K13" s="146"/>
      <c r="N13" s="1141"/>
    </row>
    <row r="14" spans="1:14" x14ac:dyDescent="0.35">
      <c r="A14" s="122" t="s">
        <v>3487</v>
      </c>
      <c r="B14" s="43"/>
      <c r="C14" s="2873"/>
      <c r="D14" s="2873"/>
      <c r="E14" s="3453" t="s">
        <v>3481</v>
      </c>
      <c r="F14" s="3456"/>
      <c r="G14" s="2873"/>
      <c r="N14" s="1141"/>
    </row>
    <row r="15" spans="1:14" x14ac:dyDescent="0.35">
      <c r="A15" s="122" t="s">
        <v>3488</v>
      </c>
      <c r="B15" s="43"/>
      <c r="C15" s="43"/>
      <c r="N15" s="1141"/>
    </row>
    <row r="16" spans="1:14" x14ac:dyDescent="0.35">
      <c r="A16" s="122" t="s">
        <v>3489</v>
      </c>
      <c r="B16" s="43"/>
      <c r="E16" s="146"/>
      <c r="F16" s="1463" t="str">
        <f>E5&amp;" + "&amp;E8</f>
        <v>c21.1 + c21.2</v>
      </c>
      <c r="N16" s="1141"/>
    </row>
    <row r="17" spans="1:23" x14ac:dyDescent="0.35">
      <c r="B17" s="43"/>
      <c r="C17" s="759" t="s">
        <v>5393</v>
      </c>
      <c r="E17" s="821" t="s">
        <v>3482</v>
      </c>
      <c r="F17" s="1779">
        <f>F5+F8</f>
        <v>0</v>
      </c>
      <c r="N17" s="1141"/>
    </row>
    <row r="18" spans="1:23" x14ac:dyDescent="0.35">
      <c r="N18" s="1141"/>
    </row>
    <row r="19" spans="1:23" x14ac:dyDescent="0.35">
      <c r="B19" s="43"/>
      <c r="C19" s="43"/>
      <c r="F19" s="766" t="str">
        <f>"from "&amp;LUN&amp;LUN!K7</f>
        <v>from LUN52</v>
      </c>
      <c r="I19" s="44" t="str">
        <f>"lower of "&amp;E17&amp;" and "&amp;E20</f>
        <v>lower of c21.5 and c21.6</v>
      </c>
      <c r="N19" s="1141"/>
      <c r="O19" s="720"/>
      <c r="P19" s="407"/>
      <c r="Q19" s="398"/>
      <c r="S19" s="407"/>
      <c r="T19" s="398"/>
      <c r="V19" s="407"/>
      <c r="W19" s="141"/>
    </row>
    <row r="20" spans="1:23" x14ac:dyDescent="0.35">
      <c r="B20" s="43"/>
      <c r="C20" s="759" t="s">
        <v>5389</v>
      </c>
      <c r="E20" s="826" t="s">
        <v>3483</v>
      </c>
      <c r="F20" s="125">
        <f>TRUNC(LUN!L8,0)</f>
        <v>0</v>
      </c>
      <c r="G20" s="1076" t="s">
        <v>1837</v>
      </c>
      <c r="H20" s="826" t="s">
        <v>3484</v>
      </c>
      <c r="I20" s="1779">
        <f>MIN(F17,F20)</f>
        <v>0</v>
      </c>
      <c r="N20" s="1141"/>
      <c r="O20" s="720"/>
      <c r="P20" s="407"/>
      <c r="Q20" s="398"/>
      <c r="S20" s="407"/>
      <c r="T20" s="398"/>
      <c r="V20" s="407"/>
      <c r="W20" s="141"/>
    </row>
    <row r="21" spans="1:23" x14ac:dyDescent="0.35">
      <c r="B21" s="43"/>
      <c r="C21" s="43"/>
      <c r="D21" s="153"/>
      <c r="E21" s="59"/>
      <c r="F21" s="398"/>
      <c r="H21" s="59"/>
      <c r="I21" s="398"/>
      <c r="L21" s="3093" t="str">
        <f>"lower of "&amp;LUN&amp;LUN!C10&amp;" and"</f>
        <v>lower of LUN7 and</v>
      </c>
      <c r="N21" s="1141"/>
      <c r="O21" s="720"/>
      <c r="P21" s="407"/>
      <c r="Q21" s="398"/>
      <c r="S21" s="407"/>
      <c r="T21" s="398"/>
      <c r="V21" s="407"/>
      <c r="W21" s="141"/>
    </row>
    <row r="22" spans="1:23" x14ac:dyDescent="0.35">
      <c r="A22" s="2491" t="s">
        <v>6668</v>
      </c>
      <c r="B22" s="43"/>
      <c r="C22" s="43"/>
      <c r="D22" s="43"/>
      <c r="F22" s="109" t="str">
        <f>"from "&amp;'Taxable (c5)'!AK74</f>
        <v>from c5.76</v>
      </c>
      <c r="I22" s="44" t="str">
        <f>"lower of "&amp;H20&amp;" and "&amp;E23</f>
        <v>lower of c21.7 and c21.8</v>
      </c>
      <c r="J22" s="43"/>
      <c r="K22" s="1567"/>
      <c r="L22" s="3155" t="str">
        <f>H23&amp;" x DivBR_rate ("&amp;DivBR_rate*100&amp;"%)"</f>
        <v>c21.9 x DivBR_rate (7.5%)</v>
      </c>
      <c r="N22" s="1141"/>
      <c r="O22" s="720"/>
      <c r="P22" s="407"/>
      <c r="Q22" s="398"/>
      <c r="S22" s="407"/>
      <c r="T22" s="398"/>
      <c r="V22" s="407"/>
      <c r="W22" s="141"/>
    </row>
    <row r="23" spans="1:23" x14ac:dyDescent="0.35">
      <c r="A23" s="2492">
        <f>LUN!D11</f>
        <v>0</v>
      </c>
      <c r="B23" s="43"/>
      <c r="C23" s="759" t="s">
        <v>5760</v>
      </c>
      <c r="E23" s="826" t="s">
        <v>3485</v>
      </c>
      <c r="F23" s="1780">
        <f>'Taxable (c5)'!AL74</f>
        <v>0</v>
      </c>
      <c r="H23" s="826" t="s">
        <v>3486</v>
      </c>
      <c r="I23" s="1779">
        <f>MIN(I20,F23)</f>
        <v>0</v>
      </c>
      <c r="K23" s="826" t="s">
        <v>3487</v>
      </c>
      <c r="L23" s="144">
        <f>TRUNC((I23*DivBR_rate)+0.0099,2)</f>
        <v>0</v>
      </c>
      <c r="M23" s="1076" t="s">
        <v>1783</v>
      </c>
      <c r="N23" s="1141"/>
      <c r="P23" s="433"/>
      <c r="S23" s="433"/>
      <c r="V23" s="433"/>
    </row>
    <row r="24" spans="1:23" x14ac:dyDescent="0.35">
      <c r="B24" s="43"/>
      <c r="C24" s="43"/>
      <c r="D24" s="43"/>
      <c r="E24" s="59"/>
      <c r="L24" s="1463" t="str">
        <f>"Copy to box "&amp;'Tax adj (c9)'!I86</f>
        <v>Copy to box c9.26</v>
      </c>
      <c r="N24" s="1141"/>
      <c r="S24" s="433"/>
    </row>
    <row r="25" spans="1:23" x14ac:dyDescent="0.35">
      <c r="B25" s="43"/>
      <c r="C25" s="43"/>
      <c r="D25" s="43"/>
      <c r="E25" s="59"/>
      <c r="F25" s="44" t="str">
        <f>"lower of "&amp;E20&amp;" and "&amp;E23</f>
        <v>lower of c21.6 and c21.8</v>
      </c>
      <c r="I25" s="44" t="str">
        <f>E26&amp;" minus "&amp;H23</f>
        <v>c21.11 minus c21.9</v>
      </c>
      <c r="N25" s="1141"/>
      <c r="P25" s="433"/>
      <c r="S25" s="433"/>
    </row>
    <row r="26" spans="1:23" x14ac:dyDescent="0.35">
      <c r="A26" s="122" t="s">
        <v>2115</v>
      </c>
      <c r="C26" s="759" t="s">
        <v>5634</v>
      </c>
      <c r="D26" s="43"/>
      <c r="E26" s="826" t="s">
        <v>3488</v>
      </c>
      <c r="F26" s="1779">
        <f>MIN(F20,F23)</f>
        <v>0</v>
      </c>
      <c r="H26" s="826" t="s">
        <v>3489</v>
      </c>
      <c r="I26" s="1779">
        <f>MAX(0,F26-I23)</f>
        <v>0</v>
      </c>
      <c r="N26" s="1141"/>
      <c r="P26" s="433"/>
      <c r="S26" s="433"/>
    </row>
    <row r="27" spans="1:23" x14ac:dyDescent="0.35">
      <c r="A27" s="122" t="s">
        <v>2116</v>
      </c>
      <c r="C27" s="43"/>
      <c r="D27" s="43"/>
      <c r="E27" s="59"/>
      <c r="F27" s="398"/>
      <c r="H27" s="59"/>
      <c r="I27" s="109" t="str">
        <f>"Copy to box "&amp;'Div Cr (c10)'!F9</f>
        <v>Copy to box c10.2</v>
      </c>
      <c r="N27" s="1141"/>
    </row>
    <row r="28" spans="1:23" x14ac:dyDescent="0.35">
      <c r="A28" s="122" t="s">
        <v>2117</v>
      </c>
      <c r="B28" s="760"/>
      <c r="C28" s="1525"/>
      <c r="D28" s="1525"/>
      <c r="E28" s="1526"/>
      <c r="F28" s="1525"/>
      <c r="G28" s="1525"/>
      <c r="H28" s="1526"/>
      <c r="I28" s="1525"/>
      <c r="J28" s="1525"/>
      <c r="K28" s="1526"/>
      <c r="L28" s="1525"/>
      <c r="M28" s="1525"/>
      <c r="N28" s="1141"/>
    </row>
    <row r="29" spans="1:23" x14ac:dyDescent="0.35">
      <c r="A29" s="122" t="s">
        <v>2118</v>
      </c>
      <c r="B29" s="43"/>
      <c r="C29" s="1440"/>
      <c r="D29" s="1141"/>
      <c r="E29" s="1523"/>
      <c r="F29" s="1141"/>
      <c r="G29" s="1141"/>
      <c r="H29" s="1523"/>
      <c r="I29" s="1141"/>
      <c r="J29" s="1141"/>
      <c r="K29" s="1523"/>
      <c r="L29" s="1141"/>
      <c r="M29" s="1141"/>
      <c r="N29" s="1141"/>
    </row>
    <row r="30" spans="1:23" x14ac:dyDescent="0.35">
      <c r="A30" s="122" t="s">
        <v>2119</v>
      </c>
      <c r="C30" s="1428" t="s">
        <v>5762</v>
      </c>
    </row>
    <row r="31" spans="1:23" x14ac:dyDescent="0.35">
      <c r="A31" s="122" t="s">
        <v>2120</v>
      </c>
    </row>
    <row r="32" spans="1:23" x14ac:dyDescent="0.35">
      <c r="A32" s="122" t="s">
        <v>2645</v>
      </c>
      <c r="C32" s="1454" t="s">
        <v>5508</v>
      </c>
    </row>
    <row r="33" spans="1:14" x14ac:dyDescent="0.35">
      <c r="A33" s="122" t="s">
        <v>4096</v>
      </c>
      <c r="B33" s="43"/>
      <c r="C33" s="784"/>
      <c r="F33" s="143" t="str">
        <f>"from "&amp;'Taxable (c5)'!AK147</f>
        <v>from c5.84</v>
      </c>
      <c r="I33" s="44" t="str">
        <f>"lower of "&amp;'tax it (c6)'!R65&amp;" and "&amp;E34</f>
        <v>lower of c6.44 and c22.1</v>
      </c>
      <c r="L33" s="440" t="str">
        <f>H34&amp;" x AHR_rate ("&amp;AHR_rate*100&amp;"%)"</f>
        <v>c22.2 x AHR_rate (45%)</v>
      </c>
    </row>
    <row r="34" spans="1:14" x14ac:dyDescent="0.35">
      <c r="A34" s="122" t="s">
        <v>859</v>
      </c>
      <c r="C34" s="759" t="s">
        <v>5509</v>
      </c>
      <c r="E34" s="821" t="s">
        <v>2115</v>
      </c>
      <c r="F34" s="125">
        <f>'Taxable (c5)'!AL147</f>
        <v>0</v>
      </c>
      <c r="G34" s="143"/>
      <c r="H34" s="821" t="s">
        <v>2116</v>
      </c>
      <c r="I34" s="125">
        <f>MIN('tax it (c6)'!S65,F34)</f>
        <v>0</v>
      </c>
      <c r="J34" s="44"/>
      <c r="K34" s="821" t="s">
        <v>2117</v>
      </c>
      <c r="L34" s="144">
        <f>TRUNC((I34*AHR_rate)+0.0099,2)</f>
        <v>0</v>
      </c>
      <c r="M34" s="1076" t="s">
        <v>1783</v>
      </c>
    </row>
    <row r="35" spans="1:14" x14ac:dyDescent="0.35">
      <c r="A35" s="122" t="s">
        <v>860</v>
      </c>
    </row>
    <row r="36" spans="1:14" x14ac:dyDescent="0.35">
      <c r="A36" s="122" t="s">
        <v>3755</v>
      </c>
      <c r="B36" s="43"/>
      <c r="F36" s="44" t="str">
        <f>E34&amp;" minus "&amp;H34</f>
        <v>c22.1 minus c22.2</v>
      </c>
      <c r="I36" s="44" t="str">
        <f>"lower of "&amp;'tax it (c6)'!R61&amp;" and "&amp;E37</f>
        <v>lower of c6.43 and c22.4</v>
      </c>
      <c r="L36" s="440" t="str">
        <f>H37&amp;" x HR_rate ("&amp;HR_rate*100&amp;"%)"</f>
        <v>c22.5 x HR_rate (40%)</v>
      </c>
    </row>
    <row r="37" spans="1:14" x14ac:dyDescent="0.35">
      <c r="A37" s="122" t="s">
        <v>2615</v>
      </c>
      <c r="B37" s="43"/>
      <c r="E37" s="821" t="s">
        <v>2118</v>
      </c>
      <c r="F37" s="125">
        <f>MAX(0,F34-I34)</f>
        <v>0</v>
      </c>
      <c r="H37" s="821" t="s">
        <v>2119</v>
      </c>
      <c r="I37" s="125">
        <f>MIN('tax it (c6)'!S61,F37)</f>
        <v>0</v>
      </c>
      <c r="K37" s="821" t="s">
        <v>2120</v>
      </c>
      <c r="L37" s="144">
        <f>TRUNC((I37*HR_rate)+0.0099,2)</f>
        <v>0</v>
      </c>
      <c r="M37" s="1076" t="s">
        <v>1783</v>
      </c>
    </row>
    <row r="38" spans="1:14" x14ac:dyDescent="0.35">
      <c r="C38" s="759"/>
      <c r="M38" s="43"/>
    </row>
    <row r="39" spans="1:14" x14ac:dyDescent="0.35">
      <c r="C39" s="759"/>
      <c r="I39" s="44" t="str">
        <f>E37&amp;" minus "&amp;H37</f>
        <v>c22.4 minus c22.5</v>
      </c>
      <c r="L39" s="44" t="str">
        <f>H40&amp;" x BR_rate ("&amp;BR_rate*100&amp;"%)"</f>
        <v>c22.7 x BR_rate (20%)</v>
      </c>
      <c r="M39" s="43"/>
    </row>
    <row r="40" spans="1:14" x14ac:dyDescent="0.35">
      <c r="C40" s="759"/>
      <c r="H40" s="821" t="s">
        <v>2645</v>
      </c>
      <c r="I40" s="125">
        <f>MAX(0,F37-I37)</f>
        <v>0</v>
      </c>
      <c r="K40" s="821" t="s">
        <v>4096</v>
      </c>
      <c r="L40" s="144">
        <f>TRUNC((I40*BR_rate)+0.0099,2)</f>
        <v>0</v>
      </c>
      <c r="M40" s="1076" t="s">
        <v>1783</v>
      </c>
    </row>
    <row r="41" spans="1:14" x14ac:dyDescent="0.35">
      <c r="E41" s="146"/>
      <c r="H41" s="146"/>
      <c r="K41" s="146"/>
      <c r="M41" s="43"/>
    </row>
    <row r="42" spans="1:14" x14ac:dyDescent="0.35">
      <c r="C42" s="1452" t="s">
        <v>5507</v>
      </c>
      <c r="D42" s="153"/>
    </row>
    <row r="43" spans="1:14" x14ac:dyDescent="0.35">
      <c r="C43" s="759" t="s">
        <v>5510</v>
      </c>
      <c r="F43" s="109" t="str">
        <f>"from "&amp;'Taxable (c5)'!AK142</f>
        <v>from c5.83</v>
      </c>
      <c r="K43" s="59"/>
      <c r="L43" s="44" t="str">
        <f>E44&amp;" x BR_rate ("&amp;BR_rate*100&amp;"%)"</f>
        <v>c22.9 x BR_rate (20%)</v>
      </c>
      <c r="M43" s="43"/>
    </row>
    <row r="44" spans="1:14" x14ac:dyDescent="0.35">
      <c r="C44" s="759"/>
      <c r="E44" s="826" t="s">
        <v>859</v>
      </c>
      <c r="F44" s="125">
        <f>'Taxable (c5)'!AL142</f>
        <v>0</v>
      </c>
      <c r="K44" s="826" t="s">
        <v>860</v>
      </c>
      <c r="L44" s="144">
        <f>TRUNC((F44*BR_rate)+0.0099,2)</f>
        <v>0</v>
      </c>
      <c r="M44" s="1076" t="s">
        <v>1783</v>
      </c>
    </row>
    <row r="46" spans="1:14" x14ac:dyDescent="0.35">
      <c r="C46" s="1454" t="s">
        <v>4068</v>
      </c>
    </row>
    <row r="47" spans="1:14" x14ac:dyDescent="0.35">
      <c r="C47" s="431"/>
      <c r="L47" s="764" t="str">
        <f>"from TRU"&amp;TRU!O20</f>
        <v>from TRU23</v>
      </c>
    </row>
    <row r="48" spans="1:14" x14ac:dyDescent="0.35">
      <c r="C48" s="784" t="s">
        <v>5506</v>
      </c>
      <c r="K48" s="826" t="s">
        <v>3755</v>
      </c>
      <c r="L48" s="125">
        <f>TRUNC(TRU!P21+0.0099,2)</f>
        <v>0</v>
      </c>
      <c r="M48" s="1076" t="s">
        <v>1783</v>
      </c>
      <c r="N48" s="1141"/>
    </row>
    <row r="49" spans="1:14" x14ac:dyDescent="0.35">
      <c r="N49" s="1141"/>
    </row>
    <row r="50" spans="1:14" x14ac:dyDescent="0.35">
      <c r="L50" s="109" t="str">
        <f>K34&amp;" + "&amp;K37&amp;" + "&amp;K40&amp;" + "&amp;K44&amp;" + "&amp;K48</f>
        <v>c22.3 + c22.6 + c22.8 + c22.10 + c22.11</v>
      </c>
      <c r="N50" s="1141"/>
    </row>
    <row r="51" spans="1:14" x14ac:dyDescent="0.35">
      <c r="K51" s="826" t="s">
        <v>2615</v>
      </c>
      <c r="L51" s="144">
        <f>L34+L37+L40+L44+L48</f>
        <v>0</v>
      </c>
      <c r="M51" s="43"/>
      <c r="N51" s="1141"/>
    </row>
    <row r="52" spans="1:14" x14ac:dyDescent="0.35">
      <c r="L52" s="1463" t="str">
        <f>"Copy to box "&amp;'Tax adj (c9)'!I89</f>
        <v>Copy to box c9.27</v>
      </c>
      <c r="M52" s="43"/>
      <c r="N52" s="1141"/>
    </row>
    <row r="53" spans="1:14" x14ac:dyDescent="0.35">
      <c r="B53" s="1196"/>
      <c r="C53" s="1196"/>
      <c r="D53" s="1196"/>
      <c r="E53" s="2645"/>
      <c r="F53" s="1196"/>
      <c r="G53" s="1196"/>
      <c r="H53" s="2645"/>
      <c r="I53" s="1196"/>
      <c r="J53" s="1196"/>
      <c r="K53" s="2645"/>
      <c r="L53" s="1196"/>
      <c r="M53" s="1196"/>
    </row>
    <row r="54" spans="1:14" x14ac:dyDescent="0.35">
      <c r="A54" s="125" t="s">
        <v>2630</v>
      </c>
    </row>
    <row r="55" spans="1:14" x14ac:dyDescent="0.35">
      <c r="A55" s="125" t="s">
        <v>3994</v>
      </c>
      <c r="B55" s="1116"/>
      <c r="C55" s="2646" t="s">
        <v>2556</v>
      </c>
      <c r="D55" s="1116"/>
      <c r="E55" s="1116"/>
      <c r="F55" s="1116"/>
      <c r="G55" s="1116"/>
      <c r="H55" s="1116"/>
      <c r="I55" s="1116"/>
      <c r="J55" s="1116"/>
      <c r="K55" s="1116"/>
      <c r="L55" s="1116"/>
      <c r="M55" s="1116"/>
    </row>
    <row r="56" spans="1:14" x14ac:dyDescent="0.35">
      <c r="A56" s="125" t="s">
        <v>3995</v>
      </c>
      <c r="B56" s="1116"/>
      <c r="C56" s="1116" t="str">
        <f>"You only need to complete section c23 if you made an entry in box "&amp;AOR&amp;AOR!G11</f>
        <v>You only need to complete section c23 if you made an entry in box AOR9</v>
      </c>
      <c r="D56" s="1116"/>
      <c r="E56" s="1116"/>
      <c r="F56" s="1116"/>
      <c r="G56" s="1116"/>
      <c r="H56" s="1116"/>
      <c r="I56" s="1116"/>
      <c r="J56" s="1116"/>
      <c r="K56" s="1116"/>
      <c r="L56" s="1116"/>
      <c r="M56" s="1116"/>
    </row>
    <row r="57" spans="1:14" x14ac:dyDescent="0.35">
      <c r="A57" s="125" t="s">
        <v>1634</v>
      </c>
      <c r="B57" s="2647"/>
      <c r="C57" s="1116"/>
      <c r="D57" s="1116"/>
      <c r="E57" s="2648"/>
      <c r="F57" s="1116"/>
      <c r="G57" s="1116"/>
      <c r="H57" s="2648"/>
      <c r="I57" s="1116"/>
      <c r="J57" s="1116"/>
      <c r="K57" s="2648"/>
      <c r="L57" s="1116"/>
      <c r="M57" s="1116"/>
    </row>
    <row r="58" spans="1:14" ht="12.75" x14ac:dyDescent="0.35">
      <c r="A58" s="125" t="s">
        <v>1635</v>
      </c>
      <c r="B58" s="1116"/>
      <c r="C58" s="2649" t="str">
        <f>"If box "&amp;AOR&amp;AOR!G11&amp;" = 0 (zero)"</f>
        <v>If box AOR9 = 0 (zero)</v>
      </c>
      <c r="D58" s="1116"/>
      <c r="E58" s="2648"/>
      <c r="F58" s="1116"/>
      <c r="G58" s="1116"/>
      <c r="H58" s="2648"/>
      <c r="I58" s="1116"/>
      <c r="J58" s="1116"/>
      <c r="K58" s="2648"/>
      <c r="L58" s="1116"/>
      <c r="M58" s="1116"/>
    </row>
    <row r="59" spans="1:14" ht="12.75" x14ac:dyDescent="0.35">
      <c r="A59" s="125" t="s">
        <v>1636</v>
      </c>
      <c r="B59" s="2647"/>
      <c r="C59" s="2659" t="str">
        <f>E63&amp;" to "&amp;K75&amp;" = 0 (zero)"</f>
        <v>c23.1 to c23.11 = 0 (zero)</v>
      </c>
      <c r="D59" s="1116"/>
      <c r="E59" s="2648"/>
      <c r="F59" s="1116"/>
      <c r="G59" s="1116"/>
      <c r="H59" s="2648"/>
      <c r="I59" s="1116"/>
      <c r="J59" s="1116"/>
      <c r="K59" s="2648"/>
      <c r="L59" s="1116"/>
      <c r="M59" s="1116"/>
    </row>
    <row r="60" spans="1:14" ht="12.75" x14ac:dyDescent="0.35">
      <c r="A60" s="125" t="s">
        <v>1637</v>
      </c>
      <c r="B60" s="2647"/>
      <c r="C60" s="2649" t="s">
        <v>6887</v>
      </c>
      <c r="D60" s="1116"/>
      <c r="E60" s="2648"/>
      <c r="F60" s="1116"/>
      <c r="G60" s="1116"/>
      <c r="H60" s="2648"/>
      <c r="I60" s="1116"/>
      <c r="J60" s="1116"/>
      <c r="K60" s="2648"/>
      <c r="L60" s="1116"/>
      <c r="M60" s="1116"/>
    </row>
    <row r="61" spans="1:14" x14ac:dyDescent="0.35">
      <c r="A61" s="125" t="s">
        <v>3756</v>
      </c>
      <c r="B61" s="1116"/>
      <c r="C61" s="1116"/>
      <c r="D61" s="1116"/>
      <c r="E61" s="2648"/>
      <c r="F61" s="1116"/>
      <c r="G61" s="1116"/>
      <c r="H61" s="2648"/>
      <c r="I61" s="1116"/>
      <c r="J61" s="1116"/>
      <c r="K61" s="2648"/>
      <c r="L61" s="1116"/>
      <c r="M61" s="1116"/>
    </row>
    <row r="62" spans="1:14" ht="12.75" x14ac:dyDescent="0.35">
      <c r="A62" s="125" t="s">
        <v>3670</v>
      </c>
      <c r="B62" s="1116"/>
      <c r="C62" s="2649"/>
      <c r="D62" s="1116"/>
      <c r="E62" s="2648"/>
      <c r="F62" s="2635" t="str">
        <f>"from "&amp;'tax it (c6)'!N65</f>
        <v>from c6.34</v>
      </c>
      <c r="G62" s="1116"/>
      <c r="H62" s="2648"/>
      <c r="I62" s="1116"/>
      <c r="J62" s="1116"/>
      <c r="K62" s="2648"/>
      <c r="L62" s="1116"/>
      <c r="M62" s="1116"/>
    </row>
    <row r="63" spans="1:14" x14ac:dyDescent="0.35">
      <c r="B63" s="2650"/>
      <c r="C63" s="2650"/>
      <c r="D63" s="1505" t="s">
        <v>1496</v>
      </c>
      <c r="E63" s="2651" t="s">
        <v>2630</v>
      </c>
      <c r="F63" s="2652">
        <f>'tax it (c6)'!O65</f>
        <v>0</v>
      </c>
      <c r="G63" s="1116"/>
      <c r="H63" s="2648"/>
      <c r="I63" s="1116"/>
      <c r="J63" s="1116"/>
      <c r="K63" s="2648"/>
      <c r="L63" s="1116"/>
      <c r="M63" s="1116"/>
    </row>
    <row r="64" spans="1:14" x14ac:dyDescent="0.35">
      <c r="B64" s="1116"/>
      <c r="C64" s="1116"/>
      <c r="D64" s="1116"/>
      <c r="E64" s="2648"/>
      <c r="F64" s="1116"/>
      <c r="G64" s="2647"/>
      <c r="H64" s="2648"/>
      <c r="I64" s="1116"/>
      <c r="J64" s="1116"/>
      <c r="K64" s="2648"/>
      <c r="L64" s="1116"/>
      <c r="M64" s="1116"/>
    </row>
    <row r="65" spans="2:13" x14ac:dyDescent="0.35">
      <c r="B65" s="1116"/>
      <c r="C65" s="1116"/>
      <c r="D65" s="1116"/>
      <c r="E65" s="1116"/>
      <c r="F65" s="2653" t="str">
        <f>INC&amp;'INC(1)'!I13&amp;" + "&amp;AOI&amp;AOI!G28</f>
        <v>INC4 + AOI13</v>
      </c>
      <c r="G65" s="1116"/>
      <c r="H65" s="2654"/>
      <c r="I65" s="2635" t="str">
        <f>"lower of "&amp;E63&amp;" and "&amp;E66</f>
        <v>lower of c23.1 and c23.2</v>
      </c>
      <c r="J65" s="1116"/>
      <c r="K65" s="2654"/>
      <c r="L65" s="2635" t="str">
        <f>H66&amp;" x (divAR_rate) ("&amp;(DivAR_rate)*100&amp;"%)"</f>
        <v>c23.3 x (divAR_rate) (38.1%)</v>
      </c>
      <c r="M65" s="1116"/>
    </row>
    <row r="66" spans="2:13" x14ac:dyDescent="0.35">
      <c r="B66" s="2655"/>
      <c r="C66" s="1116"/>
      <c r="D66" s="1116"/>
      <c r="E66" s="2651" t="s">
        <v>3994</v>
      </c>
      <c r="F66" s="2652">
        <f>TRUNC('INC(1)'!J14+AOI!H29+0.99,0)</f>
        <v>0</v>
      </c>
      <c r="G66" s="2656" t="s">
        <v>3966</v>
      </c>
      <c r="H66" s="2651" t="s">
        <v>3995</v>
      </c>
      <c r="I66" s="2652">
        <f>MIN(F63,F66)</f>
        <v>0</v>
      </c>
      <c r="J66" s="1116"/>
      <c r="K66" s="2651" t="s">
        <v>1634</v>
      </c>
      <c r="L66" s="2657">
        <f>TRUNC(I66*(DivAR_rate)+0.0099,2)</f>
        <v>0</v>
      </c>
      <c r="M66" s="2658" t="s">
        <v>1783</v>
      </c>
    </row>
    <row r="67" spans="2:13" x14ac:dyDescent="0.35">
      <c r="B67" s="1116"/>
      <c r="C67" s="1116"/>
      <c r="D67" s="1116"/>
      <c r="E67" s="1116"/>
      <c r="F67" s="1116"/>
      <c r="G67" s="1116"/>
      <c r="H67" s="2648"/>
      <c r="I67" s="1116"/>
      <c r="J67" s="1116"/>
      <c r="K67" s="2648"/>
      <c r="L67" s="1116"/>
      <c r="M67" s="1116"/>
    </row>
    <row r="68" spans="2:13" x14ac:dyDescent="0.35">
      <c r="B68" s="1116"/>
      <c r="C68" s="1116"/>
      <c r="D68" s="1116"/>
      <c r="E68" s="2648"/>
      <c r="F68" s="2635" t="str">
        <f>"from "&amp;'tax it (c6)'!N61</f>
        <v>from c6.33</v>
      </c>
      <c r="G68" s="1116"/>
      <c r="H68" s="2648"/>
      <c r="I68" s="1116"/>
      <c r="J68" s="1116"/>
      <c r="K68" s="2648"/>
      <c r="L68" s="1116"/>
      <c r="M68" s="1116"/>
    </row>
    <row r="69" spans="2:13" x14ac:dyDescent="0.35">
      <c r="B69" s="1116"/>
      <c r="C69" s="1116"/>
      <c r="D69" s="1505" t="s">
        <v>1896</v>
      </c>
      <c r="E69" s="2651" t="s">
        <v>1635</v>
      </c>
      <c r="F69" s="2652">
        <f>'tax it (c6)'!O61</f>
        <v>0</v>
      </c>
      <c r="G69" s="1116"/>
      <c r="H69" s="2648"/>
      <c r="I69" s="1116"/>
      <c r="J69" s="1116"/>
      <c r="K69" s="2648"/>
      <c r="L69" s="1116"/>
      <c r="M69" s="1116"/>
    </row>
    <row r="70" spans="2:13" x14ac:dyDescent="0.35">
      <c r="B70" s="1116"/>
      <c r="C70" s="1116"/>
      <c r="D70" s="2647"/>
      <c r="E70" s="2648"/>
      <c r="F70" s="1116"/>
      <c r="G70" s="1116"/>
      <c r="H70" s="2648"/>
      <c r="I70" s="1116"/>
      <c r="J70" s="1116"/>
      <c r="K70" s="2648"/>
      <c r="L70" s="1116"/>
      <c r="M70" s="1116"/>
    </row>
    <row r="71" spans="2:13" x14ac:dyDescent="0.35">
      <c r="B71" s="1116"/>
      <c r="C71" s="1116"/>
      <c r="D71" s="1116"/>
      <c r="E71" s="2648"/>
      <c r="F71" s="1510" t="str">
        <f>E66&amp;" minus "&amp;H66</f>
        <v>c23.2 minus c23.3</v>
      </c>
      <c r="G71" s="1116"/>
      <c r="H71" s="2648"/>
      <c r="I71" s="2635" t="str">
        <f>"lower of "&amp;E69&amp;" and "&amp;E72</f>
        <v>lower of c23.5 and c23.6</v>
      </c>
      <c r="J71" s="1116"/>
      <c r="K71" s="2648"/>
      <c r="L71" s="2635" t="str">
        <f>H72&amp;" x (divHR_rate) ("&amp;(DivHR_rate)*100&amp;"%)"</f>
        <v>c23.7 x (divHR_rate) (32.5%)</v>
      </c>
      <c r="M71" s="1116"/>
    </row>
    <row r="72" spans="2:13" x14ac:dyDescent="0.35">
      <c r="B72" s="1116"/>
      <c r="C72" s="1116"/>
      <c r="D72" s="1116"/>
      <c r="E72" s="2651" t="s">
        <v>1636</v>
      </c>
      <c r="F72" s="2652">
        <f>MAX(0,F66-I66)</f>
        <v>0</v>
      </c>
      <c r="G72" s="1116"/>
      <c r="H72" s="2651" t="s">
        <v>1637</v>
      </c>
      <c r="I72" s="2652">
        <f>MIN(F69,F72)</f>
        <v>0</v>
      </c>
      <c r="J72" s="1116"/>
      <c r="K72" s="2651" t="s">
        <v>3756</v>
      </c>
      <c r="L72" s="2657">
        <f>TRUNC(I72*(DivHR_rate)+0.0099,2)</f>
        <v>0</v>
      </c>
      <c r="M72" s="2658" t="s">
        <v>2872</v>
      </c>
    </row>
    <row r="73" spans="2:13" x14ac:dyDescent="0.35">
      <c r="B73" s="1116"/>
      <c r="C73" s="1116"/>
      <c r="D73" s="1116"/>
      <c r="E73" s="2648"/>
      <c r="F73" s="1116"/>
      <c r="G73" s="2647"/>
      <c r="H73" s="2648"/>
      <c r="I73" s="2647"/>
      <c r="J73" s="2647"/>
      <c r="K73" s="2654"/>
      <c r="L73" s="1116"/>
      <c r="M73" s="2658"/>
    </row>
    <row r="74" spans="2:13" x14ac:dyDescent="0.35">
      <c r="B74" s="1116"/>
      <c r="C74" s="1116"/>
      <c r="D74" s="1116"/>
      <c r="E74" s="2654"/>
      <c r="F74" s="2653" t="str">
        <f>"from "&amp;AOR&amp;AOR!G11</f>
        <v>from AOR9</v>
      </c>
      <c r="G74" s="1116"/>
      <c r="H74" s="2648"/>
      <c r="I74" s="1510" t="str">
        <f>K66&amp;" + "&amp;K72</f>
        <v>c23.4 + c23.8</v>
      </c>
      <c r="J74" s="1116"/>
      <c r="K74" s="2648"/>
      <c r="L74" s="2635" t="str">
        <f>"lower of "&amp;E75&amp;" and "&amp;H75</f>
        <v>lower of c23.9 and c23.10</v>
      </c>
      <c r="M74" s="1116"/>
    </row>
    <row r="75" spans="2:13" x14ac:dyDescent="0.35">
      <c r="B75" s="1116"/>
      <c r="C75" s="2647"/>
      <c r="D75" s="1116"/>
      <c r="E75" s="2651" t="s">
        <v>3670</v>
      </c>
      <c r="F75" s="2657">
        <f>AOR!H12</f>
        <v>0</v>
      </c>
      <c r="G75" s="1116"/>
      <c r="H75" s="2651" t="s">
        <v>6888</v>
      </c>
      <c r="I75" s="2652">
        <f>L66+L72</f>
        <v>0</v>
      </c>
      <c r="J75" s="2647"/>
      <c r="K75" s="2651" t="s">
        <v>6889</v>
      </c>
      <c r="L75" s="2657">
        <f>MIN(F75,I75)</f>
        <v>0</v>
      </c>
      <c r="M75" s="1116"/>
    </row>
    <row r="76" spans="2:13" x14ac:dyDescent="0.35">
      <c r="B76" s="1116"/>
      <c r="C76" s="1116"/>
      <c r="D76" s="1116"/>
      <c r="E76" s="2648"/>
      <c r="F76" s="1116"/>
      <c r="G76" s="1116"/>
      <c r="H76" s="2648"/>
      <c r="I76" s="1116"/>
      <c r="J76" s="1116"/>
      <c r="K76" s="2648"/>
      <c r="L76" s="1510" t="str">
        <f>"Copy to box "&amp;'Tax adj (c9)'!L95</f>
        <v>Copy to box c9.29</v>
      </c>
      <c r="M76" s="1116"/>
    </row>
    <row r="77" spans="2:13" ht="12.75" x14ac:dyDescent="0.35">
      <c r="B77" s="1116"/>
      <c r="C77" s="2649" t="s">
        <v>2638</v>
      </c>
      <c r="D77" s="1116"/>
      <c r="E77" s="2648"/>
      <c r="F77" s="1116"/>
      <c r="G77" s="1116"/>
      <c r="H77" s="2648"/>
      <c r="I77" s="1116"/>
      <c r="J77" s="1116"/>
      <c r="K77" s="2648"/>
      <c r="L77" s="1116"/>
      <c r="M77" s="1116"/>
    </row>
    <row r="78" spans="2:13" x14ac:dyDescent="0.35">
      <c r="B78" s="1196"/>
      <c r="C78" s="1196"/>
      <c r="D78" s="1196"/>
      <c r="E78" s="2645"/>
      <c r="F78" s="1196"/>
      <c r="G78" s="1196"/>
      <c r="H78" s="2645"/>
      <c r="I78" s="1196"/>
      <c r="J78" s="1196"/>
      <c r="K78" s="2645"/>
      <c r="L78" s="1196"/>
      <c r="M78" s="1196"/>
    </row>
  </sheetData>
  <phoneticPr fontId="68" type="noConversion"/>
  <pageMargins left="0.19685039370078741" right="0.19685039370078741" top="0.19685039370078741" bottom="0.19685039370078741" header="0" footer="0"/>
  <pageSetup paperSize="9" orientation="portrait"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rgb="FFFFFF99"/>
  </sheetPr>
  <dimension ref="A1:P82"/>
  <sheetViews>
    <sheetView showGridLines="0" topLeftCell="B49" workbookViewId="0">
      <selection activeCell="I42" sqref="I42"/>
    </sheetView>
  </sheetViews>
  <sheetFormatPr defaultColWidth="9.1328125" defaultRowHeight="11.65" x14ac:dyDescent="0.35"/>
  <cols>
    <col min="1" max="1" width="6" style="40" hidden="1" customWidth="1"/>
    <col min="2" max="2" width="1.73046875" style="40" customWidth="1"/>
    <col min="3" max="3" width="32.265625" style="40" customWidth="1"/>
    <col min="4" max="4" width="6.73046875" style="40" customWidth="1"/>
    <col min="5" max="5" width="8.265625" style="40" customWidth="1"/>
    <col min="6" max="6" width="13.265625" style="40" customWidth="1"/>
    <col min="7" max="7" width="18.265625" style="40" customWidth="1"/>
    <col min="8" max="8" width="6.1328125" style="40" customWidth="1"/>
    <col min="9" max="9" width="13.265625" style="40" customWidth="1"/>
    <col min="10" max="10" width="18.265625" style="40" customWidth="1"/>
    <col min="11" max="11" width="6.73046875" style="40" customWidth="1"/>
    <col min="12" max="12" width="13.265625" style="40" customWidth="1"/>
    <col min="13" max="13" width="28.86328125" style="40" customWidth="1"/>
    <col min="14" max="16384" width="9.1328125" style="40"/>
  </cols>
  <sheetData>
    <row r="1" spans="1:13" ht="20.65" x14ac:dyDescent="0.6">
      <c r="A1" s="125" t="s">
        <v>6914</v>
      </c>
      <c r="B1" s="2779" t="s">
        <v>6938</v>
      </c>
      <c r="C1" s="1970"/>
      <c r="D1" s="1970"/>
      <c r="E1" s="2753"/>
      <c r="F1" s="1970"/>
      <c r="G1" s="1970"/>
      <c r="H1" s="2753"/>
      <c r="I1" s="1970"/>
      <c r="J1" s="1970"/>
      <c r="K1" s="2753"/>
      <c r="L1" s="1970"/>
      <c r="M1" s="1970"/>
    </row>
    <row r="2" spans="1:13" x14ac:dyDescent="0.35">
      <c r="A2" s="125" t="s">
        <v>6915</v>
      </c>
      <c r="B2" s="1970"/>
      <c r="C2" s="1970"/>
      <c r="D2" s="1970"/>
      <c r="E2" s="2754" t="s">
        <v>884</v>
      </c>
      <c r="F2" s="2755"/>
      <c r="G2" s="2755"/>
      <c r="H2" s="2755"/>
      <c r="I2" s="2755"/>
      <c r="J2" s="2755"/>
      <c r="K2" s="2756"/>
      <c r="L2" s="1970"/>
      <c r="M2" s="1970"/>
    </row>
    <row r="3" spans="1:13" x14ac:dyDescent="0.35">
      <c r="A3" s="125" t="s">
        <v>6916</v>
      </c>
      <c r="B3" s="1970"/>
      <c r="C3" s="1970"/>
      <c r="D3" s="1970"/>
      <c r="E3" s="1970"/>
      <c r="F3" s="1970"/>
      <c r="G3" s="1970"/>
      <c r="H3" s="1970"/>
      <c r="I3" s="1970"/>
      <c r="J3" s="1970"/>
      <c r="K3" s="2753"/>
      <c r="L3" s="1970"/>
      <c r="M3" s="1970"/>
    </row>
    <row r="4" spans="1:13" x14ac:dyDescent="0.35">
      <c r="A4" s="125" t="s">
        <v>8318</v>
      </c>
      <c r="B4" s="3045" t="str">
        <f>"If "&amp;PRO&amp;PRO!G39&amp;" + "&amp;TRU&amp;TRU!K36&amp;" + "&amp;FOR&amp;FOR!G37&amp;" + total all instances ("&amp;FPS&amp;PS!J22&amp;" + "&amp;FPS&amp;PS!J30&amp;" + "&amp;FOR&amp;FOR!O5&amp;") = 0 (zero)"</f>
        <v>If PRO44 + TRU25 + FOR13.1 + total all instances (FPS41.1 + FPS63.1 + FOR24.1) = 0 (zero)</v>
      </c>
      <c r="C4" s="3045"/>
      <c r="D4" s="3045"/>
      <c r="E4" s="3045"/>
      <c r="F4" s="3045"/>
      <c r="G4" s="3045"/>
      <c r="H4" s="2753"/>
      <c r="I4" s="1970"/>
      <c r="J4" s="1970"/>
      <c r="K4" s="2753"/>
      <c r="L4" s="1970"/>
      <c r="M4" s="1970"/>
    </row>
    <row r="5" spans="1:13" x14ac:dyDescent="0.35">
      <c r="A5" s="125" t="s">
        <v>6917</v>
      </c>
      <c r="B5" s="1970" t="str">
        <f>"set "&amp;E11&amp;" to "&amp;K80&amp;" to zero"</f>
        <v>set c24.1 to c24.17 to zero</v>
      </c>
      <c r="C5" s="1970"/>
      <c r="D5" s="1970"/>
      <c r="E5" s="1970"/>
      <c r="F5" s="1970"/>
      <c r="G5" s="1970"/>
      <c r="H5" s="2753"/>
      <c r="I5" s="1970"/>
      <c r="J5" s="1970"/>
      <c r="K5" s="2753"/>
      <c r="L5" s="1970"/>
      <c r="M5" s="1970"/>
    </row>
    <row r="6" spans="1:13" x14ac:dyDescent="0.35">
      <c r="A6" s="125" t="s">
        <v>8319</v>
      </c>
      <c r="B6" s="1970" t="s">
        <v>2520</v>
      </c>
      <c r="C6" s="1970"/>
      <c r="D6" s="1970"/>
      <c r="E6" s="1970"/>
      <c r="F6" s="1970"/>
      <c r="G6" s="1970"/>
      <c r="H6" s="2753"/>
      <c r="I6" s="1970"/>
      <c r="J6" s="1970"/>
      <c r="K6" s="2753"/>
      <c r="L6" s="1970"/>
      <c r="M6" s="1970"/>
    </row>
    <row r="7" spans="1:13" x14ac:dyDescent="0.35">
      <c r="A7" s="125" t="s">
        <v>6918</v>
      </c>
      <c r="B7" s="1970"/>
      <c r="C7" s="1970"/>
      <c r="D7" s="1970"/>
      <c r="E7" s="2753"/>
      <c r="F7" s="1970"/>
      <c r="G7" s="1970"/>
      <c r="H7" s="2753"/>
      <c r="I7" s="1970"/>
      <c r="J7" s="1970"/>
      <c r="K7" s="2753"/>
      <c r="L7" s="1970"/>
      <c r="M7" s="1970"/>
    </row>
    <row r="8" spans="1:13" x14ac:dyDescent="0.35">
      <c r="A8" s="125" t="s">
        <v>6919</v>
      </c>
      <c r="B8" s="1970"/>
      <c r="C8" s="1970"/>
      <c r="D8" s="1970"/>
      <c r="E8" s="2753"/>
      <c r="F8" s="1970"/>
      <c r="G8" s="1970"/>
      <c r="H8" s="2753"/>
      <c r="I8" s="1970"/>
      <c r="J8" s="1970"/>
      <c r="K8" s="2753"/>
      <c r="L8" s="1970"/>
      <c r="M8" s="1970"/>
    </row>
    <row r="9" spans="1:13" x14ac:dyDescent="0.35">
      <c r="A9" s="125" t="s">
        <v>6920</v>
      </c>
      <c r="B9" s="2751" t="s">
        <v>4764</v>
      </c>
      <c r="C9" s="1970"/>
      <c r="D9" s="1970"/>
      <c r="E9" s="2753"/>
      <c r="F9" s="1970"/>
      <c r="G9" s="1970"/>
      <c r="H9" s="2753"/>
      <c r="I9" s="1970"/>
      <c r="J9" s="1970"/>
      <c r="K9" s="2753"/>
      <c r="L9" s="1970"/>
      <c r="M9" s="1970"/>
    </row>
    <row r="10" spans="1:13" x14ac:dyDescent="0.35">
      <c r="A10" s="125" t="s">
        <v>6921</v>
      </c>
      <c r="B10" s="1970"/>
      <c r="C10" s="1970"/>
      <c r="D10" s="1970"/>
      <c r="E10" s="2757"/>
      <c r="F10" s="2758" t="str">
        <f>"from "&amp;PRO&amp;PRO!G39</f>
        <v>from PRO44</v>
      </c>
      <c r="G10" s="1970"/>
      <c r="H10" s="2753"/>
      <c r="I10" s="1970"/>
      <c r="J10" s="1970"/>
      <c r="K10" s="2753"/>
      <c r="L10" s="1970"/>
      <c r="M10" s="1970"/>
    </row>
    <row r="11" spans="1:13" x14ac:dyDescent="0.35">
      <c r="A11" s="125" t="s">
        <v>6922</v>
      </c>
      <c r="B11" s="1970"/>
      <c r="C11" s="1970" t="s">
        <v>6982</v>
      </c>
      <c r="D11" s="1970"/>
      <c r="E11" s="2759" t="str">
        <f>A1</f>
        <v>c24.1</v>
      </c>
      <c r="F11" s="2760">
        <f>TRUNC(PRO!H40+0.99,0)</f>
        <v>0</v>
      </c>
      <c r="G11" s="2656" t="s">
        <v>3966</v>
      </c>
      <c r="H11" s="1970"/>
      <c r="I11" s="1970"/>
      <c r="J11" s="1970"/>
      <c r="K11" s="1970"/>
      <c r="L11" s="1970"/>
      <c r="M11" s="1970"/>
    </row>
    <row r="12" spans="1:13" x14ac:dyDescent="0.35">
      <c r="A12" s="125" t="s">
        <v>6947</v>
      </c>
      <c r="B12" s="1970"/>
      <c r="C12" s="1970"/>
      <c r="D12" s="1970"/>
      <c r="E12" s="2753"/>
      <c r="F12" s="1970"/>
      <c r="G12" s="1970"/>
      <c r="H12" s="1970"/>
      <c r="I12" s="1970"/>
      <c r="J12" s="1970"/>
      <c r="K12" s="1970"/>
      <c r="L12" s="1970"/>
      <c r="M12" s="1970"/>
    </row>
    <row r="13" spans="1:13" x14ac:dyDescent="0.35">
      <c r="A13" s="125" t="s">
        <v>6948</v>
      </c>
      <c r="B13" s="1970"/>
      <c r="C13" s="1970"/>
      <c r="D13" s="1970"/>
      <c r="E13" s="2753"/>
      <c r="F13" s="1970"/>
      <c r="G13" s="1970"/>
      <c r="H13" s="1970"/>
      <c r="I13" s="2778" t="str">
        <f>"from "&amp;'NS income (c1)'!E81</f>
        <v>from c1.32</v>
      </c>
      <c r="J13" s="1970"/>
      <c r="K13" s="1970"/>
      <c r="L13" s="1970"/>
      <c r="M13" s="1970"/>
    </row>
    <row r="14" spans="1:13" x14ac:dyDescent="0.35">
      <c r="A14" s="125" t="s">
        <v>6949</v>
      </c>
      <c r="B14" s="1970"/>
      <c r="C14" s="1970" t="str">
        <f>"Adjusted profit ("&amp;PRO&amp;PRO!G33&amp;")"</f>
        <v>Adjusted profit (PRO40)</v>
      </c>
      <c r="D14" s="1970"/>
      <c r="E14" s="2753"/>
      <c r="F14" s="1970"/>
      <c r="G14" s="1970"/>
      <c r="H14" s="2759" t="str">
        <f>A2</f>
        <v>c24.2</v>
      </c>
      <c r="I14" s="2760">
        <f>'NS income (c1)'!F81</f>
        <v>0</v>
      </c>
      <c r="J14" s="2656"/>
      <c r="K14" s="1970"/>
      <c r="L14" s="1970"/>
      <c r="M14" s="1970"/>
    </row>
    <row r="15" spans="1:13" x14ac:dyDescent="0.35">
      <c r="A15" s="125" t="s">
        <v>6950</v>
      </c>
      <c r="B15" s="1970"/>
      <c r="C15" s="1970"/>
      <c r="D15" s="1970"/>
      <c r="E15" s="2753"/>
      <c r="F15" s="1970"/>
      <c r="G15" s="1970"/>
      <c r="H15" s="1970"/>
      <c r="I15" s="1970"/>
      <c r="J15" s="1970"/>
      <c r="K15" s="1970"/>
      <c r="L15" s="1970"/>
      <c r="M15" s="1970"/>
    </row>
    <row r="16" spans="1:13" x14ac:dyDescent="0.35">
      <c r="A16" s="125" t="s">
        <v>6951</v>
      </c>
      <c r="B16" s="1970"/>
      <c r="C16" s="1970"/>
      <c r="D16" s="1970"/>
      <c r="E16" s="2753"/>
      <c r="F16" s="1970"/>
      <c r="G16" s="1970"/>
      <c r="H16" s="1970"/>
      <c r="I16" s="1970"/>
      <c r="J16" s="1970"/>
      <c r="K16" s="1970"/>
      <c r="L16" s="2778" t="str">
        <f>"lower of "&amp;E11&amp;" and "&amp;H14</f>
        <v>lower of c24.1 and c24.2</v>
      </c>
      <c r="M16" s="1970"/>
    </row>
    <row r="17" spans="1:16" x14ac:dyDescent="0.35">
      <c r="A17" s="125" t="s">
        <v>6952</v>
      </c>
      <c r="B17" s="1970"/>
      <c r="C17" s="1970" t="s">
        <v>6983</v>
      </c>
      <c r="D17" s="1970"/>
      <c r="E17" s="2753"/>
      <c r="F17" s="1970"/>
      <c r="G17" s="1970"/>
      <c r="H17" s="1970"/>
      <c r="I17" s="1970"/>
      <c r="J17" s="1970"/>
      <c r="K17" s="2759" t="str">
        <f>A3</f>
        <v>c24.3</v>
      </c>
      <c r="L17" s="2760">
        <f>MIN(F11,I14)</f>
        <v>0</v>
      </c>
      <c r="M17" s="1970"/>
    </row>
    <row r="18" spans="1:16" x14ac:dyDescent="0.35">
      <c r="A18" s="125" t="s">
        <v>8320</v>
      </c>
      <c r="B18" s="1970"/>
      <c r="C18" s="1970"/>
      <c r="D18" s="1970"/>
      <c r="E18" s="1970"/>
      <c r="F18" s="1970"/>
      <c r="G18" s="1970"/>
      <c r="H18" s="1970"/>
      <c r="I18" s="1970"/>
      <c r="J18" s="1970"/>
      <c r="K18" s="1970"/>
      <c r="L18" s="1970"/>
      <c r="M18" s="1970"/>
    </row>
    <row r="19" spans="1:16" x14ac:dyDescent="0.35">
      <c r="A19" s="125" t="s">
        <v>6953</v>
      </c>
      <c r="B19" s="2751" t="s">
        <v>6944</v>
      </c>
      <c r="C19" s="1970"/>
      <c r="D19" s="1970"/>
      <c r="E19" s="1970"/>
      <c r="F19" s="1970"/>
      <c r="G19" s="1970"/>
      <c r="H19" s="1970"/>
      <c r="I19" s="1970"/>
      <c r="J19" s="1970"/>
      <c r="K19" s="1970"/>
      <c r="L19" s="2778"/>
      <c r="M19" s="1970"/>
    </row>
    <row r="20" spans="1:16" x14ac:dyDescent="0.35">
      <c r="A20" s="125" t="s">
        <v>6954</v>
      </c>
      <c r="B20" s="1970"/>
      <c r="C20" s="1970"/>
      <c r="D20" s="3746"/>
      <c r="E20" s="3746"/>
      <c r="F20" s="3746" t="str">
        <f>"Total all instances ("&amp;FPS&amp;PS!J22&amp;")"</f>
        <v>Total all instances (FPS41.1)</v>
      </c>
      <c r="G20" s="1978"/>
      <c r="H20" s="1978"/>
      <c r="I20" s="1978"/>
      <c r="J20" s="1970"/>
      <c r="K20" s="1970"/>
      <c r="L20" s="1970"/>
      <c r="M20" s="1970"/>
    </row>
    <row r="21" spans="1:16" x14ac:dyDescent="0.35">
      <c r="A21" s="125" t="s">
        <v>6955</v>
      </c>
      <c r="B21" s="1970"/>
      <c r="C21" s="1970" t="s">
        <v>6982</v>
      </c>
      <c r="D21" s="1970"/>
      <c r="E21" s="3745" t="str">
        <f>A4</f>
        <v>c24.3a</v>
      </c>
      <c r="F21" s="2760">
        <f>TRUNC(PS!K23+0.99,0)</f>
        <v>0</v>
      </c>
      <c r="G21" s="3747" t="s">
        <v>4809</v>
      </c>
      <c r="H21" s="1978"/>
      <c r="I21" s="1978"/>
      <c r="J21" s="1970"/>
      <c r="K21" s="1970"/>
      <c r="L21" s="1970"/>
      <c r="M21" s="1970"/>
    </row>
    <row r="22" spans="1:16" x14ac:dyDescent="0.35">
      <c r="A22" s="125" t="s">
        <v>6956</v>
      </c>
      <c r="B22" s="1970"/>
      <c r="C22" s="1970"/>
      <c r="D22" s="1970"/>
      <c r="E22" s="1978"/>
      <c r="F22" s="2758"/>
      <c r="G22" s="1978"/>
      <c r="H22" s="1978"/>
      <c r="I22" s="1978"/>
      <c r="J22" s="1970"/>
      <c r="K22" s="1970"/>
      <c r="L22" s="1970"/>
      <c r="M22" s="1970"/>
    </row>
    <row r="23" spans="1:16" x14ac:dyDescent="0.35">
      <c r="A23" s="125" t="s">
        <v>6957</v>
      </c>
      <c r="B23" s="1970"/>
      <c r="C23" s="3045" t="str">
        <f>"Calculate for each page the lower of "&amp;FPS&amp;PS!G22&amp;" and "&amp;FPS&amp;PS!J22&amp;", store the result and add together"</f>
        <v>Calculate for each page the lower of FPS41 and FPS41.1, store the result and add together</v>
      </c>
      <c r="D23" s="3045"/>
      <c r="E23" s="3045"/>
      <c r="F23" s="3045"/>
      <c r="G23" s="3045"/>
      <c r="H23" s="1970"/>
      <c r="I23" s="1970"/>
      <c r="J23" s="1970"/>
      <c r="K23" s="2778"/>
      <c r="L23" s="2778" t="str">
        <f>" sum of the "</f>
        <v xml:space="preserve"> sum of the </v>
      </c>
      <c r="M23" s="1970"/>
      <c r="P23" s="687"/>
    </row>
    <row r="24" spans="1:16" x14ac:dyDescent="0.35">
      <c r="A24" s="125" t="s">
        <v>6984</v>
      </c>
      <c r="B24" s="1970"/>
      <c r="C24" s="1970"/>
      <c r="D24" s="1970"/>
      <c r="E24" s="3111"/>
      <c r="F24" s="1978"/>
      <c r="G24" s="1978"/>
      <c r="H24" s="1978"/>
      <c r="I24" s="1978"/>
      <c r="J24" s="1970"/>
      <c r="K24" s="1970"/>
      <c r="L24" s="2778" t="str">
        <f>"(lower of "&amp;FPS&amp;PS!G22&amp;" and "&amp;FPS&amp;PS!J22</f>
        <v>(lower of FPS41 and FPS41.1</v>
      </c>
      <c r="M24" s="1970"/>
    </row>
    <row r="25" spans="1:16" x14ac:dyDescent="0.35">
      <c r="B25" s="1970"/>
      <c r="C25" s="1970"/>
      <c r="D25" s="1970"/>
      <c r="E25" s="1970"/>
      <c r="F25" s="1970"/>
      <c r="G25" s="1970"/>
      <c r="H25" s="1970"/>
      <c r="I25" s="1970"/>
      <c r="J25" s="1970"/>
      <c r="K25" s="1970"/>
      <c r="L25" s="2778" t="str">
        <f>"for each instance)"</f>
        <v>for each instance)</v>
      </c>
      <c r="M25" s="1970"/>
    </row>
    <row r="26" spans="1:16" x14ac:dyDescent="0.35">
      <c r="B26" s="1970"/>
      <c r="C26" s="1970" t="s">
        <v>6983</v>
      </c>
      <c r="D26" s="1970"/>
      <c r="E26" s="2753"/>
      <c r="F26" s="1970"/>
      <c r="G26" s="1970"/>
      <c r="H26" s="1970"/>
      <c r="I26" s="1970"/>
      <c r="J26" s="1970"/>
      <c r="K26" s="2759" t="str">
        <f>A5</f>
        <v>c24.4</v>
      </c>
      <c r="L26" s="2760">
        <f>IF(PS!N25&gt;0,TRUNC(PS!N25+0.99,0),IF(PS!K23="",0,TRUNC(MIN(PS!H23,PS!K23)+0.99,0)))</f>
        <v>0</v>
      </c>
      <c r="M26" s="3747" t="s">
        <v>4809</v>
      </c>
    </row>
    <row r="27" spans="1:16" x14ac:dyDescent="0.35">
      <c r="B27" s="1970"/>
      <c r="C27" s="1970"/>
      <c r="D27" s="1970"/>
      <c r="E27" s="1970"/>
      <c r="F27" s="1970"/>
      <c r="G27" s="1970"/>
      <c r="H27" s="1970"/>
      <c r="I27" s="1970"/>
      <c r="J27" s="1970"/>
      <c r="K27" s="1970"/>
      <c r="L27" s="1970"/>
      <c r="M27" s="1970"/>
    </row>
    <row r="28" spans="1:16" x14ac:dyDescent="0.35">
      <c r="B28" s="2751" t="s">
        <v>6985</v>
      </c>
      <c r="C28" s="1970"/>
      <c r="D28" s="1970"/>
      <c r="E28" s="1970"/>
      <c r="F28" s="1970"/>
      <c r="G28" s="1970"/>
      <c r="H28" s="1970"/>
      <c r="I28" s="1970"/>
      <c r="J28" s="1970"/>
      <c r="K28" s="1970"/>
      <c r="L28" s="2778"/>
      <c r="M28" s="1970"/>
    </row>
    <row r="29" spans="1:16" x14ac:dyDescent="0.35">
      <c r="B29" s="2751"/>
      <c r="C29" s="1970"/>
      <c r="D29" s="3746"/>
      <c r="E29" s="3746"/>
      <c r="F29" s="3746" t="str">
        <f>"Total all instances ("&amp;FPS&amp;PS!J30&amp;")"</f>
        <v>Total all instances (FPS63.1)</v>
      </c>
      <c r="G29" s="1970"/>
      <c r="H29" s="1970"/>
      <c r="I29" s="1970"/>
      <c r="J29" s="1970"/>
      <c r="K29" s="1970"/>
      <c r="L29" s="2778"/>
      <c r="M29" s="1970"/>
    </row>
    <row r="30" spans="1:16" x14ac:dyDescent="0.35">
      <c r="B30" s="2751"/>
      <c r="C30" s="1970" t="s">
        <v>6982</v>
      </c>
      <c r="D30" s="1970"/>
      <c r="E30" s="3745" t="str">
        <f>A6</f>
        <v>c24.4a</v>
      </c>
      <c r="F30" s="2760">
        <f>TRUNC(PS!K31+0.99,0)</f>
        <v>0</v>
      </c>
      <c r="G30" s="3747" t="s">
        <v>4809</v>
      </c>
      <c r="H30" s="1970"/>
      <c r="I30" s="1970"/>
      <c r="J30" s="1970"/>
      <c r="K30" s="1970"/>
      <c r="L30" s="2778"/>
      <c r="M30" s="1970"/>
    </row>
    <row r="31" spans="1:16" x14ac:dyDescent="0.35">
      <c r="B31" s="2751"/>
      <c r="D31" s="1970"/>
      <c r="E31" s="1978"/>
      <c r="F31" s="2758"/>
      <c r="G31" s="1970"/>
      <c r="H31" s="1970"/>
      <c r="I31" s="1970"/>
      <c r="J31" s="1970"/>
      <c r="K31" s="1970"/>
      <c r="L31" s="2778" t="str">
        <f>" sum of the "</f>
        <v xml:space="preserve"> sum of the </v>
      </c>
      <c r="M31" s="1970"/>
    </row>
    <row r="32" spans="1:16" x14ac:dyDescent="0.35">
      <c r="B32" s="1978"/>
      <c r="C32" s="3045" t="str">
        <f>"Calculate for each page the lower of "&amp;FPS&amp;PS!J27&amp;" and "&amp;FPS&amp;PS!J30&amp;", store the result and add together"</f>
        <v>Calculate for each page the lower of FPS60 and FPS63.1, store the result and add together</v>
      </c>
      <c r="D32" s="3045"/>
      <c r="E32" s="3045"/>
      <c r="F32" s="3045"/>
      <c r="G32" s="3045"/>
      <c r="H32" s="1978"/>
      <c r="I32" s="1978"/>
      <c r="J32" s="1970"/>
      <c r="K32" s="1970"/>
      <c r="L32" s="2778" t="str">
        <f>"(lower of "&amp;FPS&amp;PS!J27&amp;" and "&amp;FPS&amp;PS!J30</f>
        <v>(lower of FPS60 and FPS63.1</v>
      </c>
      <c r="M32" s="1970"/>
    </row>
    <row r="33" spans="2:13" x14ac:dyDescent="0.35">
      <c r="B33" s="1978"/>
      <c r="C33" s="1978"/>
      <c r="D33" s="1978"/>
      <c r="E33" s="3111"/>
      <c r="F33" s="1978"/>
      <c r="G33" s="1978"/>
      <c r="H33" s="1978"/>
      <c r="I33" s="1978"/>
      <c r="J33" s="1970"/>
      <c r="K33" s="1970"/>
      <c r="L33" s="2778" t="str">
        <f>"for each instance)"</f>
        <v>for each instance)</v>
      </c>
      <c r="M33" s="1970"/>
    </row>
    <row r="34" spans="2:13" x14ac:dyDescent="0.35">
      <c r="B34" s="1978"/>
      <c r="C34" s="1970" t="s">
        <v>6983</v>
      </c>
      <c r="D34" s="1970"/>
      <c r="E34" s="2753"/>
      <c r="F34" s="1970"/>
      <c r="G34" s="1970"/>
      <c r="H34" s="1970"/>
      <c r="I34" s="1970"/>
      <c r="J34" s="1970"/>
      <c r="K34" s="2759" t="str">
        <f>A7</f>
        <v>c24.5</v>
      </c>
      <c r="L34" s="2760">
        <f>IF(PS!N31&gt;0,TRUNC(PS!N31+0.99,0),IF(PS!K31="",0,TRUNC(MIN(PS!K28,PS!K31)+0.99,0)))</f>
        <v>0</v>
      </c>
      <c r="M34" s="3747" t="s">
        <v>4809</v>
      </c>
    </row>
    <row r="35" spans="2:13" x14ac:dyDescent="0.35">
      <c r="B35" s="1978"/>
      <c r="C35" s="1978"/>
      <c r="D35" s="1978"/>
      <c r="E35" s="3111"/>
      <c r="F35" s="1978"/>
      <c r="G35" s="1978"/>
      <c r="H35" s="1978"/>
      <c r="I35" s="2758"/>
      <c r="J35" s="1970"/>
      <c r="K35" s="1970"/>
      <c r="L35" s="1970"/>
      <c r="M35" s="1970"/>
    </row>
    <row r="36" spans="2:13" x14ac:dyDescent="0.35">
      <c r="B36" s="1978"/>
      <c r="C36" s="1978"/>
      <c r="D36" s="1978"/>
      <c r="E36" s="3111"/>
      <c r="F36" s="1978"/>
      <c r="G36" s="1978"/>
      <c r="H36" s="3109"/>
      <c r="I36" s="3110"/>
      <c r="J36" s="1970"/>
      <c r="K36" s="1970"/>
      <c r="L36" s="1970"/>
      <c r="M36" s="1970"/>
    </row>
    <row r="37" spans="2:13" x14ac:dyDescent="0.35">
      <c r="B37" s="2751" t="s">
        <v>4685</v>
      </c>
      <c r="C37" s="1970"/>
      <c r="D37" s="1970"/>
      <c r="E37" s="1970"/>
      <c r="F37" s="1970"/>
      <c r="G37" s="1970"/>
      <c r="H37" s="1970"/>
      <c r="I37" s="1970"/>
      <c r="J37" s="1970"/>
      <c r="K37" s="1970"/>
      <c r="L37" s="1970"/>
      <c r="M37" s="1970"/>
    </row>
    <row r="38" spans="2:13" x14ac:dyDescent="0.35">
      <c r="B38" s="1970"/>
      <c r="C38" s="1970"/>
      <c r="D38" s="3746"/>
      <c r="E38" s="3746"/>
      <c r="F38" s="3746" t="str">
        <f>"Total all instances ("&amp;FOR&amp;FOR!O5&amp;")"</f>
        <v>Total all instances (FOR24.1)</v>
      </c>
      <c r="G38" s="1970"/>
      <c r="H38" s="1970"/>
      <c r="I38" s="1970"/>
      <c r="J38" s="1970"/>
      <c r="K38" s="1970"/>
      <c r="L38" s="1970"/>
      <c r="M38" s="1970"/>
    </row>
    <row r="39" spans="2:13" x14ac:dyDescent="0.35">
      <c r="B39" s="1970"/>
      <c r="C39" s="1970" t="s">
        <v>6982</v>
      </c>
      <c r="D39" s="1970"/>
      <c r="E39" s="2759" t="str">
        <f>A8</f>
        <v>c24.6</v>
      </c>
      <c r="F39" s="2760">
        <f>TRUNC(FOR!P6+0.99,0)</f>
        <v>0</v>
      </c>
      <c r="G39" s="3747" t="s">
        <v>8327</v>
      </c>
      <c r="H39" s="1970"/>
      <c r="I39" s="1970"/>
      <c r="J39" s="1970"/>
      <c r="K39" s="1970"/>
      <c r="L39" s="1970"/>
      <c r="M39" s="1970"/>
    </row>
    <row r="40" spans="2:13" x14ac:dyDescent="0.35">
      <c r="B40" s="1970"/>
      <c r="C40" s="1970"/>
      <c r="D40" s="1970"/>
      <c r="E40" s="1970"/>
      <c r="F40" s="1970"/>
      <c r="G40" s="1970"/>
      <c r="H40" s="1970"/>
      <c r="I40" s="1970"/>
      <c r="J40" s="1970"/>
      <c r="K40" s="1970"/>
      <c r="L40" s="1970"/>
      <c r="M40" s="1970"/>
    </row>
    <row r="41" spans="2:13" x14ac:dyDescent="0.35">
      <c r="B41" s="1970"/>
      <c r="C41" s="1970"/>
      <c r="D41" s="1970"/>
      <c r="E41" s="2753"/>
      <c r="F41" s="1970"/>
      <c r="G41" s="3746"/>
      <c r="H41" s="3746"/>
      <c r="I41" s="3746" t="str">
        <f>"Total all instances ("&amp;FOR&amp;FOR!K5&amp;")"</f>
        <v>Total all instances (FOR24)</v>
      </c>
      <c r="J41" s="1970"/>
      <c r="K41" s="1970"/>
      <c r="L41" s="1970"/>
      <c r="M41" s="1970"/>
    </row>
    <row r="42" spans="2:13" x14ac:dyDescent="0.35">
      <c r="B42" s="1970"/>
      <c r="C42" s="1970" t="s">
        <v>6072</v>
      </c>
      <c r="D42" s="1970"/>
      <c r="E42" s="2753"/>
      <c r="F42" s="1970"/>
      <c r="G42" s="1970"/>
      <c r="H42" s="2759" t="str">
        <f>A9</f>
        <v>c24.7</v>
      </c>
      <c r="I42" s="2760">
        <f>MAX(0,TRUNC(FOR!L6+0.99,0))</f>
        <v>0</v>
      </c>
      <c r="J42" s="3747" t="s">
        <v>8327</v>
      </c>
      <c r="K42" s="1970"/>
      <c r="L42" s="1970"/>
      <c r="M42" s="1970"/>
    </row>
    <row r="43" spans="2:13" x14ac:dyDescent="0.35">
      <c r="B43" s="1970"/>
      <c r="C43" s="1970"/>
      <c r="D43" s="1970"/>
      <c r="E43" s="2753"/>
      <c r="F43" s="1970"/>
      <c r="G43" s="1970"/>
      <c r="H43" s="1970"/>
      <c r="I43" s="1970"/>
      <c r="J43" s="1970"/>
      <c r="K43" s="1970"/>
      <c r="L43" s="1970"/>
      <c r="M43" s="1970"/>
    </row>
    <row r="44" spans="2:13" x14ac:dyDescent="0.35">
      <c r="B44" s="1970"/>
      <c r="C44" s="1970"/>
      <c r="D44" s="1970"/>
      <c r="E44" s="2753"/>
      <c r="F44" s="1970"/>
      <c r="G44" s="1970"/>
      <c r="H44" s="1970"/>
      <c r="I44" s="1970"/>
      <c r="J44" s="1970"/>
      <c r="K44" s="1970"/>
      <c r="L44" s="2778" t="str">
        <f>"lower of "&amp;E39&amp;" and "&amp;H42</f>
        <v>lower of c24.6 and c24.7</v>
      </c>
      <c r="M44" s="1970"/>
    </row>
    <row r="45" spans="2:13" x14ac:dyDescent="0.35">
      <c r="B45" s="1970"/>
      <c r="C45" s="1970" t="s">
        <v>6983</v>
      </c>
      <c r="D45" s="1970"/>
      <c r="E45" s="2753"/>
      <c r="F45" s="1970"/>
      <c r="G45" s="1970"/>
      <c r="H45" s="1970"/>
      <c r="I45" s="1970"/>
      <c r="J45" s="1970"/>
      <c r="K45" s="2759" t="str">
        <f>A10</f>
        <v>c24.8</v>
      </c>
      <c r="L45" s="2760">
        <f>MIN(F39,I42)</f>
        <v>0</v>
      </c>
      <c r="M45" s="1970"/>
    </row>
    <row r="46" spans="2:13" x14ac:dyDescent="0.35">
      <c r="B46" s="1970"/>
      <c r="C46" s="1970"/>
      <c r="D46" s="1970"/>
      <c r="E46" s="1970"/>
      <c r="F46" s="1970"/>
      <c r="G46" s="1970"/>
      <c r="H46" s="1970"/>
      <c r="I46" s="1970"/>
      <c r="J46" s="1970"/>
      <c r="K46" s="1970"/>
      <c r="L46" s="1970"/>
      <c r="M46" s="1970"/>
    </row>
    <row r="47" spans="2:13" x14ac:dyDescent="0.35">
      <c r="B47" s="1970"/>
      <c r="C47" s="1970"/>
      <c r="D47" s="1970"/>
      <c r="E47" s="1970"/>
      <c r="F47" s="1970"/>
      <c r="G47" s="1970"/>
      <c r="H47" s="1970"/>
      <c r="I47" s="1970"/>
      <c r="J47" s="1970"/>
      <c r="K47" s="1970"/>
      <c r="L47" s="1970"/>
      <c r="M47" s="1970"/>
    </row>
    <row r="48" spans="2:13" x14ac:dyDescent="0.35">
      <c r="B48" s="2751" t="s">
        <v>7686</v>
      </c>
      <c r="C48" s="1970"/>
      <c r="D48" s="1970"/>
      <c r="E48" s="1970"/>
      <c r="F48" s="1970"/>
      <c r="G48" s="1970"/>
      <c r="H48" s="1970"/>
      <c r="I48" s="1970"/>
      <c r="J48" s="1970"/>
      <c r="K48" s="1970"/>
      <c r="L48" s="1970"/>
      <c r="M48" s="1970"/>
    </row>
    <row r="49" spans="2:13" x14ac:dyDescent="0.35">
      <c r="B49" s="1970"/>
      <c r="C49" s="1970"/>
      <c r="D49" s="1970"/>
      <c r="E49" s="1970"/>
      <c r="F49" s="1970"/>
      <c r="G49" s="1970"/>
      <c r="H49" s="1970"/>
      <c r="I49" s="1970"/>
      <c r="J49" s="1970"/>
      <c r="K49" s="1970"/>
      <c r="L49" s="2758" t="str">
        <f>"from "&amp;FOR&amp;FOR!G37</f>
        <v>from FOR13.1</v>
      </c>
      <c r="M49" s="1970"/>
    </row>
    <row r="50" spans="2:13" x14ac:dyDescent="0.35">
      <c r="B50" s="1970"/>
      <c r="C50" s="1970" t="s">
        <v>6983</v>
      </c>
      <c r="D50" s="1970"/>
      <c r="E50" s="1970"/>
      <c r="F50" s="1970"/>
      <c r="G50" s="1970"/>
      <c r="H50" s="1970"/>
      <c r="I50" s="1970"/>
      <c r="J50" s="1970"/>
      <c r="K50" s="2759" t="str">
        <f>A11</f>
        <v>c24.9</v>
      </c>
      <c r="L50" s="2760">
        <f>TRUNC(FOR!H38+0.99,0)</f>
        <v>0</v>
      </c>
      <c r="M50" s="2656" t="s">
        <v>3966</v>
      </c>
    </row>
    <row r="51" spans="2:13" x14ac:dyDescent="0.35">
      <c r="B51" s="1970"/>
      <c r="C51" s="1970"/>
      <c r="D51" s="1970"/>
      <c r="E51" s="1970"/>
      <c r="F51" s="1970"/>
      <c r="G51" s="1970"/>
      <c r="H51" s="1970"/>
      <c r="I51" s="1970"/>
      <c r="J51" s="1970"/>
      <c r="K51" s="1970"/>
      <c r="L51" s="1970"/>
      <c r="M51" s="1970"/>
    </row>
    <row r="52" spans="2:13" x14ac:dyDescent="0.35">
      <c r="B52" s="2751" t="s">
        <v>6986</v>
      </c>
      <c r="C52" s="1970"/>
      <c r="D52" s="1970"/>
      <c r="E52" s="1970"/>
      <c r="F52" s="1970"/>
      <c r="G52" s="1970"/>
      <c r="H52" s="1970"/>
      <c r="I52" s="1970"/>
      <c r="J52" s="1970"/>
      <c r="K52" s="1970"/>
      <c r="L52" s="1970"/>
      <c r="M52" s="1970"/>
    </row>
    <row r="53" spans="2:13" x14ac:dyDescent="0.35">
      <c r="B53" s="1970"/>
      <c r="C53" s="1970"/>
      <c r="D53" s="1970"/>
      <c r="E53" s="2753"/>
      <c r="F53" s="1970"/>
      <c r="G53" s="1970"/>
      <c r="H53" s="1970"/>
      <c r="I53" s="1970"/>
      <c r="J53" s="1970"/>
      <c r="K53" s="1970"/>
      <c r="L53" s="2758" t="str">
        <f>"from "&amp;TRU&amp;TRU!K36</f>
        <v>from TRU25</v>
      </c>
      <c r="M53" s="1970"/>
    </row>
    <row r="54" spans="2:13" x14ac:dyDescent="0.35">
      <c r="B54" s="1970"/>
      <c r="C54" s="1970" t="s">
        <v>6983</v>
      </c>
      <c r="D54" s="1970"/>
      <c r="E54" s="2753"/>
      <c r="F54" s="1970"/>
      <c r="G54" s="1970"/>
      <c r="H54" s="1970"/>
      <c r="I54" s="1970"/>
      <c r="J54" s="1970"/>
      <c r="K54" s="2759" t="str">
        <f>A12</f>
        <v>c24.10</v>
      </c>
      <c r="L54" s="2760">
        <f>TRUNC(TRU!L37+0.99,0)</f>
        <v>0</v>
      </c>
      <c r="M54" s="2656" t="s">
        <v>3966</v>
      </c>
    </row>
    <row r="55" spans="2:13" x14ac:dyDescent="0.35">
      <c r="B55" s="1970"/>
      <c r="C55" s="1970"/>
      <c r="D55" s="1970"/>
      <c r="E55" s="1970"/>
      <c r="F55" s="1970"/>
      <c r="G55" s="1970"/>
      <c r="H55" s="1970"/>
      <c r="I55" s="1970"/>
      <c r="J55" s="1970"/>
      <c r="K55" s="1970"/>
      <c r="L55" s="1970"/>
      <c r="M55" s="1970"/>
    </row>
    <row r="56" spans="2:13" x14ac:dyDescent="0.35">
      <c r="B56" s="1970"/>
      <c r="C56" s="1970"/>
      <c r="D56" s="1970"/>
      <c r="E56" s="1970"/>
      <c r="F56" s="1970"/>
      <c r="G56" s="1970"/>
      <c r="H56" s="1970"/>
      <c r="I56" s="1970"/>
      <c r="J56" s="1970"/>
      <c r="K56" s="1970"/>
      <c r="L56" s="1970"/>
      <c r="M56" s="1970"/>
    </row>
    <row r="57" spans="2:13" x14ac:dyDescent="0.35">
      <c r="B57" s="1970"/>
      <c r="C57" s="1970"/>
      <c r="D57" s="1970"/>
      <c r="E57" s="1970"/>
      <c r="F57" s="1970"/>
      <c r="G57" s="1970"/>
      <c r="H57" s="1970"/>
      <c r="I57" s="1970"/>
      <c r="J57" s="1970"/>
      <c r="K57" s="1970"/>
      <c r="L57" s="1970"/>
      <c r="M57" s="1970"/>
    </row>
    <row r="58" spans="2:13" x14ac:dyDescent="0.35">
      <c r="B58" s="1970"/>
      <c r="C58" s="1970"/>
      <c r="D58" s="1970"/>
      <c r="E58" s="1970"/>
      <c r="F58" s="1970"/>
      <c r="G58" s="1970"/>
      <c r="H58" s="1970"/>
      <c r="I58" s="2778" t="str">
        <f>"from "&amp;'Deductions (c4)'!H149</f>
        <v>from c4.55</v>
      </c>
      <c r="J58" s="1970"/>
      <c r="K58" s="1970"/>
      <c r="L58" s="1970"/>
      <c r="M58" s="1970"/>
    </row>
    <row r="59" spans="2:13" x14ac:dyDescent="0.35">
      <c r="B59" s="1970"/>
      <c r="C59" s="1970" t="s">
        <v>6946</v>
      </c>
      <c r="D59" s="1970"/>
      <c r="E59" s="1970"/>
      <c r="F59" s="1970"/>
      <c r="G59" s="1970"/>
      <c r="H59" s="2759" t="str">
        <f>A13</f>
        <v>c24.11</v>
      </c>
      <c r="I59" s="2760">
        <f>'Deductions (c4)'!I149</f>
        <v>0</v>
      </c>
      <c r="J59" s="1970"/>
      <c r="K59" s="1970"/>
      <c r="L59" s="1970"/>
      <c r="M59" s="1970"/>
    </row>
    <row r="60" spans="2:13" x14ac:dyDescent="0.35">
      <c r="B60" s="1970"/>
      <c r="C60" s="1970"/>
      <c r="D60" s="1970"/>
      <c r="E60" s="1970"/>
      <c r="F60" s="1970"/>
      <c r="G60" s="1970"/>
      <c r="H60" s="1970"/>
      <c r="I60" s="1970"/>
      <c r="J60" s="1970"/>
      <c r="K60" s="1970"/>
      <c r="L60" s="1970"/>
      <c r="M60" s="1970"/>
    </row>
    <row r="61" spans="2:13" x14ac:dyDescent="0.35">
      <c r="B61" s="1970"/>
      <c r="C61" s="1970"/>
      <c r="D61" s="1970"/>
      <c r="E61" s="1970"/>
      <c r="F61" s="1970"/>
      <c r="G61" s="1970"/>
      <c r="H61" s="1970"/>
      <c r="I61" s="2778" t="str">
        <f>"from "&amp;'Savings (c2)'!H75</f>
        <v>from c2.19</v>
      </c>
      <c r="J61" s="1970"/>
      <c r="K61" s="1970"/>
      <c r="L61" s="1970"/>
      <c r="M61" s="1970"/>
    </row>
    <row r="62" spans="2:13" x14ac:dyDescent="0.35">
      <c r="B62" s="1970"/>
      <c r="C62" s="1970" t="s">
        <v>3912</v>
      </c>
      <c r="D62" s="1970"/>
      <c r="E62" s="1970"/>
      <c r="F62" s="1970"/>
      <c r="G62" s="1970"/>
      <c r="H62" s="2759" t="str">
        <f>A14</f>
        <v>c24.12</v>
      </c>
      <c r="I62" s="2760">
        <f>'Savings (c2)'!I75</f>
        <v>0</v>
      </c>
      <c r="J62" s="1970"/>
      <c r="K62" s="1970"/>
      <c r="L62" s="1970"/>
      <c r="M62" s="1970"/>
    </row>
    <row r="63" spans="2:13" x14ac:dyDescent="0.35">
      <c r="B63" s="1970"/>
      <c r="C63" s="1970"/>
      <c r="D63" s="1970"/>
      <c r="E63" s="1970"/>
      <c r="F63" s="1970"/>
      <c r="G63" s="1970"/>
      <c r="H63" s="1970"/>
      <c r="I63" s="1970"/>
      <c r="J63" s="1970"/>
      <c r="K63" s="1970"/>
      <c r="L63" s="1970"/>
      <c r="M63" s="1970"/>
    </row>
    <row r="64" spans="2:13" x14ac:dyDescent="0.35">
      <c r="B64" s="1970"/>
      <c r="C64" s="1970"/>
      <c r="D64" s="1970"/>
      <c r="E64" s="1970"/>
      <c r="F64" s="1970"/>
      <c r="G64" s="1970"/>
      <c r="H64" s="1970"/>
      <c r="I64" s="2778" t="str">
        <f>"from "&amp;'Divs (c3)'!G46</f>
        <v>from c3.15</v>
      </c>
      <c r="J64" s="1970"/>
      <c r="K64" s="1970"/>
      <c r="L64" s="1970"/>
      <c r="M64" s="1970"/>
    </row>
    <row r="65" spans="2:13" x14ac:dyDescent="0.35">
      <c r="B65" s="1970"/>
      <c r="C65" s="1970" t="s">
        <v>3913</v>
      </c>
      <c r="D65" s="1970"/>
      <c r="E65" s="1970"/>
      <c r="F65" s="1970"/>
      <c r="G65" s="1970"/>
      <c r="H65" s="2759" t="str">
        <f>A15</f>
        <v>c24.13</v>
      </c>
      <c r="I65" s="2760">
        <f>'Divs (c3)'!H46</f>
        <v>0</v>
      </c>
      <c r="J65" s="1970"/>
      <c r="K65" s="1970"/>
      <c r="L65" s="1970"/>
      <c r="M65" s="1970"/>
    </row>
    <row r="66" spans="2:13" x14ac:dyDescent="0.35">
      <c r="B66" s="1970"/>
      <c r="C66" s="1970"/>
      <c r="D66" s="1970"/>
      <c r="E66" s="1970"/>
      <c r="F66" s="1970"/>
      <c r="G66" s="1970"/>
      <c r="H66" s="1970"/>
      <c r="I66" s="1970"/>
      <c r="J66" s="1970"/>
      <c r="K66" s="1970"/>
      <c r="L66" s="1970"/>
      <c r="M66" s="1970"/>
    </row>
    <row r="67" spans="2:13" x14ac:dyDescent="0.35">
      <c r="B67" s="1970"/>
      <c r="C67" s="1970"/>
      <c r="D67" s="1970"/>
      <c r="E67" s="1970"/>
      <c r="F67" s="1970"/>
      <c r="G67" s="1970"/>
      <c r="H67" s="1970"/>
      <c r="I67" s="2778" t="str">
        <f>"from "&amp;'Deductions (c4)'!L209</f>
        <v>from c4.67</v>
      </c>
      <c r="J67" s="1970"/>
      <c r="K67" s="1970"/>
      <c r="L67" s="1970"/>
      <c r="M67" s="1970"/>
    </row>
    <row r="68" spans="2:13" x14ac:dyDescent="0.35">
      <c r="B68" s="1970"/>
      <c r="C68" s="1970" t="s">
        <v>616</v>
      </c>
      <c r="D68" s="1970"/>
      <c r="E68" s="1970"/>
      <c r="F68" s="1970"/>
      <c r="G68" s="1970"/>
      <c r="H68" s="2759" t="str">
        <f>A16</f>
        <v>c24.14</v>
      </c>
      <c r="I68" s="2760">
        <f>'Deductions (c4)'!M209</f>
        <v>11500</v>
      </c>
      <c r="J68" s="1970"/>
      <c r="K68" s="1970"/>
      <c r="L68" s="1970"/>
      <c r="M68" s="1970"/>
    </row>
    <row r="69" spans="2:13" x14ac:dyDescent="0.35">
      <c r="B69" s="1970"/>
      <c r="C69" s="1970"/>
      <c r="D69" s="1970"/>
      <c r="E69" s="1970"/>
      <c r="F69" s="1970"/>
      <c r="G69" s="1970"/>
      <c r="H69" s="1970"/>
      <c r="I69" s="1970"/>
      <c r="J69" s="1970"/>
      <c r="K69" s="1970"/>
      <c r="L69" s="1970"/>
      <c r="M69" s="1970"/>
    </row>
    <row r="70" spans="2:13" x14ac:dyDescent="0.35">
      <c r="B70" s="1970"/>
      <c r="C70" s="1970"/>
      <c r="D70" s="1970"/>
      <c r="E70" s="1970"/>
      <c r="F70" s="1970"/>
      <c r="G70" s="1970"/>
      <c r="H70" s="1970"/>
      <c r="I70" s="2778" t="str">
        <f>H59&amp;" minus ("&amp;H62&amp;" + "&amp;H65&amp;" + "&amp;H68&amp;")"</f>
        <v>c24.11 minus (c24.12 + c24.13 + c24.14)</v>
      </c>
      <c r="J70" s="1970"/>
      <c r="K70" s="1970"/>
      <c r="L70" s="1970"/>
      <c r="M70" s="1970"/>
    </row>
    <row r="71" spans="2:13" x14ac:dyDescent="0.35">
      <c r="B71" s="1970"/>
      <c r="C71" s="1970" t="s">
        <v>6945</v>
      </c>
      <c r="D71" s="1970"/>
      <c r="E71" s="1970"/>
      <c r="F71" s="1970"/>
      <c r="G71" s="1970"/>
      <c r="H71" s="2759" t="str">
        <f>A17</f>
        <v>c24.15</v>
      </c>
      <c r="I71" s="2760">
        <f>MAX(0,I59-(I62+I65+I68))</f>
        <v>0</v>
      </c>
      <c r="J71" s="1970"/>
      <c r="K71" s="1970"/>
      <c r="L71" s="1970"/>
      <c r="M71" s="1970"/>
    </row>
    <row r="72" spans="2:13" x14ac:dyDescent="0.35">
      <c r="B72" s="1970"/>
      <c r="C72" s="1970"/>
      <c r="D72" s="1970"/>
      <c r="E72" s="1970"/>
      <c r="F72" s="1970"/>
      <c r="G72" s="1970"/>
      <c r="H72" s="1970"/>
      <c r="I72" s="1970"/>
      <c r="J72" s="1970"/>
      <c r="K72" s="1970"/>
      <c r="L72" s="1970"/>
      <c r="M72" s="1970"/>
    </row>
    <row r="73" spans="2:13" x14ac:dyDescent="0.35">
      <c r="B73" s="1970"/>
      <c r="C73" s="3045"/>
      <c r="D73" s="3045"/>
      <c r="E73" s="3045"/>
      <c r="F73" s="3044" t="str">
        <f>E11&amp;" + "&amp;E21&amp;" + "&amp;E30&amp;" + "&amp;E39&amp;" + " &amp;K50&amp;" + "&amp;K54</f>
        <v>c24.1 + c24.3a + c24.4a + c24.6 + c24.9 + c24.10</v>
      </c>
      <c r="G73" s="1970"/>
      <c r="H73" s="1970"/>
      <c r="I73" s="1970"/>
      <c r="J73" s="1970"/>
      <c r="K73" s="1970"/>
      <c r="L73" s="1970"/>
      <c r="M73" s="1970"/>
    </row>
    <row r="74" spans="2:13" x14ac:dyDescent="0.35">
      <c r="B74" s="1970"/>
      <c r="C74" s="1970" t="s">
        <v>8321</v>
      </c>
      <c r="D74" s="1970"/>
      <c r="E74" s="3744" t="str">
        <f>A18</f>
        <v>c24.15a</v>
      </c>
      <c r="F74" s="2760">
        <f>F11+F21+F30+F39+L50+L54</f>
        <v>0</v>
      </c>
      <c r="G74" s="1970"/>
      <c r="H74" s="1970"/>
      <c r="I74" s="1970"/>
      <c r="J74" s="1970"/>
      <c r="K74" s="1970"/>
      <c r="L74" s="1970"/>
      <c r="M74" s="1970"/>
    </row>
    <row r="75" spans="2:13" x14ac:dyDescent="0.35">
      <c r="B75" s="1970"/>
      <c r="C75" s="1970"/>
      <c r="D75" s="1970"/>
      <c r="E75" s="1970"/>
      <c r="F75" s="1970"/>
      <c r="G75" s="1970"/>
      <c r="H75" s="1970"/>
      <c r="I75" s="1970"/>
      <c r="J75" s="1970"/>
      <c r="K75" s="1970"/>
      <c r="L75" s="1970"/>
      <c r="M75" s="1970"/>
    </row>
    <row r="76" spans="2:13" x14ac:dyDescent="0.35">
      <c r="B76" s="1970"/>
      <c r="C76" s="1970"/>
      <c r="D76" s="1970"/>
      <c r="E76" s="1970"/>
      <c r="F76" s="1970"/>
      <c r="G76" s="1970"/>
      <c r="H76" s="1970"/>
      <c r="I76" s="1970"/>
      <c r="J76" s="1970"/>
      <c r="K76" s="1970"/>
      <c r="L76" s="3044" t="str">
        <f>K17&amp;" + "&amp;K26&amp;" + "&amp;K34&amp;" + "&amp;K45&amp;" + " &amp;K50&amp;" + "&amp;K54</f>
        <v>c24.3 + c24.4 + c24.5 + c24.8 + c24.9 + c24.10</v>
      </c>
      <c r="M76" s="1970"/>
    </row>
    <row r="77" spans="2:13" x14ac:dyDescent="0.35">
      <c r="B77" s="1970"/>
      <c r="C77" s="1970" t="s">
        <v>6958</v>
      </c>
      <c r="D77" s="1970"/>
      <c r="E77" s="1970"/>
      <c r="F77" s="1970"/>
      <c r="G77" s="1970"/>
      <c r="H77" s="1970"/>
      <c r="I77" s="1970"/>
      <c r="J77" s="1970"/>
      <c r="K77" s="2759" t="str">
        <f>A19</f>
        <v>c24.16</v>
      </c>
      <c r="L77" s="2760">
        <f>L17+L26+L34+L45+L50+L54</f>
        <v>0</v>
      </c>
      <c r="M77" s="1970"/>
    </row>
    <row r="78" spans="2:13" x14ac:dyDescent="0.35">
      <c r="B78" s="1970"/>
      <c r="C78" s="1970"/>
      <c r="D78" s="1970"/>
      <c r="E78" s="1970"/>
      <c r="F78" s="1970"/>
      <c r="G78" s="1970"/>
      <c r="H78" s="1970"/>
      <c r="I78" s="1970"/>
      <c r="J78" s="1970"/>
      <c r="K78" s="1970"/>
      <c r="L78" s="1970"/>
      <c r="M78" s="1970"/>
    </row>
    <row r="79" spans="2:13" x14ac:dyDescent="0.35">
      <c r="B79" s="1970"/>
      <c r="C79" s="1970"/>
      <c r="D79" s="1970"/>
      <c r="E79" s="1970"/>
      <c r="F79" s="1970"/>
      <c r="G79" s="1970"/>
      <c r="H79" s="1970"/>
      <c r="I79" s="1970"/>
      <c r="J79" s="1970"/>
      <c r="K79" s="1970"/>
      <c r="L79" s="2778" t="str">
        <f>"lower of "&amp;H71&amp;" and "&amp;K77</f>
        <v>lower of c24.15 and c24.16</v>
      </c>
      <c r="M79" s="1970"/>
    </row>
    <row r="80" spans="2:13" x14ac:dyDescent="0.35">
      <c r="B80" s="1970"/>
      <c r="C80" s="1970" t="s">
        <v>6959</v>
      </c>
      <c r="D80" s="1970"/>
      <c r="E80" s="1970"/>
      <c r="F80" s="1970"/>
      <c r="G80" s="1970"/>
      <c r="H80" s="1970"/>
      <c r="I80" s="1970"/>
      <c r="J80" s="1970"/>
      <c r="K80" s="2759" t="str">
        <f>A20</f>
        <v>c24.17</v>
      </c>
      <c r="L80" s="2760">
        <f>MIN(I71,L77)</f>
        <v>0</v>
      </c>
      <c r="M80" s="1970"/>
    </row>
    <row r="81" spans="2:13" x14ac:dyDescent="0.35">
      <c r="B81" s="1970"/>
      <c r="C81" s="1970"/>
      <c r="D81" s="1970"/>
      <c r="E81" s="1970"/>
      <c r="F81" s="1970"/>
      <c r="G81" s="1970"/>
      <c r="H81" s="1970"/>
      <c r="I81" s="1970"/>
      <c r="J81" s="1970"/>
      <c r="K81" s="1970"/>
      <c r="L81" s="2778" t="str">
        <f>"copy to "&amp;'Tax adj (c9)'!I78</f>
        <v>copy to c9.22</v>
      </c>
      <c r="M81" s="1970"/>
    </row>
    <row r="82" spans="2:13" x14ac:dyDescent="0.35">
      <c r="B82" s="1970" t="s">
        <v>2638</v>
      </c>
      <c r="C82" s="1970"/>
      <c r="D82" s="1970"/>
      <c r="E82" s="1970"/>
      <c r="F82" s="1970"/>
      <c r="G82" s="1970"/>
      <c r="H82" s="1970"/>
      <c r="I82" s="1970"/>
      <c r="J82" s="1970"/>
      <c r="K82" s="1970"/>
      <c r="L82" s="1970"/>
      <c r="M82" s="1970"/>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rgb="FFFFFF99"/>
  </sheetPr>
  <dimension ref="A1:N210"/>
  <sheetViews>
    <sheetView showGridLines="0" topLeftCell="B160" workbookViewId="0">
      <selection activeCell="I189" sqref="I189"/>
    </sheetView>
  </sheetViews>
  <sheetFormatPr defaultColWidth="9.1328125" defaultRowHeight="11.65" x14ac:dyDescent="0.35"/>
  <cols>
    <col min="1" max="1" width="6.59765625" style="146" hidden="1" customWidth="1"/>
    <col min="2" max="2" width="2.59765625" style="146" customWidth="1"/>
    <col min="3" max="3" width="26.59765625" style="110" customWidth="1"/>
    <col min="4" max="4" width="6.59765625" style="110" customWidth="1"/>
    <col min="5" max="5" width="17.1328125" style="110" customWidth="1"/>
    <col min="6" max="6" width="10.59765625" style="146" customWidth="1"/>
    <col min="7" max="7" width="6.1328125" style="146" customWidth="1"/>
    <col min="8" max="8" width="17.1328125" style="146" customWidth="1"/>
    <col min="9" max="9" width="13.3984375" style="146" customWidth="1"/>
    <col min="10" max="10" width="6" style="146" customWidth="1"/>
    <col min="11" max="11" width="17.1328125" style="432" customWidth="1"/>
    <col min="12" max="12" width="6.265625" style="146" bestFit="1" customWidth="1"/>
    <col min="13" max="13" width="4" style="146" customWidth="1"/>
    <col min="14" max="16384" width="9.1328125" style="146"/>
  </cols>
  <sheetData>
    <row r="1" spans="1:14" ht="20.65" x14ac:dyDescent="0.6">
      <c r="A1" s="146" t="s">
        <v>880</v>
      </c>
      <c r="B1" s="1955" t="s">
        <v>3504</v>
      </c>
      <c r="D1" s="792"/>
      <c r="E1" s="792"/>
      <c r="G1" s="756" t="s">
        <v>1425</v>
      </c>
      <c r="H1" s="472"/>
      <c r="I1" s="710"/>
      <c r="J1" s="472"/>
      <c r="K1" s="923"/>
    </row>
    <row r="2" spans="1:14" x14ac:dyDescent="0.35">
      <c r="A2" s="146" t="s">
        <v>881</v>
      </c>
    </row>
    <row r="3" spans="1:14" ht="12" customHeight="1" x14ac:dyDescent="0.35">
      <c r="A3" s="146" t="s">
        <v>1208</v>
      </c>
      <c r="B3" s="786" t="s">
        <v>1678</v>
      </c>
      <c r="F3" s="109"/>
      <c r="G3" s="145"/>
      <c r="H3" s="764" t="str">
        <f>"from "&amp;AIL&amp;AIL!C11</f>
        <v>from AIL7</v>
      </c>
      <c r="K3" s="44" t="str">
        <f>G4&amp;" x LTA_lump ("&amp;LTA_lump*100&amp;"%)"</f>
        <v>c25.1 x LTA_lump (55%)</v>
      </c>
    </row>
    <row r="4" spans="1:14" ht="12" customHeight="1" x14ac:dyDescent="0.35">
      <c r="A4" s="146" t="s">
        <v>1209</v>
      </c>
      <c r="C4" s="836" t="s">
        <v>53</v>
      </c>
      <c r="D4" s="836"/>
      <c r="E4" s="836"/>
      <c r="G4" s="790" t="str">
        <f>A1</f>
        <v>c25.1</v>
      </c>
      <c r="H4" s="147">
        <f>TRUNC(AIL!D12,0)</f>
        <v>0</v>
      </c>
      <c r="I4" s="1079" t="s">
        <v>1837</v>
      </c>
      <c r="J4" s="790" t="str">
        <f>A2</f>
        <v>c25.2</v>
      </c>
      <c r="K4" s="924">
        <f>TRUNC(H4*LTA_lump,2)</f>
        <v>0</v>
      </c>
      <c r="L4" s="1079" t="s">
        <v>2872</v>
      </c>
      <c r="N4" s="925"/>
    </row>
    <row r="5" spans="1:14" x14ac:dyDescent="0.35">
      <c r="A5" s="146" t="s">
        <v>1210</v>
      </c>
      <c r="C5" s="836"/>
      <c r="D5" s="836"/>
      <c r="E5" s="836"/>
      <c r="F5" s="759"/>
      <c r="G5" s="759"/>
    </row>
    <row r="6" spans="1:14" x14ac:dyDescent="0.35">
      <c r="A6" s="146" t="s">
        <v>1211</v>
      </c>
      <c r="C6" s="836"/>
      <c r="D6" s="836"/>
      <c r="E6" s="836"/>
      <c r="F6" s="759"/>
      <c r="G6" s="759"/>
      <c r="H6" s="764" t="str">
        <f>"from "&amp;AIL&amp;AIL!C14</f>
        <v>from AIL8</v>
      </c>
      <c r="K6" s="44" t="str">
        <f>G7&amp;" x LTA_pension ("&amp;LTA_pension*100&amp;"%)"</f>
        <v>c25.3 x LTA_pension (25%)</v>
      </c>
    </row>
    <row r="7" spans="1:14" x14ac:dyDescent="0.35">
      <c r="A7" s="146" t="s">
        <v>1555</v>
      </c>
      <c r="C7" s="836" t="s">
        <v>52</v>
      </c>
      <c r="D7" s="836"/>
      <c r="E7" s="836"/>
      <c r="G7" s="790" t="str">
        <f>A3</f>
        <v>c25.3</v>
      </c>
      <c r="H7" s="147">
        <f>TRUNC(AIL!D15,0)</f>
        <v>0</v>
      </c>
      <c r="I7" s="1079" t="s">
        <v>1837</v>
      </c>
      <c r="J7" s="790" t="str">
        <f>A4</f>
        <v>c25.4</v>
      </c>
      <c r="K7" s="924">
        <f>TRUNC(H7*LTA_pension,2)</f>
        <v>0</v>
      </c>
      <c r="L7" s="1079" t="s">
        <v>2872</v>
      </c>
    </row>
    <row r="8" spans="1:14" x14ac:dyDescent="0.35">
      <c r="A8" s="146" t="s">
        <v>1556</v>
      </c>
    </row>
    <row r="9" spans="1:14" x14ac:dyDescent="0.35">
      <c r="A9" s="146" t="s">
        <v>1557</v>
      </c>
      <c r="K9" s="109" t="str">
        <f>J4&amp;" + "&amp;J7</f>
        <v>c25.2 + c25.4</v>
      </c>
    </row>
    <row r="10" spans="1:14" x14ac:dyDescent="0.35">
      <c r="A10" s="146" t="s">
        <v>3111</v>
      </c>
      <c r="C10" s="110" t="s">
        <v>1678</v>
      </c>
      <c r="J10" s="790" t="str">
        <f>A5</f>
        <v>c25.5</v>
      </c>
      <c r="K10" s="924">
        <f>K4+K7</f>
        <v>0</v>
      </c>
    </row>
    <row r="11" spans="1:14" x14ac:dyDescent="0.35">
      <c r="A11" s="146" t="s">
        <v>3112</v>
      </c>
    </row>
    <row r="12" spans="1:14" x14ac:dyDescent="0.35">
      <c r="A12" s="146" t="s">
        <v>3113</v>
      </c>
      <c r="H12" s="764" t="str">
        <f>"from "&amp;AIL&amp;AIL!C17</f>
        <v>from AIL9</v>
      </c>
      <c r="K12" s="109" t="str">
        <f>"lower of "&amp;J10&amp;" and "&amp;G13</f>
        <v>lower of c25.5 and c25.6</v>
      </c>
    </row>
    <row r="13" spans="1:14" x14ac:dyDescent="0.35">
      <c r="A13" s="146" t="s">
        <v>3114</v>
      </c>
      <c r="C13" s="836" t="s">
        <v>4108</v>
      </c>
      <c r="D13" s="836"/>
      <c r="E13" s="836"/>
      <c r="G13" s="790" t="str">
        <f>A6</f>
        <v>c25.6</v>
      </c>
      <c r="H13" s="147">
        <f>AIL!D18</f>
        <v>0</v>
      </c>
      <c r="I13" s="1079"/>
      <c r="J13" s="790" t="str">
        <f>A7</f>
        <v>c25.7</v>
      </c>
      <c r="K13" s="924">
        <f>MIN(K10,H13)</f>
        <v>0</v>
      </c>
    </row>
    <row r="14" spans="1:14" x14ac:dyDescent="0.35">
      <c r="A14" s="146" t="s">
        <v>3043</v>
      </c>
    </row>
    <row r="15" spans="1:14" x14ac:dyDescent="0.35">
      <c r="A15" s="146" t="s">
        <v>3044</v>
      </c>
      <c r="K15" s="109" t="str">
        <f>J10&amp;" minus "&amp;J13</f>
        <v>c25.5 minus c25.7</v>
      </c>
    </row>
    <row r="16" spans="1:14" x14ac:dyDescent="0.35">
      <c r="A16" s="146" t="s">
        <v>3045</v>
      </c>
      <c r="C16" s="110" t="s">
        <v>4109</v>
      </c>
      <c r="J16" s="790" t="str">
        <f>A8</f>
        <v>c25.8</v>
      </c>
      <c r="K16" s="924">
        <f>MAX(0,K10-K13)</f>
        <v>0</v>
      </c>
    </row>
    <row r="17" spans="1:12" x14ac:dyDescent="0.35">
      <c r="A17" s="146" t="s">
        <v>3046</v>
      </c>
      <c r="B17" s="760"/>
      <c r="C17" s="926"/>
      <c r="D17" s="926"/>
      <c r="E17" s="926"/>
      <c r="F17" s="760"/>
      <c r="G17" s="760"/>
      <c r="H17" s="760"/>
      <c r="I17" s="760"/>
      <c r="J17" s="760"/>
      <c r="K17" s="927"/>
      <c r="L17" s="927"/>
    </row>
    <row r="18" spans="1:12" x14ac:dyDescent="0.35">
      <c r="A18" s="146" t="s">
        <v>1831</v>
      </c>
      <c r="L18" s="432"/>
    </row>
    <row r="19" spans="1:12" x14ac:dyDescent="0.35">
      <c r="A19" s="146" t="s">
        <v>1832</v>
      </c>
      <c r="B19" s="786" t="s">
        <v>687</v>
      </c>
      <c r="G19" s="145"/>
    </row>
    <row r="20" spans="1:12" x14ac:dyDescent="0.35">
      <c r="A20" s="146" t="s">
        <v>1833</v>
      </c>
    </row>
    <row r="21" spans="1:12" x14ac:dyDescent="0.35">
      <c r="A21" s="146" t="s">
        <v>1834</v>
      </c>
      <c r="C21" s="836" t="str">
        <f>"Amount in excess of Pen_AA_limit ("&amp;DOLLAR(Pen_AA_limit,0)&amp;")"</f>
        <v>Amount in excess of Pen_AA_limit (£40,000)</v>
      </c>
      <c r="H21" s="764" t="str">
        <f>"from "&amp;AIL&amp;AIL!C20</f>
        <v>from AIL10</v>
      </c>
    </row>
    <row r="22" spans="1:12" x14ac:dyDescent="0.35">
      <c r="A22" s="146" t="s">
        <v>3378</v>
      </c>
      <c r="C22" s="3171" t="str">
        <f>"or Pen_MPAA_limit ("&amp;DOLLAR(Pen_MPAA_limit,0)&amp;") (lower allowance)"</f>
        <v>or Pen_MPAA_limit (£4,000) (lower allowance)</v>
      </c>
      <c r="D22" s="836"/>
      <c r="E22" s="836"/>
      <c r="G22" s="790" t="str">
        <f>A9</f>
        <v>c25.9</v>
      </c>
      <c r="H22" s="1118">
        <f>TRUNC(AIL!D21,0)</f>
        <v>0</v>
      </c>
      <c r="I22" s="1079" t="s">
        <v>1837</v>
      </c>
    </row>
    <row r="23" spans="1:12" x14ac:dyDescent="0.35">
      <c r="A23" s="146" t="s">
        <v>3379</v>
      </c>
    </row>
    <row r="24" spans="1:12" x14ac:dyDescent="0.35">
      <c r="A24" s="146" t="s">
        <v>3380</v>
      </c>
      <c r="C24" s="1451" t="s">
        <v>621</v>
      </c>
      <c r="E24" s="1463" t="str">
        <f>'Status (c3a)'!H21&amp;" + "&amp;'Deductions (c4)'!H162</f>
        <v>c3a.2 + c4.59</v>
      </c>
    </row>
    <row r="25" spans="1:12" x14ac:dyDescent="0.35">
      <c r="A25" s="146" t="s">
        <v>3381</v>
      </c>
      <c r="B25" s="142"/>
      <c r="C25" s="1638" t="s">
        <v>4576</v>
      </c>
      <c r="D25" s="790" t="str">
        <f>A10</f>
        <v>c25.10</v>
      </c>
      <c r="E25" s="1118">
        <f>'Status (c3a)'!I21+'Deductions (c4)'!I162</f>
        <v>33500</v>
      </c>
    </row>
    <row r="26" spans="1:12" x14ac:dyDescent="0.35">
      <c r="A26" s="146" t="s">
        <v>3382</v>
      </c>
      <c r="C26" s="146"/>
      <c r="E26" s="429"/>
    </row>
    <row r="27" spans="1:12" x14ac:dyDescent="0.35">
      <c r="A27" s="146" t="s">
        <v>3383</v>
      </c>
      <c r="E27" s="44" t="s">
        <v>4334</v>
      </c>
    </row>
    <row r="28" spans="1:12" x14ac:dyDescent="0.35">
      <c r="A28" s="146" t="s">
        <v>3384</v>
      </c>
      <c r="C28" s="146"/>
      <c r="D28" s="413"/>
      <c r="E28" s="793" t="str">
        <f>D32&amp;" = "&amp;'non-res (c91)'!M118</f>
        <v>c25.11 = c91.28</v>
      </c>
      <c r="K28" s="975"/>
    </row>
    <row r="29" spans="1:12" x14ac:dyDescent="0.35">
      <c r="A29" s="146" t="s">
        <v>3453</v>
      </c>
      <c r="E29" s="110" t="s">
        <v>1370</v>
      </c>
    </row>
    <row r="30" spans="1:12" x14ac:dyDescent="0.35">
      <c r="A30" s="146" t="s">
        <v>3454</v>
      </c>
      <c r="E30" s="413" t="str">
        <f>D32&amp;" = "&amp;'Taxable (c5)'!AK164</f>
        <v>c25.11 = c5.86</v>
      </c>
    </row>
    <row r="31" spans="1:12" x14ac:dyDescent="0.35">
      <c r="A31" s="146" t="s">
        <v>3455</v>
      </c>
      <c r="E31" s="110" t="s">
        <v>3508</v>
      </c>
    </row>
    <row r="32" spans="1:12" x14ac:dyDescent="0.35">
      <c r="A32" s="146" t="s">
        <v>3456</v>
      </c>
      <c r="C32" s="146" t="s">
        <v>3064</v>
      </c>
      <c r="D32" s="790" t="str">
        <f>A11</f>
        <v>c25.11</v>
      </c>
      <c r="E32" s="1118">
        <f>MAX(0,IF(non_resident,'non-res (c91)'!N118,'Taxable (c5)'!AL164))</f>
        <v>0</v>
      </c>
    </row>
    <row r="33" spans="1:12" x14ac:dyDescent="0.35">
      <c r="A33" s="146" t="s">
        <v>2149</v>
      </c>
      <c r="D33" s="146"/>
      <c r="E33" s="1059"/>
      <c r="I33" s="3092"/>
      <c r="J33" s="3092"/>
      <c r="K33" s="3151" t="str">
        <f>"If pseudo box "&amp;YPD&amp;'INC(1)'!C7&amp;" = S, and"</f>
        <v>If pseudo box YPDTR = S, and</v>
      </c>
    </row>
    <row r="34" spans="1:12" x14ac:dyDescent="0.35">
      <c r="A34" s="146" t="s">
        <v>2150</v>
      </c>
      <c r="I34" s="3092"/>
      <c r="J34" s="3092"/>
      <c r="K34" s="3093" t="s">
        <v>6627</v>
      </c>
    </row>
    <row r="35" spans="1:12" x14ac:dyDescent="0.35">
      <c r="A35" s="146" t="s">
        <v>2151</v>
      </c>
      <c r="I35" s="3092"/>
      <c r="J35" s="3092"/>
      <c r="K35" s="3093" t="str">
        <f>J41&amp;" = "&amp;G41&amp;" x SBR_rate ("&amp;SBR_rate*100&amp;"%)"</f>
        <v>c25.14 = c25.13 x SBR_rate (20%)</v>
      </c>
    </row>
    <row r="36" spans="1:12" x14ac:dyDescent="0.35">
      <c r="A36" s="146" t="s">
        <v>2152</v>
      </c>
      <c r="I36" s="3092"/>
      <c r="J36" s="3092"/>
      <c r="K36" s="3092" t="s">
        <v>2520</v>
      </c>
    </row>
    <row r="37" spans="1:12" x14ac:dyDescent="0.35">
      <c r="A37" s="146" t="s">
        <v>857</v>
      </c>
      <c r="I37" s="3092"/>
      <c r="J37" s="3092"/>
      <c r="K37" s="3094" t="str">
        <f>J41&amp;" = "&amp;G41&amp;" x BR_rate ("&amp;BR_rate*100&amp;"%)"</f>
        <v>c25.14 = c25.13 x BR_rate (20%)</v>
      </c>
    </row>
    <row r="38" spans="1:12" x14ac:dyDescent="0.35">
      <c r="A38" s="146" t="s">
        <v>858</v>
      </c>
      <c r="I38" s="3092"/>
      <c r="J38" s="3092"/>
      <c r="K38" s="3095" t="s">
        <v>2638</v>
      </c>
    </row>
    <row r="39" spans="1:12" x14ac:dyDescent="0.35">
      <c r="A39" s="146" t="s">
        <v>4816</v>
      </c>
    </row>
    <row r="40" spans="1:12" x14ac:dyDescent="0.35">
      <c r="A40" s="146" t="s">
        <v>3852</v>
      </c>
      <c r="E40" s="856" t="str">
        <f>D25&amp;" minus "&amp;D32</f>
        <v>c25.10 minus c25.11</v>
      </c>
      <c r="H40" s="109" t="str">
        <f>"lower of "&amp;G22&amp;" and "&amp;D41</f>
        <v>lower of c25.9 and c25.12</v>
      </c>
      <c r="I40" s="1141"/>
      <c r="J40" s="1141"/>
      <c r="K40" s="3044" t="str">
        <f>G41&amp;" x "&amp;'Status (c3a)'!D31</f>
        <v>c25.13 x c3a.4</v>
      </c>
    </row>
    <row r="41" spans="1:12" x14ac:dyDescent="0.35">
      <c r="A41" s="146" t="s">
        <v>3853</v>
      </c>
      <c r="C41" s="110" t="s">
        <v>3496</v>
      </c>
      <c r="D41" s="790" t="str">
        <f>A12</f>
        <v>c25.12</v>
      </c>
      <c r="E41" s="929">
        <f>MAX(0,E25-E32)</f>
        <v>33500</v>
      </c>
      <c r="G41" s="790" t="str">
        <f>A13</f>
        <v>c25.13</v>
      </c>
      <c r="H41" s="929">
        <f>MIN(H22,E41)</f>
        <v>0</v>
      </c>
      <c r="J41" s="790" t="str">
        <f>A14</f>
        <v>c25.14</v>
      </c>
      <c r="K41" s="924">
        <f>TRUNC(H41*'Status (c3a)'!E31,2)</f>
        <v>0</v>
      </c>
      <c r="L41" s="1079" t="s">
        <v>2872</v>
      </c>
    </row>
    <row r="42" spans="1:12" x14ac:dyDescent="0.35">
      <c r="A42" s="146" t="s">
        <v>3854</v>
      </c>
      <c r="E42" s="1059"/>
      <c r="H42" s="429"/>
      <c r="K42" s="975"/>
    </row>
    <row r="43" spans="1:12" x14ac:dyDescent="0.35">
      <c r="A43" s="146" t="s">
        <v>3855</v>
      </c>
      <c r="E43" s="856" t="str">
        <f>D32&amp;" minus "&amp;D25</f>
        <v>c25.11 minus c25.10</v>
      </c>
      <c r="H43" s="856" t="str">
        <f>G22&amp;" minus "&amp;G41</f>
        <v>c25.9 minus c25.13</v>
      </c>
    </row>
    <row r="44" spans="1:12" x14ac:dyDescent="0.35">
      <c r="A44" s="146" t="s">
        <v>3856</v>
      </c>
      <c r="D44" s="790" t="str">
        <f>A15</f>
        <v>c25.15</v>
      </c>
      <c r="E44" s="929">
        <f>MAX(0,E32-E25)</f>
        <v>0</v>
      </c>
      <c r="G44" s="790" t="str">
        <f>A16</f>
        <v>c25.16</v>
      </c>
      <c r="H44" s="929">
        <f>MAX(0,H22-H41)</f>
        <v>0</v>
      </c>
    </row>
    <row r="45" spans="1:12" x14ac:dyDescent="0.35">
      <c r="A45" s="146" t="s">
        <v>3857</v>
      </c>
      <c r="C45" s="146"/>
      <c r="D45" s="146"/>
      <c r="E45" s="429"/>
      <c r="H45" s="429"/>
      <c r="K45" s="975"/>
    </row>
    <row r="46" spans="1:12" x14ac:dyDescent="0.35">
      <c r="A46" s="146" t="s">
        <v>3858</v>
      </c>
      <c r="C46" s="957" t="s">
        <v>4332</v>
      </c>
      <c r="D46" s="146"/>
      <c r="E46" s="2684" t="str">
        <f>"from "&amp;'Status (c3a)'!L21</f>
        <v>from c3a.3</v>
      </c>
    </row>
    <row r="47" spans="1:12" x14ac:dyDescent="0.35">
      <c r="A47" s="146" t="s">
        <v>3859</v>
      </c>
      <c r="C47" s="957" t="s">
        <v>4333</v>
      </c>
      <c r="D47" s="790" t="str">
        <f>A17</f>
        <v>c25.17</v>
      </c>
      <c r="E47" s="1118">
        <f>'Status (c3a)'!M21</f>
        <v>116500</v>
      </c>
    </row>
    <row r="48" spans="1:12" x14ac:dyDescent="0.35">
      <c r="A48" s="146" t="s">
        <v>3495</v>
      </c>
      <c r="I48" s="3092"/>
      <c r="J48" s="3092"/>
      <c r="K48" s="3151" t="str">
        <f>"If pseudo box "&amp;YPD&amp;'INC(1)'!C7&amp;" = S, and"</f>
        <v>If pseudo box YPDTR = S, and</v>
      </c>
    </row>
    <row r="49" spans="1:13" x14ac:dyDescent="0.35">
      <c r="A49" s="146" t="s">
        <v>2928</v>
      </c>
      <c r="G49" s="432"/>
      <c r="H49" s="432"/>
      <c r="I49" s="3092"/>
      <c r="J49" s="3092"/>
      <c r="K49" s="3093" t="s">
        <v>6627</v>
      </c>
    </row>
    <row r="50" spans="1:13" x14ac:dyDescent="0.35">
      <c r="A50" s="146" t="s">
        <v>2929</v>
      </c>
      <c r="G50" s="432"/>
      <c r="H50" s="432"/>
      <c r="I50" s="3092"/>
      <c r="J50" s="3092"/>
      <c r="K50" s="3093" t="str">
        <f>J56&amp;" = "&amp;G56&amp;" x SHR_rate ("&amp;SHR_rate*100&amp;"%)"</f>
        <v>c25.20 = c25.19 x SHR_rate (40%)</v>
      </c>
    </row>
    <row r="51" spans="1:13" x14ac:dyDescent="0.35">
      <c r="A51" s="146" t="s">
        <v>6376</v>
      </c>
      <c r="I51" s="3092"/>
      <c r="J51" s="3092"/>
      <c r="K51" s="3092" t="s">
        <v>2520</v>
      </c>
    </row>
    <row r="52" spans="1:13" x14ac:dyDescent="0.35">
      <c r="A52" s="146" t="s">
        <v>6377</v>
      </c>
      <c r="I52" s="3092"/>
      <c r="J52" s="3092"/>
      <c r="K52" s="3094" t="str">
        <f>J56&amp;" = "&amp;G56&amp;" x HR_rate ("&amp;HR_rate*100&amp;"%)"</f>
        <v>c25.20 = c25.19 x HR_rate (40%)</v>
      </c>
    </row>
    <row r="53" spans="1:13" x14ac:dyDescent="0.35">
      <c r="A53" s="146" t="s">
        <v>6378</v>
      </c>
      <c r="I53" s="3092"/>
      <c r="J53" s="3092"/>
      <c r="K53" s="3095" t="s">
        <v>2638</v>
      </c>
    </row>
    <row r="54" spans="1:13" x14ac:dyDescent="0.35">
      <c r="A54" s="146" t="s">
        <v>6379</v>
      </c>
      <c r="C54" s="836"/>
      <c r="D54" s="836"/>
      <c r="E54" s="1060"/>
      <c r="F54" s="764"/>
      <c r="G54" s="784"/>
      <c r="H54" s="1061"/>
    </row>
    <row r="55" spans="1:13" x14ac:dyDescent="0.35">
      <c r="A55" s="146" t="s">
        <v>6380</v>
      </c>
      <c r="C55" s="836"/>
      <c r="D55" s="836"/>
      <c r="E55" s="856" t="str">
        <f>D47&amp;" minus "&amp;D44</f>
        <v>c25.17 minus c25.15</v>
      </c>
      <c r="F55" s="764"/>
      <c r="G55" s="784"/>
      <c r="H55" s="856" t="str">
        <f>"lower of "&amp;G44&amp;" and "&amp;D56</f>
        <v>lower of c25.16 and c25.18</v>
      </c>
      <c r="I55" s="1141"/>
      <c r="J55" s="1141"/>
      <c r="K55" s="3044" t="str">
        <f>G56&amp;" x "&amp;'Status (c3a)'!H31</f>
        <v>c25.19 x c3a.5</v>
      </c>
    </row>
    <row r="56" spans="1:13" x14ac:dyDescent="0.35">
      <c r="A56" s="146" t="s">
        <v>7938</v>
      </c>
      <c r="C56" s="110" t="s">
        <v>3497</v>
      </c>
      <c r="D56" s="790" t="str">
        <f>A18</f>
        <v>c25.18</v>
      </c>
      <c r="E56" s="929">
        <f>MAX(0,E47-E44)</f>
        <v>116500</v>
      </c>
      <c r="F56" s="764"/>
      <c r="G56" s="790" t="str">
        <f>A19</f>
        <v>c25.19</v>
      </c>
      <c r="H56" s="929">
        <f>MIN(H44,E56)</f>
        <v>0</v>
      </c>
      <c r="J56" s="790" t="str">
        <f>A20</f>
        <v>c25.20</v>
      </c>
      <c r="K56" s="924">
        <f>TRUNC(H56*'Status (c3a)'!I31,2)</f>
        <v>0</v>
      </c>
      <c r="L56" s="1079" t="s">
        <v>2872</v>
      </c>
    </row>
    <row r="57" spans="1:13" x14ac:dyDescent="0.35">
      <c r="A57" s="146" t="s">
        <v>7939</v>
      </c>
      <c r="C57" s="836"/>
      <c r="D57" s="146"/>
      <c r="E57" s="836"/>
      <c r="F57" s="764"/>
      <c r="G57" s="784"/>
      <c r="H57" s="1061"/>
      <c r="I57" s="3092"/>
      <c r="J57" s="3092"/>
      <c r="K57" s="3151" t="str">
        <f>"If pseudo box "&amp;YPD&amp;'INC(1)'!C7&amp;" = S, and"</f>
        <v>If pseudo box YPDTR = S, and</v>
      </c>
      <c r="M57" s="43"/>
    </row>
    <row r="58" spans="1:13" x14ac:dyDescent="0.35">
      <c r="F58" s="764"/>
      <c r="I58" s="3092"/>
      <c r="J58" s="3092"/>
      <c r="K58" s="3093" t="s">
        <v>6627</v>
      </c>
      <c r="M58" s="43"/>
    </row>
    <row r="59" spans="1:13" x14ac:dyDescent="0.35">
      <c r="G59" s="784"/>
      <c r="H59" s="708"/>
      <c r="I59" s="3092"/>
      <c r="J59" s="3092"/>
      <c r="K59" s="3093" t="str">
        <f>J65&amp;" = "&amp;G65&amp;" x SAHR_rate ("&amp;SAHR_rate*100&amp;"%)"</f>
        <v>c25.22 = c25.21 x SAHR_rate (45%)</v>
      </c>
      <c r="M59" s="43"/>
    </row>
    <row r="60" spans="1:13" x14ac:dyDescent="0.35">
      <c r="F60" s="764"/>
      <c r="I60" s="3092"/>
      <c r="J60" s="3092"/>
      <c r="K60" s="3092" t="s">
        <v>2520</v>
      </c>
      <c r="M60" s="43"/>
    </row>
    <row r="61" spans="1:13" x14ac:dyDescent="0.35">
      <c r="I61" s="3092"/>
      <c r="J61" s="3092"/>
      <c r="K61" s="3094" t="str">
        <f>J65&amp;" = "&amp;G65&amp;" x AHR_rate ("&amp;AHR_rate*100&amp;"%)"</f>
        <v>c25.22 = c25.21 x AHR_rate (45%)</v>
      </c>
      <c r="M61" s="43"/>
    </row>
    <row r="62" spans="1:13" x14ac:dyDescent="0.35">
      <c r="I62" s="3092"/>
      <c r="J62" s="3092"/>
      <c r="K62" s="3095" t="s">
        <v>2638</v>
      </c>
      <c r="M62" s="43"/>
    </row>
    <row r="63" spans="1:13" x14ac:dyDescent="0.35">
      <c r="M63" s="43"/>
    </row>
    <row r="64" spans="1:13" x14ac:dyDescent="0.35">
      <c r="H64" s="856" t="str">
        <f>G44&amp;" minus "&amp;G56</f>
        <v>c25.16 minus c25.19</v>
      </c>
      <c r="I64" s="1141"/>
      <c r="J64" s="1141"/>
      <c r="K64" s="3044" t="str">
        <f>G65&amp;" x "&amp;'Status (c3a)'!L31</f>
        <v>c25.21 x c3a.6</v>
      </c>
      <c r="M64" s="43"/>
    </row>
    <row r="65" spans="2:13" x14ac:dyDescent="0.35">
      <c r="G65" s="790" t="str">
        <f>A21</f>
        <v>c25.21</v>
      </c>
      <c r="H65" s="929">
        <f>MAX(0,H44-H56)</f>
        <v>0</v>
      </c>
      <c r="J65" s="790" t="str">
        <f>A22</f>
        <v>c25.22</v>
      </c>
      <c r="K65" s="924">
        <f>TRUNC(H65*'Status (c3a)'!M31,2)</f>
        <v>0</v>
      </c>
      <c r="L65" s="1079" t="s">
        <v>2872</v>
      </c>
      <c r="M65" s="43"/>
    </row>
    <row r="66" spans="2:13" x14ac:dyDescent="0.35">
      <c r="M66" s="43"/>
    </row>
    <row r="67" spans="2:13" x14ac:dyDescent="0.35">
      <c r="C67" s="836"/>
      <c r="D67" s="836"/>
      <c r="E67" s="836"/>
      <c r="F67" s="764"/>
      <c r="K67" s="406" t="str">
        <f>J41&amp;" + "&amp;J56&amp;" + "&amp;J65</f>
        <v>c25.14 + c25.20 + c25.22</v>
      </c>
      <c r="M67" s="43"/>
    </row>
    <row r="68" spans="2:13" x14ac:dyDescent="0.35">
      <c r="C68" s="146"/>
      <c r="D68" s="146"/>
      <c r="E68" s="146"/>
      <c r="J68" s="790" t="str">
        <f>A23</f>
        <v>c25.23</v>
      </c>
      <c r="K68" s="979">
        <f>K41+K56+K65</f>
        <v>0</v>
      </c>
      <c r="M68" s="43"/>
    </row>
    <row r="69" spans="2:13" x14ac:dyDescent="0.35">
      <c r="M69" s="43"/>
    </row>
    <row r="70" spans="2:13" x14ac:dyDescent="0.35">
      <c r="H70" s="764" t="str">
        <f>"from "&amp;AIL&amp;AIL!C23</f>
        <v>from AIL11</v>
      </c>
      <c r="K70" s="109" t="str">
        <f>"lower of "&amp;J68&amp;" and "&amp;G71</f>
        <v>lower of c25.23 and c25.24</v>
      </c>
      <c r="M70" s="43"/>
    </row>
    <row r="71" spans="2:13" x14ac:dyDescent="0.35">
      <c r="C71" s="836" t="s">
        <v>3499</v>
      </c>
      <c r="D71" s="836"/>
      <c r="E71" s="836"/>
      <c r="G71" s="790" t="str">
        <f>A24</f>
        <v>c25.24</v>
      </c>
      <c r="H71" s="979">
        <f>TRUNC(AIL!D24,0)</f>
        <v>0</v>
      </c>
      <c r="I71" s="1079" t="s">
        <v>1837</v>
      </c>
      <c r="J71" s="790" t="str">
        <f>A25</f>
        <v>c25.25</v>
      </c>
      <c r="K71" s="924">
        <f>MIN(K68,H71)</f>
        <v>0</v>
      </c>
      <c r="M71" s="43"/>
    </row>
    <row r="72" spans="2:13" x14ac:dyDescent="0.35">
      <c r="F72" s="764"/>
      <c r="K72" s="146"/>
      <c r="M72" s="43"/>
    </row>
    <row r="73" spans="2:13" x14ac:dyDescent="0.35">
      <c r="F73" s="764"/>
      <c r="K73" s="109" t="str">
        <f>J68&amp;" minus "&amp;J71</f>
        <v>c25.23 minus c25.25</v>
      </c>
      <c r="M73" s="43"/>
    </row>
    <row r="74" spans="2:13" x14ac:dyDescent="0.35">
      <c r="F74" s="764"/>
      <c r="J74" s="790" t="str">
        <f>A26</f>
        <v>c25.26</v>
      </c>
      <c r="K74" s="924">
        <f>MAX(0,K68-K71)</f>
        <v>0</v>
      </c>
      <c r="M74" s="43"/>
    </row>
    <row r="75" spans="2:13" x14ac:dyDescent="0.35">
      <c r="B75" s="760"/>
      <c r="C75" s="926"/>
      <c r="D75" s="926"/>
      <c r="E75" s="926"/>
      <c r="F75" s="760"/>
      <c r="G75" s="760"/>
      <c r="H75" s="760"/>
      <c r="I75" s="760"/>
      <c r="J75" s="760"/>
      <c r="K75" s="927"/>
      <c r="L75" s="927"/>
      <c r="M75" s="43"/>
    </row>
    <row r="76" spans="2:13" x14ac:dyDescent="0.35">
      <c r="L76" s="432"/>
      <c r="M76" s="43"/>
    </row>
    <row r="77" spans="2:13" x14ac:dyDescent="0.35">
      <c r="B77" s="3053" t="s">
        <v>7932</v>
      </c>
      <c r="C77" s="3091"/>
      <c r="D77" s="3091"/>
      <c r="E77" s="3091"/>
      <c r="F77" s="3059"/>
      <c r="G77" s="3045"/>
      <c r="H77" s="3045"/>
      <c r="I77" s="3045"/>
      <c r="J77" s="3048"/>
      <c r="K77" s="3357"/>
      <c r="L77" s="3045"/>
      <c r="M77" s="43"/>
    </row>
    <row r="78" spans="2:13" x14ac:dyDescent="0.35">
      <c r="B78" s="3045"/>
      <c r="C78" s="3091"/>
      <c r="D78" s="3091"/>
      <c r="E78" s="3091"/>
      <c r="F78" s="3059"/>
      <c r="G78" s="3045"/>
      <c r="H78" s="3059" t="str">
        <f>"from "&amp;AIL&amp;AIL!C26</f>
        <v>from AIL11.1</v>
      </c>
      <c r="I78" s="3045"/>
      <c r="J78" s="3048"/>
      <c r="K78" s="3155" t="str">
        <f>G79&amp;" x OTC_rate ("&amp;OTC_rate*100&amp;"%)"</f>
        <v>c25.27 x OTC_rate (25%)</v>
      </c>
      <c r="L78" s="3045"/>
      <c r="M78" s="43"/>
    </row>
    <row r="79" spans="2:13" x14ac:dyDescent="0.35">
      <c r="B79" s="3045"/>
      <c r="C79" s="3355" t="s">
        <v>7933</v>
      </c>
      <c r="D79" s="3091"/>
      <c r="E79" s="3091"/>
      <c r="F79" s="3059"/>
      <c r="G79" s="3046" t="str">
        <f>A27</f>
        <v>c25.27</v>
      </c>
      <c r="H79" s="924">
        <f>TRUNC(AIL!D27,0)</f>
        <v>0</v>
      </c>
      <c r="I79" s="3845" t="s">
        <v>1837</v>
      </c>
      <c r="J79" s="3046" t="str">
        <f>A28</f>
        <v>c25.28</v>
      </c>
      <c r="K79" s="924">
        <f>TRUNC(H79*OTC_rate,2)</f>
        <v>0</v>
      </c>
      <c r="L79" s="3051" t="s">
        <v>2872</v>
      </c>
      <c r="M79" s="43"/>
    </row>
    <row r="80" spans="2:13" x14ac:dyDescent="0.35">
      <c r="B80" s="3045"/>
      <c r="C80" s="3356" t="s">
        <v>7934</v>
      </c>
      <c r="D80" s="3091"/>
      <c r="E80" s="3091"/>
      <c r="F80" s="3059"/>
      <c r="G80" s="3045"/>
      <c r="H80" s="3045"/>
      <c r="I80" s="3045"/>
      <c r="J80" s="3048"/>
      <c r="K80" s="3357"/>
      <c r="L80" s="3045"/>
      <c r="M80" s="43"/>
    </row>
    <row r="81" spans="2:13" x14ac:dyDescent="0.35">
      <c r="B81" s="3045"/>
      <c r="C81" s="3356"/>
      <c r="D81" s="3091"/>
      <c r="E81" s="3091"/>
      <c r="F81" s="3059"/>
      <c r="G81" s="3045"/>
      <c r="H81" s="3059" t="str">
        <f>"from "&amp;AIL&amp;AIL!C29</f>
        <v>from AIL11.2</v>
      </c>
      <c r="I81" s="3045"/>
      <c r="J81" s="3048"/>
      <c r="K81" s="3358" t="str">
        <f>"lower of "&amp;J79&amp;" and "&amp;G82</f>
        <v>lower of c25.28 and c25.29</v>
      </c>
      <c r="L81" s="3045"/>
      <c r="M81" s="43"/>
    </row>
    <row r="82" spans="2:13" x14ac:dyDescent="0.35">
      <c r="B82" s="3045"/>
      <c r="C82" s="3171" t="s">
        <v>3499</v>
      </c>
      <c r="D82" s="3091"/>
      <c r="E82" s="3091"/>
      <c r="F82" s="3059"/>
      <c r="G82" s="3046" t="str">
        <f>A29</f>
        <v>c25.29</v>
      </c>
      <c r="H82" s="924">
        <f>AIL!D30</f>
        <v>0</v>
      </c>
      <c r="I82" s="3045"/>
      <c r="J82" s="3046" t="str">
        <f>A30</f>
        <v>c25.30</v>
      </c>
      <c r="K82" s="924">
        <f>MIN(K79,H82)</f>
        <v>0</v>
      </c>
      <c r="L82" s="3045"/>
      <c r="M82" s="43"/>
    </row>
    <row r="83" spans="2:13" x14ac:dyDescent="0.35">
      <c r="B83" s="3045"/>
      <c r="C83" s="3091"/>
      <c r="D83" s="3091"/>
      <c r="E83" s="3091"/>
      <c r="F83" s="3059"/>
      <c r="G83" s="3045"/>
      <c r="H83" s="3045"/>
      <c r="I83" s="3045"/>
      <c r="J83" s="3048"/>
      <c r="K83" s="3357"/>
      <c r="L83" s="3045"/>
      <c r="M83" s="43"/>
    </row>
    <row r="84" spans="2:13" x14ac:dyDescent="0.35">
      <c r="B84" s="3045"/>
      <c r="C84" s="3091"/>
      <c r="D84" s="3091"/>
      <c r="E84" s="3091"/>
      <c r="F84" s="3059"/>
      <c r="G84" s="3045"/>
      <c r="H84" s="3045"/>
      <c r="I84" s="3045"/>
      <c r="J84" s="3048"/>
      <c r="K84" s="3358" t="str">
        <f>J79&amp;" minus "&amp;J82</f>
        <v>c25.28 minus c25.30</v>
      </c>
      <c r="L84" s="3045"/>
      <c r="M84" s="43"/>
    </row>
    <row r="85" spans="2:13" x14ac:dyDescent="0.35">
      <c r="B85" s="3045"/>
      <c r="C85" s="3091"/>
      <c r="D85" s="3091"/>
      <c r="E85" s="3091"/>
      <c r="F85" s="3059"/>
      <c r="G85" s="3045"/>
      <c r="H85" s="3045"/>
      <c r="I85" s="3045"/>
      <c r="J85" s="3046" t="str">
        <f>A31</f>
        <v>c25.31</v>
      </c>
      <c r="K85" s="924">
        <f>MAX(0,K79-K82)</f>
        <v>0</v>
      </c>
      <c r="L85" s="3045"/>
      <c r="M85" s="43"/>
    </row>
    <row r="86" spans="2:13" x14ac:dyDescent="0.35">
      <c r="B86" s="760"/>
      <c r="C86" s="926"/>
      <c r="D86" s="926"/>
      <c r="E86" s="926"/>
      <c r="F86" s="760"/>
      <c r="G86" s="760"/>
      <c r="H86" s="760"/>
      <c r="I86" s="760"/>
      <c r="J86" s="760"/>
      <c r="K86" s="927"/>
      <c r="L86" s="927"/>
      <c r="M86" s="43"/>
    </row>
    <row r="87" spans="2:13" x14ac:dyDescent="0.35">
      <c r="L87" s="432"/>
      <c r="M87" s="43"/>
    </row>
    <row r="88" spans="2:13" x14ac:dyDescent="0.35">
      <c r="B88" s="786" t="s">
        <v>688</v>
      </c>
      <c r="M88" s="43"/>
    </row>
    <row r="89" spans="2:13" x14ac:dyDescent="0.35">
      <c r="G89" s="145"/>
      <c r="H89" s="764" t="str">
        <f>"from "&amp;AIL&amp;AIL!G11</f>
        <v>from AIL13</v>
      </c>
      <c r="J89" s="3045"/>
      <c r="K89" s="3155" t="str">
        <f>G90&amp;" x Pen_Upayts ("&amp;Pen_Upayts*100&amp;"%)"</f>
        <v>c25.32 x Pen_Upayts (40%)</v>
      </c>
    </row>
    <row r="90" spans="2:13" x14ac:dyDescent="0.35">
      <c r="C90" s="928" t="s">
        <v>4110</v>
      </c>
      <c r="D90" s="928"/>
      <c r="E90" s="928"/>
      <c r="G90" s="3046" t="str">
        <f>A32</f>
        <v>c25.32</v>
      </c>
      <c r="H90" s="147">
        <f>TRUNC(AIL!H12,0)</f>
        <v>0</v>
      </c>
      <c r="I90" s="1076" t="s">
        <v>1837</v>
      </c>
      <c r="J90" s="3046" t="str">
        <f>A33</f>
        <v>c25.33</v>
      </c>
      <c r="K90" s="924">
        <f>TRUNC(H90*Pen_Upayts,2)</f>
        <v>0</v>
      </c>
      <c r="L90" s="1079" t="s">
        <v>2872</v>
      </c>
    </row>
    <row r="91" spans="2:13" x14ac:dyDescent="0.35">
      <c r="C91" s="836"/>
      <c r="D91" s="836"/>
      <c r="E91" s="836"/>
      <c r="F91" s="759"/>
      <c r="G91" s="759"/>
      <c r="J91" s="759"/>
    </row>
    <row r="92" spans="2:13" x14ac:dyDescent="0.35">
      <c r="C92" s="836"/>
      <c r="D92" s="836"/>
      <c r="E92" s="836"/>
      <c r="F92" s="759"/>
      <c r="G92" s="759"/>
      <c r="H92" s="764" t="str">
        <f>"from "&amp;AIL&amp;AIL!G14</f>
        <v>from AIL14</v>
      </c>
      <c r="I92" s="3045"/>
      <c r="J92" s="3061"/>
      <c r="K92" s="3155" t="str">
        <f>G93&amp;" x Upayts_surcharge ("&amp;Upayts_surcharge*100&amp;"%)"</f>
        <v>c25.34 x Upayts_surcharge (55%)</v>
      </c>
    </row>
    <row r="93" spans="2:13" x14ac:dyDescent="0.35">
      <c r="C93" s="928" t="s">
        <v>3666</v>
      </c>
      <c r="D93" s="928"/>
      <c r="E93" s="928"/>
      <c r="G93" s="3046" t="str">
        <f>A34</f>
        <v>c25.34</v>
      </c>
      <c r="H93" s="147">
        <f>TRUNC(AIL!H15,0)</f>
        <v>0</v>
      </c>
      <c r="I93" s="1079" t="s">
        <v>1837</v>
      </c>
      <c r="J93" s="3046" t="str">
        <f>A35</f>
        <v>c25.35</v>
      </c>
      <c r="K93" s="924">
        <f>TRUNC(H93*Upayts_surcharge,2)</f>
        <v>0</v>
      </c>
      <c r="L93" s="1079" t="s">
        <v>2872</v>
      </c>
    </row>
    <row r="94" spans="2:13" x14ac:dyDescent="0.35">
      <c r="L94" s="43"/>
    </row>
    <row r="95" spans="2:13" x14ac:dyDescent="0.35">
      <c r="K95" s="3044" t="str">
        <f>J90&amp;" + "&amp;J93</f>
        <v>c25.33 + c25.35</v>
      </c>
      <c r="L95" s="43"/>
    </row>
    <row r="96" spans="2:13" x14ac:dyDescent="0.35">
      <c r="C96" s="110" t="s">
        <v>3667</v>
      </c>
      <c r="J96" s="3046" t="str">
        <f>A36</f>
        <v>c25.36</v>
      </c>
      <c r="K96" s="924">
        <f>K90+K93</f>
        <v>0</v>
      </c>
      <c r="L96" s="43"/>
    </row>
    <row r="97" spans="2:12" x14ac:dyDescent="0.35">
      <c r="L97" s="43"/>
    </row>
    <row r="98" spans="2:12" x14ac:dyDescent="0.35">
      <c r="H98" s="764" t="str">
        <f>"from "&amp;AIL&amp;AIL!G17</f>
        <v>from AIL15</v>
      </c>
      <c r="K98" s="3044" t="str">
        <f>"lower of "&amp;J96&amp;" and "&amp;G99</f>
        <v>lower of c25.36 and c25.37</v>
      </c>
      <c r="L98" s="43"/>
    </row>
    <row r="99" spans="2:12" x14ac:dyDescent="0.35">
      <c r="C99" s="836" t="s">
        <v>1395</v>
      </c>
      <c r="D99" s="836"/>
      <c r="E99" s="836"/>
      <c r="G99" s="3046" t="str">
        <f>A37</f>
        <v>c25.37</v>
      </c>
      <c r="H99" s="147">
        <f>AIL!H18</f>
        <v>0</v>
      </c>
      <c r="J99" s="3046" t="str">
        <f>A38</f>
        <v>c25.38</v>
      </c>
      <c r="K99" s="924">
        <f>MIN(K96,H99)</f>
        <v>0</v>
      </c>
      <c r="L99" s="43"/>
    </row>
    <row r="100" spans="2:12" x14ac:dyDescent="0.35">
      <c r="L100" s="43"/>
    </row>
    <row r="101" spans="2:12" x14ac:dyDescent="0.35">
      <c r="K101" s="3044" t="str">
        <f>J96&amp;" minus "&amp;J99</f>
        <v>c25.36 minus c25.38</v>
      </c>
      <c r="L101" s="43"/>
    </row>
    <row r="102" spans="2:12" x14ac:dyDescent="0.35">
      <c r="C102" s="110" t="s">
        <v>1394</v>
      </c>
      <c r="J102" s="3046" t="str">
        <f>A39</f>
        <v>c25.39</v>
      </c>
      <c r="K102" s="924">
        <f>MAX(0,K96-K99)</f>
        <v>0</v>
      </c>
      <c r="L102" s="43"/>
    </row>
    <row r="103" spans="2:12" x14ac:dyDescent="0.35">
      <c r="B103" s="760"/>
      <c r="C103" s="926"/>
      <c r="D103" s="926"/>
      <c r="E103" s="926"/>
      <c r="F103" s="760"/>
      <c r="G103" s="760"/>
      <c r="H103" s="760"/>
      <c r="I103" s="760"/>
      <c r="J103" s="760"/>
      <c r="K103" s="927"/>
      <c r="L103" s="927"/>
    </row>
    <row r="104" spans="2:12" x14ac:dyDescent="0.35">
      <c r="L104" s="432"/>
    </row>
    <row r="105" spans="2:12" x14ac:dyDescent="0.35">
      <c r="B105" s="60" t="s">
        <v>689</v>
      </c>
      <c r="L105" s="43"/>
    </row>
    <row r="106" spans="2:12" x14ac:dyDescent="0.35">
      <c r="H106" s="764" t="str">
        <f>"from "&amp;AIL&amp;AIL!G20</f>
        <v>from AIL16</v>
      </c>
      <c r="L106" s="43"/>
    </row>
    <row r="107" spans="2:12" x14ac:dyDescent="0.35">
      <c r="C107" s="836" t="s">
        <v>690</v>
      </c>
      <c r="D107" s="836"/>
      <c r="E107" s="836"/>
      <c r="G107" s="3046" t="str">
        <f>A40</f>
        <v>c25.40</v>
      </c>
      <c r="H107" s="147">
        <f>TRUNC(AIL!H21,0)</f>
        <v>0</v>
      </c>
      <c r="I107" s="1079" t="s">
        <v>1837</v>
      </c>
      <c r="L107" s="43"/>
    </row>
    <row r="108" spans="2:12" x14ac:dyDescent="0.35">
      <c r="F108" s="836"/>
      <c r="G108" s="759"/>
      <c r="L108" s="43"/>
    </row>
    <row r="109" spans="2:12" x14ac:dyDescent="0.35">
      <c r="H109" s="109" t="str">
        <f>"SSR_lower_band"</f>
        <v>SSR_lower_band</v>
      </c>
    </row>
    <row r="110" spans="2:12" x14ac:dyDescent="0.35">
      <c r="B110" s="43"/>
      <c r="C110" s="1192" t="s">
        <v>4774</v>
      </c>
      <c r="F110" s="759"/>
      <c r="G110" s="3046" t="str">
        <f>A41</f>
        <v>c25.41</v>
      </c>
      <c r="H110" s="1191">
        <f>SSR_lower_band</f>
        <v>20000</v>
      </c>
      <c r="I110" s="43"/>
      <c r="L110" s="43"/>
    </row>
    <row r="111" spans="2:12" x14ac:dyDescent="0.35">
      <c r="B111" s="43"/>
      <c r="C111" s="42"/>
      <c r="D111" s="42"/>
      <c r="E111" s="42"/>
      <c r="F111" s="784"/>
      <c r="G111" s="784"/>
      <c r="H111" s="43"/>
      <c r="I111" s="43"/>
    </row>
    <row r="112" spans="2:12" x14ac:dyDescent="0.35">
      <c r="B112" s="43"/>
      <c r="F112" s="759"/>
      <c r="G112" s="759"/>
      <c r="H112" s="3044" t="str">
        <f>"lower of "&amp;G107&amp;" and "&amp;G110</f>
        <v>lower of c25.40 and c25.41</v>
      </c>
      <c r="J112" s="3045"/>
      <c r="K112" s="3155" t="str">
        <f>G113&amp;" x SSR_lower_rate ("&amp;SSR_lower_rate*100&amp;"%)"</f>
        <v>c25.42 x SSR_lower_rate (20%)</v>
      </c>
      <c r="L112" s="43"/>
    </row>
    <row r="113" spans="2:12" x14ac:dyDescent="0.35">
      <c r="B113" s="43"/>
      <c r="F113" s="764"/>
      <c r="G113" s="3046" t="str">
        <f>A42</f>
        <v>c25.42</v>
      </c>
      <c r="H113" s="929">
        <f>MIN(H107,H110)</f>
        <v>0</v>
      </c>
      <c r="I113" s="43"/>
      <c r="J113" s="3046" t="str">
        <f>A43</f>
        <v>c25.43</v>
      </c>
      <c r="K113" s="924">
        <f>TRUNC(H113*SSR_lower_rate,2)</f>
        <v>0</v>
      </c>
      <c r="L113" s="1079" t="s">
        <v>2872</v>
      </c>
    </row>
    <row r="114" spans="2:12" x14ac:dyDescent="0.35">
      <c r="B114" s="43"/>
      <c r="F114" s="759"/>
      <c r="G114" s="759"/>
      <c r="J114" s="759"/>
    </row>
    <row r="115" spans="2:12" x14ac:dyDescent="0.35">
      <c r="C115" s="42"/>
      <c r="D115" s="42"/>
      <c r="E115" s="42"/>
      <c r="F115" s="784"/>
      <c r="G115" s="759"/>
      <c r="H115" s="3155" t="str">
        <f>G107&amp;" minus "&amp;G113</f>
        <v>c25.40 minus c25.42</v>
      </c>
      <c r="I115" s="43"/>
      <c r="J115" s="3061"/>
      <c r="K115" s="3155" t="str">
        <f>G116&amp;" x SSR_higher_rate "&amp;SSR_higher_rate*100&amp;"%"</f>
        <v>c25.44 x SSR_higher_rate 50%</v>
      </c>
    </row>
    <row r="116" spans="2:12" x14ac:dyDescent="0.35">
      <c r="B116" s="43"/>
      <c r="F116" s="757"/>
      <c r="G116" s="3046" t="str">
        <f>A44</f>
        <v>c25.44</v>
      </c>
      <c r="H116" s="924">
        <f>MAX(0,H107-H113)</f>
        <v>0</v>
      </c>
      <c r="I116" s="43"/>
      <c r="J116" s="3046" t="str">
        <f>A45</f>
        <v>c25.45</v>
      </c>
      <c r="K116" s="924">
        <f>TRUNC(H116*SSR_higher_rate,2)</f>
        <v>0</v>
      </c>
      <c r="L116" s="1079" t="s">
        <v>2872</v>
      </c>
    </row>
    <row r="117" spans="2:12" x14ac:dyDescent="0.35">
      <c r="C117" s="42"/>
      <c r="D117" s="42"/>
      <c r="E117" s="42"/>
      <c r="F117" s="43"/>
      <c r="H117" s="43"/>
      <c r="I117" s="43"/>
      <c r="J117" s="759"/>
    </row>
    <row r="118" spans="2:12" x14ac:dyDescent="0.35">
      <c r="B118" s="60" t="s">
        <v>2519</v>
      </c>
      <c r="K118" s="3044" t="str">
        <f>J113&amp;" + "&amp;J116</f>
        <v>c25.43 + c25.45</v>
      </c>
    </row>
    <row r="119" spans="2:12" x14ac:dyDescent="0.35">
      <c r="C119" s="42" t="s">
        <v>2836</v>
      </c>
      <c r="D119" s="42"/>
      <c r="E119" s="42"/>
      <c r="F119" s="43"/>
      <c r="G119" s="43"/>
      <c r="H119" s="43"/>
      <c r="I119" s="43"/>
      <c r="J119" s="3046" t="str">
        <f>A46</f>
        <v>c25.46</v>
      </c>
      <c r="K119" s="924">
        <f>K113+K116</f>
        <v>0</v>
      </c>
    </row>
    <row r="121" spans="2:12" x14ac:dyDescent="0.35">
      <c r="B121" s="3092"/>
      <c r="C121" s="3344" t="s">
        <v>2202</v>
      </c>
      <c r="D121" s="3345"/>
      <c r="E121" s="3345"/>
      <c r="F121" s="3092"/>
      <c r="G121" s="3346"/>
      <c r="H121" s="3347" t="s">
        <v>7935</v>
      </c>
      <c r="I121" s="3346"/>
      <c r="J121" s="3346"/>
      <c r="K121" s="3348" t="s">
        <v>7936</v>
      </c>
      <c r="L121" s="3092"/>
    </row>
    <row r="122" spans="2:12" x14ac:dyDescent="0.35">
      <c r="B122" s="3346"/>
      <c r="C122" s="3344" t="s">
        <v>5581</v>
      </c>
      <c r="D122" s="3344"/>
      <c r="E122" s="3344"/>
      <c r="F122" s="3092"/>
      <c r="G122" s="3349" t="s">
        <v>3854</v>
      </c>
      <c r="H122" s="3350"/>
      <c r="I122" s="3351" t="s">
        <v>1837</v>
      </c>
      <c r="J122" s="3349" t="s">
        <v>3855</v>
      </c>
      <c r="K122" s="3352"/>
      <c r="L122" s="3351" t="s">
        <v>2872</v>
      </c>
    </row>
    <row r="123" spans="2:12" x14ac:dyDescent="0.35">
      <c r="F123" s="109"/>
    </row>
    <row r="124" spans="2:12" x14ac:dyDescent="0.35">
      <c r="C124" s="836"/>
      <c r="D124" s="836"/>
      <c r="E124" s="836"/>
      <c r="F124" s="764"/>
      <c r="J124" s="3346"/>
      <c r="K124" s="3348" t="s">
        <v>7937</v>
      </c>
    </row>
    <row r="125" spans="2:12" x14ac:dyDescent="0.35">
      <c r="C125" s="836"/>
      <c r="D125" s="836"/>
      <c r="E125" s="836"/>
      <c r="F125" s="764"/>
      <c r="J125" s="3349" t="s">
        <v>3856</v>
      </c>
      <c r="K125" s="3352"/>
    </row>
    <row r="126" spans="2:12" x14ac:dyDescent="0.35">
      <c r="C126" s="836"/>
      <c r="D126" s="836"/>
      <c r="E126" s="836"/>
      <c r="F126" s="764"/>
    </row>
    <row r="127" spans="2:12" x14ac:dyDescent="0.35">
      <c r="C127" s="836"/>
      <c r="D127" s="836"/>
      <c r="E127" s="836"/>
      <c r="F127" s="764"/>
      <c r="H127" s="764" t="str">
        <f>"from "&amp;AIL&amp;AIL!G26</f>
        <v>from AIL18</v>
      </c>
      <c r="K127" s="3044" t="str">
        <f>"lower of "&amp;J119&amp;" and "&amp;G128</f>
        <v>lower of c25.46 and c25.47</v>
      </c>
    </row>
    <row r="128" spans="2:12" x14ac:dyDescent="0.35">
      <c r="C128" s="836" t="s">
        <v>1395</v>
      </c>
      <c r="D128" s="836"/>
      <c r="E128" s="836"/>
      <c r="G128" s="3360" t="str">
        <f>A47</f>
        <v>c25.47</v>
      </c>
      <c r="H128" s="147">
        <f>AIL!H27</f>
        <v>0</v>
      </c>
      <c r="J128" s="3360" t="str">
        <f>A48</f>
        <v>c25.48</v>
      </c>
      <c r="K128" s="924">
        <f>MIN(K119,H128)</f>
        <v>0</v>
      </c>
    </row>
    <row r="130" spans="2:12" x14ac:dyDescent="0.35">
      <c r="K130" s="3044" t="str">
        <f>J119&amp;" minus "&amp;J128</f>
        <v>c25.46 minus c25.48</v>
      </c>
    </row>
    <row r="131" spans="2:12" x14ac:dyDescent="0.35">
      <c r="C131" s="110" t="s">
        <v>1420</v>
      </c>
      <c r="J131" s="3360" t="str">
        <f>A49</f>
        <v>c25.49</v>
      </c>
      <c r="K131" s="924">
        <f>MAX(0,K119-K128)</f>
        <v>0</v>
      </c>
    </row>
    <row r="132" spans="2:12" x14ac:dyDescent="0.35">
      <c r="B132" s="760"/>
      <c r="C132" s="926"/>
      <c r="D132" s="926"/>
      <c r="E132" s="926"/>
      <c r="F132" s="760"/>
      <c r="G132" s="760"/>
      <c r="H132" s="760"/>
      <c r="I132" s="760"/>
      <c r="J132" s="760"/>
      <c r="K132" s="927"/>
      <c r="L132" s="927"/>
    </row>
    <row r="133" spans="2:12" x14ac:dyDescent="0.35">
      <c r="L133" s="432"/>
    </row>
    <row r="134" spans="2:12" x14ac:dyDescent="0.35">
      <c r="B134" s="792" t="s">
        <v>2837</v>
      </c>
    </row>
    <row r="136" spans="2:12" x14ac:dyDescent="0.35">
      <c r="C136" s="2623"/>
      <c r="D136" s="1891"/>
      <c r="E136" s="1891"/>
      <c r="F136" s="1855"/>
      <c r="G136" s="1892"/>
    </row>
    <row r="137" spans="2:12" x14ac:dyDescent="0.35">
      <c r="C137" s="1880"/>
      <c r="D137" s="42"/>
      <c r="E137" s="42"/>
      <c r="F137" s="43"/>
      <c r="G137" s="1275"/>
    </row>
    <row r="138" spans="2:12" x14ac:dyDescent="0.35">
      <c r="C138" s="1880"/>
      <c r="D138" s="42"/>
      <c r="E138" s="42"/>
      <c r="F138" s="43"/>
      <c r="G138" s="1275"/>
    </row>
    <row r="139" spans="2:12" x14ac:dyDescent="0.35">
      <c r="C139" s="1880"/>
      <c r="D139" s="42"/>
      <c r="E139" s="42"/>
      <c r="F139" s="43"/>
      <c r="G139" s="1275"/>
    </row>
    <row r="140" spans="2:12" x14ac:dyDescent="0.35">
      <c r="C140" s="1880"/>
      <c r="D140" s="42"/>
      <c r="E140" s="42"/>
      <c r="F140" s="43"/>
      <c r="G140" s="1275"/>
    </row>
    <row r="141" spans="2:12" x14ac:dyDescent="0.35">
      <c r="C141" s="1880"/>
      <c r="D141" s="42"/>
      <c r="E141" s="42"/>
      <c r="F141" s="43"/>
      <c r="G141" s="1275"/>
    </row>
    <row r="142" spans="2:12" x14ac:dyDescent="0.35">
      <c r="C142" s="1884"/>
      <c r="D142" s="2624"/>
      <c r="E142" s="2624"/>
      <c r="F142" s="1270"/>
      <c r="G142" s="1199"/>
    </row>
    <row r="143" spans="2:12" x14ac:dyDescent="0.35">
      <c r="I143" s="3044"/>
      <c r="J143" s="3044"/>
      <c r="K143" s="3358" t="str">
        <f>J16&amp;" + "&amp;J74&amp;" + "&amp;J85&amp;" + "&amp;J102&amp;" + "&amp;J131</f>
        <v>c25.8 + c25.26 + c25.31 + c25.39 + c25.49</v>
      </c>
    </row>
    <row r="144" spans="2:12" x14ac:dyDescent="0.35">
      <c r="C144" s="836" t="s">
        <v>6358</v>
      </c>
      <c r="D144" s="792"/>
      <c r="E144" s="792"/>
      <c r="J144" s="3360" t="str">
        <f>A50</f>
        <v>c25.50</v>
      </c>
      <c r="K144" s="924">
        <f>K16+K74+K85+K102+K131</f>
        <v>0</v>
      </c>
    </row>
    <row r="145" spans="1:12" x14ac:dyDescent="0.35">
      <c r="C145" s="1043" t="s">
        <v>2541</v>
      </c>
      <c r="D145" s="146"/>
      <c r="E145" s="146"/>
      <c r="K145" s="406" t="str">
        <f>"Copy to "&amp;'Tax due (c12)'!F34</f>
        <v>Copy to c12.9</v>
      </c>
    </row>
    <row r="146" spans="1:12" x14ac:dyDescent="0.35">
      <c r="C146" s="1069"/>
      <c r="D146" s="3361"/>
      <c r="E146" s="3362" t="str">
        <f>J10&amp;" + "&amp;J68&amp;" + "&amp;J79&amp;" + "&amp;J96&amp;" + "&amp;J119</f>
        <v>c25.5 + c25.23 + c25.28 + c25.36 + c25.46</v>
      </c>
      <c r="F146" s="1043"/>
      <c r="K146" s="406"/>
    </row>
    <row r="147" spans="1:12" x14ac:dyDescent="0.35">
      <c r="C147" s="1069" t="s">
        <v>2927</v>
      </c>
      <c r="D147" s="3363" t="str">
        <f>A51</f>
        <v>c25.51</v>
      </c>
      <c r="E147" s="1071">
        <f>K10+K68+K79+K96+K119</f>
        <v>0</v>
      </c>
      <c r="F147" s="1043"/>
      <c r="K147" s="406"/>
    </row>
    <row r="148" spans="1:12" x14ac:dyDescent="0.35">
      <c r="C148" s="1069"/>
      <c r="D148" s="1043"/>
      <c r="E148" s="1069"/>
      <c r="F148" s="1043"/>
      <c r="K148" s="406"/>
    </row>
    <row r="149" spans="1:12" x14ac:dyDescent="0.35">
      <c r="C149" s="1043"/>
      <c r="D149" s="3361"/>
      <c r="E149" s="3362" t="str">
        <f>J13&amp;" + "&amp;J71&amp;" + "&amp;J82&amp;" + "&amp;J99&amp;" + "&amp;J128</f>
        <v>c25.7 + c25.25 + c25.30 + c25.38 + c25.48</v>
      </c>
      <c r="F149" s="1043"/>
      <c r="K149" s="406"/>
    </row>
    <row r="150" spans="1:12" x14ac:dyDescent="0.35">
      <c r="C150" s="1069" t="s">
        <v>2930</v>
      </c>
      <c r="D150" s="3363" t="str">
        <f>A52</f>
        <v>c25.52</v>
      </c>
      <c r="E150" s="1071">
        <f>K13+K71+K82+K99+K128</f>
        <v>0</v>
      </c>
      <c r="F150" s="1043"/>
      <c r="K150" s="406"/>
    </row>
    <row r="151" spans="1:12" x14ac:dyDescent="0.35">
      <c r="B151" s="760"/>
      <c r="C151" s="926"/>
      <c r="D151" s="926"/>
      <c r="E151" s="926"/>
      <c r="F151" s="760"/>
      <c r="G151" s="760"/>
      <c r="H151" s="760"/>
      <c r="I151" s="760"/>
      <c r="J151" s="760"/>
      <c r="K151" s="927"/>
      <c r="L151" s="927"/>
    </row>
    <row r="152" spans="1:12" x14ac:dyDescent="0.35">
      <c r="L152" s="432"/>
    </row>
    <row r="153" spans="1:12" ht="13.15" x14ac:dyDescent="0.4">
      <c r="B153" s="875" t="s">
        <v>6364</v>
      </c>
    </row>
    <row r="154" spans="1:12" x14ac:dyDescent="0.35">
      <c r="A154" s="146" t="s">
        <v>2444</v>
      </c>
      <c r="H154" s="109" t="str">
        <f>"from "&amp;'Deductions (c4)'!H159</f>
        <v>from c4.58</v>
      </c>
    </row>
    <row r="155" spans="1:12" x14ac:dyDescent="0.35">
      <c r="A155" s="146" t="s">
        <v>2445</v>
      </c>
      <c r="C155" s="836" t="s">
        <v>6365</v>
      </c>
      <c r="G155" s="3046" t="str">
        <f>A53</f>
        <v>c25.53</v>
      </c>
      <c r="H155" s="19">
        <f>'Deductions (c4)'!I159</f>
        <v>0</v>
      </c>
    </row>
    <row r="156" spans="1:12" x14ac:dyDescent="0.35">
      <c r="A156" s="146" t="s">
        <v>2446</v>
      </c>
    </row>
    <row r="157" spans="1:12" x14ac:dyDescent="0.35">
      <c r="A157" s="146" t="s">
        <v>2497</v>
      </c>
      <c r="K157" s="432" t="str">
        <f>G155&amp;" x BR_rate ("&amp;BR_rate*100&amp;"%)"</f>
        <v>c25.53 x BR_rate (20%)</v>
      </c>
    </row>
    <row r="158" spans="1:12" x14ac:dyDescent="0.35">
      <c r="A158" s="146" t="s">
        <v>6369</v>
      </c>
      <c r="C158" s="836" t="s">
        <v>6366</v>
      </c>
      <c r="J158" s="3046" t="str">
        <f>A54</f>
        <v>c25.54</v>
      </c>
      <c r="K158" s="19">
        <f>H155*BR_rate</f>
        <v>0</v>
      </c>
    </row>
    <row r="159" spans="1:12" x14ac:dyDescent="0.35">
      <c r="A159" s="146" t="s">
        <v>6370</v>
      </c>
      <c r="I159" s="3045"/>
      <c r="J159" s="3045"/>
      <c r="K159" s="3151" t="str">
        <f>"If pseudo box "&amp;YPD&amp;'INC(1)'!C7&amp;" = S, and"</f>
        <v>If pseudo box YPDTR = S, and</v>
      </c>
    </row>
    <row r="160" spans="1:12" x14ac:dyDescent="0.35">
      <c r="A160" s="146" t="s">
        <v>6371</v>
      </c>
      <c r="I160" s="3092"/>
      <c r="J160" s="3092"/>
      <c r="K160" s="3093" t="s">
        <v>6627</v>
      </c>
    </row>
    <row r="161" spans="1:12" x14ac:dyDescent="0.35">
      <c r="A161" s="146" t="s">
        <v>6372</v>
      </c>
      <c r="H161" s="786"/>
      <c r="I161" s="3092"/>
      <c r="J161" s="3092"/>
      <c r="K161" s="3093" t="str">
        <f>J167&amp;" = "&amp;G155&amp;" x SBR_rate ("&amp;SBR_rate*100&amp;"%)"</f>
        <v>c25.55 = c25.53 x SBR_rate (20%)</v>
      </c>
    </row>
    <row r="162" spans="1:12" x14ac:dyDescent="0.35">
      <c r="A162" s="146" t="s">
        <v>6373</v>
      </c>
      <c r="I162" s="3092"/>
      <c r="J162" s="3092"/>
      <c r="K162" s="3092" t="s">
        <v>2520</v>
      </c>
    </row>
    <row r="163" spans="1:12" x14ac:dyDescent="0.35">
      <c r="A163" s="146" t="s">
        <v>6374</v>
      </c>
      <c r="I163" s="3092"/>
      <c r="J163" s="3092"/>
      <c r="K163" s="3094" t="str">
        <f>J167&amp;" = "&amp;G155&amp;" x BR_rate ("&amp;BR_rate*100&amp;"%)"</f>
        <v>c25.55 = c25.53 x BR_rate (20%)</v>
      </c>
    </row>
    <row r="164" spans="1:12" x14ac:dyDescent="0.35">
      <c r="I164" s="3092"/>
      <c r="J164" s="3092"/>
      <c r="K164" s="3095" t="s">
        <v>2638</v>
      </c>
    </row>
    <row r="165" spans="1:12" x14ac:dyDescent="0.35">
      <c r="I165" s="1141"/>
      <c r="J165" s="1141"/>
    </row>
    <row r="166" spans="1:12" x14ac:dyDescent="0.35">
      <c r="J166" s="1141"/>
      <c r="K166" s="3044" t="str">
        <f>G155&amp;" x "&amp;'Status (c3a)'!D31</f>
        <v>c25.53 x c3a.4</v>
      </c>
    </row>
    <row r="167" spans="1:12" x14ac:dyDescent="0.35">
      <c r="C167" s="836" t="s">
        <v>6367</v>
      </c>
      <c r="J167" s="3046" t="str">
        <f>A55</f>
        <v>c25.55</v>
      </c>
      <c r="K167" s="19">
        <f>H155*'Status (c3a)'!E31</f>
        <v>0</v>
      </c>
    </row>
    <row r="169" spans="1:12" x14ac:dyDescent="0.35">
      <c r="K169" s="3359" t="str">
        <f>J158&amp;" minus "&amp;J167</f>
        <v>c25.54 minus c25.55</v>
      </c>
    </row>
    <row r="170" spans="1:12" x14ac:dyDescent="0.35">
      <c r="C170" s="836" t="s">
        <v>6375</v>
      </c>
      <c r="J170" s="3046" t="str">
        <f>A56</f>
        <v>c25.56</v>
      </c>
      <c r="K170" s="19">
        <f>MAX(0,K158-K167)</f>
        <v>0</v>
      </c>
    </row>
    <row r="172" spans="1:12" x14ac:dyDescent="0.35">
      <c r="K172" s="3481" t="str">
        <f>J167&amp;" minus "&amp;J158</f>
        <v>c25.55 minus c25.54</v>
      </c>
    </row>
    <row r="173" spans="1:12" x14ac:dyDescent="0.35">
      <c r="C173" s="836" t="s">
        <v>6381</v>
      </c>
      <c r="J173" s="3046" t="str">
        <f>A57</f>
        <v>c25.57</v>
      </c>
      <c r="K173" s="19">
        <f>MAX(0,K167-K158)</f>
        <v>0</v>
      </c>
    </row>
    <row r="175" spans="1:12" x14ac:dyDescent="0.35">
      <c r="B175" s="760"/>
      <c r="C175" s="926"/>
      <c r="D175" s="926"/>
      <c r="E175" s="926"/>
      <c r="F175" s="760"/>
      <c r="G175" s="760"/>
      <c r="H175" s="760"/>
      <c r="I175" s="760"/>
      <c r="J175" s="760"/>
      <c r="K175" s="927"/>
      <c r="L175" s="927"/>
    </row>
    <row r="176" spans="1:12" x14ac:dyDescent="0.35">
      <c r="L176" s="432"/>
    </row>
    <row r="177" spans="2:9" ht="13.15" x14ac:dyDescent="0.4">
      <c r="B177" s="1960" t="s">
        <v>3786</v>
      </c>
      <c r="D177" s="712"/>
      <c r="E177" s="712"/>
      <c r="F177" s="60"/>
    </row>
    <row r="178" spans="2:9" x14ac:dyDescent="0.35">
      <c r="H178" s="766" t="str">
        <f>"from "&amp;INC&amp;'INC(2)'!C7</f>
        <v>from INC9</v>
      </c>
      <c r="I178" s="43"/>
    </row>
    <row r="179" spans="2:9" x14ac:dyDescent="0.35">
      <c r="G179" s="790" t="str">
        <f>A154</f>
        <v>c26.1</v>
      </c>
      <c r="H179" s="19">
        <f>TRUNC('INC(2)'!D8,0)</f>
        <v>0</v>
      </c>
      <c r="I179" s="1079" t="s">
        <v>1837</v>
      </c>
    </row>
    <row r="180" spans="2:9" x14ac:dyDescent="0.35">
      <c r="C180" s="110" t="str">
        <f>"If "&amp;G179&amp;" = 0 (zero) or"</f>
        <v>If c26.1 = 0 (zero) or</v>
      </c>
    </row>
    <row r="181" spans="2:9" x14ac:dyDescent="0.35">
      <c r="C181" s="986" t="str">
        <f>'Taxable (c5)'!AK164&amp;" = 0 (zero)"</f>
        <v>c5.86 = 0 (zero)</v>
      </c>
    </row>
    <row r="182" spans="2:9" x14ac:dyDescent="0.35">
      <c r="C182" s="1077" t="str">
        <f>"Set "&amp;G207&amp;" to "&amp;J207&amp;" to 0 (zero)"</f>
        <v>Set c26.2 to c26.3 to 0 (zero)</v>
      </c>
    </row>
    <row r="183" spans="2:9" x14ac:dyDescent="0.35">
      <c r="C183" s="110" t="s">
        <v>2520</v>
      </c>
    </row>
    <row r="185" spans="2:9" x14ac:dyDescent="0.35">
      <c r="E185" s="3300"/>
      <c r="F185" s="2873"/>
      <c r="G185" s="2873"/>
      <c r="H185" s="2873"/>
    </row>
    <row r="186" spans="2:9" x14ac:dyDescent="0.35">
      <c r="C186" s="413"/>
      <c r="D186" s="413"/>
      <c r="E186" s="3301" t="str">
        <f>"If "&amp;'tax it (c8)'!C31&amp;" or "&amp;'tax it (c8)'!C48&amp;" or "&amp;'tax it (c8)'!C62&amp;" is greater than 0 (zero)"</f>
        <v>If c8.5 or c8.15 or c8.23 is greater than 0 (zero)</v>
      </c>
      <c r="F186" s="2873"/>
      <c r="G186" s="2873"/>
      <c r="H186" s="2873"/>
    </row>
    <row r="187" spans="2:9" x14ac:dyDescent="0.35">
      <c r="E187" s="3302" t="str">
        <f>G207&amp;" = SAHR_rate "&amp;SAHR_rate*100&amp;"%"</f>
        <v>c26.2 = SAHR_rate 45%</v>
      </c>
      <c r="F187" s="2873"/>
      <c r="G187" s="2873"/>
      <c r="H187" s="2873"/>
    </row>
    <row r="188" spans="2:9" x14ac:dyDescent="0.35">
      <c r="E188" s="3303" t="s">
        <v>2520</v>
      </c>
      <c r="F188" s="2873"/>
      <c r="G188" s="2873"/>
      <c r="H188" s="2873"/>
    </row>
    <row r="189" spans="2:9" x14ac:dyDescent="0.35">
      <c r="E189" s="3304" t="str">
        <f>"if "&amp;'tax it (c8)'!C23&amp;" or "&amp;'tax it (c8)'!C45&amp;" or "&amp;'tax it (c8)'!C59&amp;" is greater than 0 (zero)"</f>
        <v>if c8.3 or c8.13 or c8.21 is greater than 0 (zero)</v>
      </c>
      <c r="F189" s="2873"/>
      <c r="G189" s="2873"/>
      <c r="H189" s="2873"/>
    </row>
    <row r="190" spans="2:9" x14ac:dyDescent="0.35">
      <c r="B190" s="43"/>
      <c r="E190" s="3301" t="str">
        <f>G207&amp;" = SHR_rate "&amp;SHR_rate*100&amp;"%"</f>
        <v>c26.2 = SHR_rate 40%</v>
      </c>
      <c r="F190" s="2873"/>
      <c r="G190" s="2873"/>
      <c r="H190" s="2873"/>
    </row>
    <row r="191" spans="2:9" x14ac:dyDescent="0.35">
      <c r="E191" s="3303" t="s">
        <v>2520</v>
      </c>
      <c r="F191" s="2873"/>
      <c r="G191" s="2873"/>
      <c r="H191" s="2873"/>
    </row>
    <row r="192" spans="2:9" x14ac:dyDescent="0.35">
      <c r="E192" s="3305" t="str">
        <f>G207&amp;" = SBR_rate "&amp;SBR_rate*100&amp;"%"</f>
        <v>c26.2 = SBR_rate 20%</v>
      </c>
      <c r="F192" s="2873"/>
      <c r="G192" s="2873"/>
      <c r="H192" s="2873"/>
    </row>
    <row r="193" spans="2:12" x14ac:dyDescent="0.35">
      <c r="E193" s="3306" t="s">
        <v>2638</v>
      </c>
      <c r="F193" s="2873"/>
      <c r="G193" s="2873"/>
      <c r="H193" s="2873"/>
    </row>
    <row r="194" spans="2:12" x14ac:dyDescent="0.35">
      <c r="B194" s="43"/>
      <c r="E194" s="3307" t="s">
        <v>2638</v>
      </c>
      <c r="F194" s="2873"/>
      <c r="G194" s="2873"/>
      <c r="H194" s="2873"/>
    </row>
    <row r="195" spans="2:12" x14ac:dyDescent="0.35">
      <c r="E195" s="3301" t="s">
        <v>2520</v>
      </c>
      <c r="F195" s="2873"/>
      <c r="G195" s="2873"/>
      <c r="H195" s="2873"/>
    </row>
    <row r="196" spans="2:12" x14ac:dyDescent="0.35">
      <c r="C196" s="413"/>
      <c r="D196" s="413"/>
      <c r="E196" s="3300"/>
      <c r="F196" s="2873"/>
      <c r="G196" s="2873"/>
      <c r="H196" s="2873"/>
    </row>
    <row r="198" spans="2:12" x14ac:dyDescent="0.35">
      <c r="H198" s="110" t="str">
        <f>"If "&amp;'tax it (c8)'!C31&amp;" or "&amp;'tax it (c8)'!C48&amp;" or "&amp;'tax it (c8)'!C62&amp;" is greater than 0 (zero)"</f>
        <v>If c8.5 or c8.15 or c8.23 is greater than 0 (zero)</v>
      </c>
    </row>
    <row r="199" spans="2:12" x14ac:dyDescent="0.35">
      <c r="H199" s="2854" t="str">
        <f>G207&amp;" = "&amp;'Status (c3a)'!L31</f>
        <v>c26.2 = c3a.6</v>
      </c>
    </row>
    <row r="200" spans="2:12" x14ac:dyDescent="0.35">
      <c r="H200" s="1458" t="s">
        <v>2520</v>
      </c>
    </row>
    <row r="201" spans="2:12" x14ac:dyDescent="0.35">
      <c r="H201" s="986" t="str">
        <f>"if "&amp;'tax it (c8)'!C23&amp;" or "&amp;'tax it (c8)'!C45&amp;" or "&amp;'tax it (c8)'!C59&amp;" is greater than 0 (zero)"</f>
        <v>if c8.3 or c8.13 or c8.21 is greater than 0 (zero)</v>
      </c>
    </row>
    <row r="202" spans="2:12" x14ac:dyDescent="0.35">
      <c r="H202" s="3298" t="str">
        <f>G207&amp;" = "&amp;'Status (c3a)'!H31</f>
        <v>c26.2 = c3a.5</v>
      </c>
    </row>
    <row r="203" spans="2:12" x14ac:dyDescent="0.35">
      <c r="H203" s="1458" t="s">
        <v>2520</v>
      </c>
    </row>
    <row r="204" spans="2:12" x14ac:dyDescent="0.35">
      <c r="H204" s="3299" t="str">
        <f>G207&amp;" = "&amp;'Status (c3a)'!D31</f>
        <v>c26.2 = c3a.4</v>
      </c>
    </row>
    <row r="205" spans="2:12" x14ac:dyDescent="0.35">
      <c r="H205" s="3308" t="s">
        <v>2638</v>
      </c>
    </row>
    <row r="206" spans="2:12" x14ac:dyDescent="0.35">
      <c r="C206" s="2625"/>
      <c r="D206" s="2625"/>
      <c r="E206" s="2625"/>
      <c r="F206" s="1141"/>
      <c r="G206" s="1141"/>
      <c r="H206" s="3309" t="s">
        <v>2638</v>
      </c>
      <c r="K206" s="109" t="str">
        <f>G179&amp;" x "&amp;G207</f>
        <v>c26.1 x c26.2</v>
      </c>
    </row>
    <row r="207" spans="2:12" x14ac:dyDescent="0.35">
      <c r="G207" s="790" t="str">
        <f>A155</f>
        <v>c26.2</v>
      </c>
      <c r="H207" s="1661">
        <f>IF(H179=0,0,IF('Taxable (c5)'!AL164=0,0,IF(AHR_case="Y",'Status (c3a)'!M31,IF(HR_case="Y",'Status (c3a)'!I31,'Status (c3a)'!E31))))</f>
        <v>0</v>
      </c>
      <c r="J207" s="790" t="str">
        <f>A156</f>
        <v>c26.3</v>
      </c>
      <c r="K207" s="924">
        <f>TRUNC(H179*H207,2)</f>
        <v>0</v>
      </c>
      <c r="L207" s="1079" t="s">
        <v>2872</v>
      </c>
    </row>
    <row r="208" spans="2:12" x14ac:dyDescent="0.35">
      <c r="K208" s="406" t="str">
        <f>"Copy to "&amp;'Tax due (c12)'!F37</f>
        <v>Copy to c12.10</v>
      </c>
    </row>
    <row r="209" spans="3:11" x14ac:dyDescent="0.35">
      <c r="C209" s="110" t="s">
        <v>2638</v>
      </c>
    </row>
    <row r="210" spans="3:11" x14ac:dyDescent="0.35">
      <c r="K210" s="406"/>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FF00"/>
  </sheetPr>
  <dimension ref="A1:P185"/>
  <sheetViews>
    <sheetView showGridLines="0" topLeftCell="B151" workbookViewId="0">
      <selection activeCell="H185" sqref="H185"/>
    </sheetView>
  </sheetViews>
  <sheetFormatPr defaultColWidth="9.1328125" defaultRowHeight="11.65" x14ac:dyDescent="0.35"/>
  <cols>
    <col min="1" max="1" width="8.1328125" style="413" hidden="1" customWidth="1"/>
    <col min="2" max="2" width="22.1328125" style="416" customWidth="1"/>
    <col min="3" max="3" width="5.265625" style="416" customWidth="1"/>
    <col min="4" max="4" width="14" style="416" customWidth="1"/>
    <col min="5" max="5" width="17.59765625" style="413" customWidth="1"/>
    <col min="6" max="6" width="6.265625" style="444" customWidth="1"/>
    <col min="7" max="7" width="12.73046875" style="413" customWidth="1"/>
    <col min="8" max="8" width="6.86328125" style="413" customWidth="1"/>
    <col min="9" max="9" width="6.1328125" style="444" customWidth="1"/>
    <col min="10" max="10" width="6.265625" style="413" customWidth="1"/>
    <col min="11" max="11" width="12.73046875" style="413" customWidth="1"/>
    <col min="12" max="12" width="6.265625" style="413" bestFit="1" customWidth="1"/>
    <col min="13" max="13" width="12.73046875" style="413" customWidth="1"/>
    <col min="14" max="15" width="5" style="413" customWidth="1"/>
    <col min="16" max="16384" width="9.1328125" style="413"/>
  </cols>
  <sheetData>
    <row r="1" spans="1:11" x14ac:dyDescent="0.35">
      <c r="B1" s="848" t="s">
        <v>2838</v>
      </c>
      <c r="C1" s="848"/>
      <c r="D1" s="848"/>
      <c r="G1" s="1904" t="s">
        <v>1955</v>
      </c>
      <c r="H1" s="1905"/>
      <c r="I1" s="1905"/>
      <c r="J1" s="1905"/>
      <c r="K1" s="1906"/>
    </row>
    <row r="2" spans="1:11" x14ac:dyDescent="0.35">
      <c r="A2" s="413" t="s">
        <v>3040</v>
      </c>
    </row>
    <row r="3" spans="1:11" x14ac:dyDescent="0.35">
      <c r="A3" s="413" t="s">
        <v>3041</v>
      </c>
      <c r="B3" s="416" t="str">
        <f>"IF "&amp;SLR&amp;'REL(2)'!C11&amp;" = Y"</f>
        <v>IF SLR1 = Y</v>
      </c>
    </row>
    <row r="4" spans="1:11" x14ac:dyDescent="0.35">
      <c r="A4" s="413" t="s">
        <v>3042</v>
      </c>
      <c r="B4" s="416" t="str">
        <f>"Calculate "&amp;F12&amp;" to "&amp;J181</f>
        <v>Calculate c27.1 to c27.44</v>
      </c>
    </row>
    <row r="5" spans="1:11" x14ac:dyDescent="0.35">
      <c r="A5" s="413" t="s">
        <v>4316</v>
      </c>
    </row>
    <row r="6" spans="1:11" x14ac:dyDescent="0.35">
      <c r="A6" s="413" t="s">
        <v>4317</v>
      </c>
      <c r="B6" s="413"/>
      <c r="C6" s="413"/>
      <c r="D6" s="413"/>
      <c r="E6" s="917"/>
      <c r="F6" s="918"/>
      <c r="G6" s="917"/>
      <c r="I6" s="919" t="s">
        <v>4225</v>
      </c>
    </row>
    <row r="7" spans="1:11" x14ac:dyDescent="0.35">
      <c r="A7" s="413" t="s">
        <v>2123</v>
      </c>
      <c r="B7" s="413"/>
      <c r="C7" s="413"/>
      <c r="D7" s="413"/>
      <c r="E7" s="917"/>
      <c r="F7" s="919" t="s">
        <v>58</v>
      </c>
      <c r="G7" s="920">
        <f>TRUNC(MAX(0,EMP!S5+TRUNC(EMP!D26+EMP!H26,0)-EMP!S31),0)</f>
        <v>0</v>
      </c>
      <c r="I7" s="921">
        <f>IF(EMP!S11,MAX(0,EMP!S5+TRUNC(EMP!D26+EMP!H26,0)-EMP!S31),0)</f>
        <v>0</v>
      </c>
    </row>
    <row r="8" spans="1:11" x14ac:dyDescent="0.35">
      <c r="A8" s="413" t="s">
        <v>1201</v>
      </c>
      <c r="B8" s="413"/>
      <c r="C8" s="413"/>
      <c r="D8" s="413"/>
      <c r="E8" s="917"/>
      <c r="F8" s="919" t="s">
        <v>59</v>
      </c>
      <c r="G8" s="920">
        <f>TRUNC(MAX(0,EMP!T5+TRUNC(EMP!L26+EMP!P26,0)-EMP!T31),0)</f>
        <v>0</v>
      </c>
      <c r="I8" s="922">
        <f>IF(EMP!T11,MAX(0,EMP!T5+TRUNC(EMP!L26+EMP!P26,0)-EMP!T31),0)</f>
        <v>0</v>
      </c>
    </row>
    <row r="9" spans="1:11" x14ac:dyDescent="0.35">
      <c r="A9" s="413" t="s">
        <v>1202</v>
      </c>
      <c r="B9" s="416" t="s">
        <v>2709</v>
      </c>
      <c r="C9" s="413"/>
      <c r="D9" s="413"/>
      <c r="F9" s="413"/>
      <c r="I9" s="413"/>
      <c r="J9" s="1243"/>
      <c r="K9" s="1893" t="s">
        <v>6331</v>
      </c>
    </row>
    <row r="10" spans="1:11" x14ac:dyDescent="0.35">
      <c r="A10" s="413" t="s">
        <v>1203</v>
      </c>
      <c r="G10" s="778" t="str">
        <f>"Total all instances "&amp;EMP&amp;EMP!C4&amp;", "&amp;EMP&amp;EMP!C10&amp;", "&amp;EMP&amp;EMP!C25&amp;", and "&amp;EMP&amp;EMP!G25</f>
        <v>Total all instances EMP1, EMP3, EMP12, and EMP16</v>
      </c>
      <c r="J10" s="1894" t="str">
        <f>A2&amp;"a"</f>
        <v>c27.1a</v>
      </c>
      <c r="K10" s="1895"/>
    </row>
    <row r="11" spans="1:11" x14ac:dyDescent="0.35">
      <c r="A11" s="413" t="s">
        <v>1204</v>
      </c>
      <c r="F11" s="413"/>
      <c r="G11" s="778" t="str">
        <f>"minus total all instances "&amp;EMP&amp;EMP!C30&amp;" to "&amp;EMP&amp;EMP!G33</f>
        <v>minus total all instances EMP17 to EMP20</v>
      </c>
      <c r="I11" s="413"/>
      <c r="J11" s="1894" t="str">
        <f>A2&amp;"b"</f>
        <v>c27.1b</v>
      </c>
      <c r="K11" s="1895"/>
    </row>
    <row r="12" spans="1:11" x14ac:dyDescent="0.35">
      <c r="A12" s="413" t="s">
        <v>3277</v>
      </c>
      <c r="B12" s="413"/>
      <c r="C12" s="413"/>
      <c r="D12" s="413"/>
      <c r="F12" s="849" t="str">
        <f>A2</f>
        <v>c27.1</v>
      </c>
      <c r="G12" s="844">
        <f>G7+G8</f>
        <v>0</v>
      </c>
      <c r="H12" s="1162" t="s">
        <v>1837</v>
      </c>
      <c r="I12" s="413"/>
      <c r="J12" s="1894" t="str">
        <f>A2&amp;"c"</f>
        <v>c27.1c</v>
      </c>
      <c r="K12" s="1895"/>
    </row>
    <row r="13" spans="1:11" x14ac:dyDescent="0.35">
      <c r="A13" s="413" t="s">
        <v>3278</v>
      </c>
      <c r="B13" s="413"/>
      <c r="C13" s="413"/>
      <c r="D13" s="413"/>
      <c r="F13" s="413"/>
      <c r="G13" s="879"/>
      <c r="I13" s="413"/>
      <c r="J13" s="1896"/>
      <c r="K13" s="1896"/>
    </row>
    <row r="14" spans="1:11" x14ac:dyDescent="0.35">
      <c r="A14" s="413" t="s">
        <v>3279</v>
      </c>
      <c r="B14" s="43" t="s">
        <v>7</v>
      </c>
      <c r="G14" s="778" t="str">
        <f>ASE&amp;ASE!C5&amp;" + "&amp;ASE&amp;ASE!C8&amp;" + "&amp;ASE&amp;ASE!C11&amp;" + "&amp;ASE&amp;ASE!C14</f>
        <v>ASE1 + ASE3 + ASE4 + ASE5</v>
      </c>
      <c r="J14" s="1896"/>
      <c r="K14" s="1896"/>
    </row>
    <row r="15" spans="1:11" x14ac:dyDescent="0.35">
      <c r="A15" s="413" t="s">
        <v>3280</v>
      </c>
      <c r="B15" s="413"/>
      <c r="C15" s="413"/>
      <c r="D15" s="413"/>
      <c r="F15" s="849" t="str">
        <f>A3</f>
        <v>c27.2</v>
      </c>
      <c r="G15" s="880">
        <f>TRUNC(ASE!D6+ASE!D9+ASE!D12+ASE!D15,0)</f>
        <v>0</v>
      </c>
      <c r="H15" s="1076" t="s">
        <v>1837</v>
      </c>
      <c r="J15" s="1896"/>
      <c r="K15" s="1896"/>
    </row>
    <row r="16" spans="1:11" x14ac:dyDescent="0.35">
      <c r="A16" s="413" t="s">
        <v>3281</v>
      </c>
      <c r="B16" s="413"/>
      <c r="C16" s="413"/>
      <c r="D16" s="413"/>
      <c r="F16" s="413"/>
      <c r="I16" s="413"/>
      <c r="J16" s="1896"/>
      <c r="K16" s="1893" t="s">
        <v>6331</v>
      </c>
    </row>
    <row r="17" spans="1:16" x14ac:dyDescent="0.35">
      <c r="A17" s="413" t="s">
        <v>3422</v>
      </c>
      <c r="B17" s="413"/>
      <c r="C17" s="413"/>
      <c r="D17" s="413"/>
      <c r="F17" s="413"/>
      <c r="G17" s="773" t="str">
        <f>F12&amp;" + "&amp;F15</f>
        <v>c27.1 + c27.2</v>
      </c>
      <c r="I17" s="413"/>
      <c r="J17" s="1243"/>
      <c r="K17" s="1893" t="str">
        <f>J12&amp;" + "&amp;F15</f>
        <v>c27.1c + c27.2</v>
      </c>
    </row>
    <row r="18" spans="1:16" x14ac:dyDescent="0.35">
      <c r="A18" s="413" t="s">
        <v>3423</v>
      </c>
      <c r="B18" s="413"/>
      <c r="C18" s="413"/>
      <c r="D18" s="413"/>
      <c r="F18" s="849" t="str">
        <f>A4</f>
        <v>c27.3</v>
      </c>
      <c r="G18" s="880">
        <f>G12+G15</f>
        <v>0</v>
      </c>
      <c r="I18" s="413"/>
      <c r="J18" s="1894" t="str">
        <f>A4</f>
        <v>c27.3</v>
      </c>
      <c r="K18" s="1895"/>
    </row>
    <row r="19" spans="1:16" x14ac:dyDescent="0.35">
      <c r="A19" s="413" t="s">
        <v>3424</v>
      </c>
      <c r="B19" s="413"/>
      <c r="C19" s="413"/>
      <c r="D19" s="413"/>
      <c r="F19" s="413"/>
      <c r="I19" s="413"/>
      <c r="J19" s="1896"/>
      <c r="K19" s="1896"/>
    </row>
    <row r="20" spans="1:16" x14ac:dyDescent="0.35">
      <c r="A20" s="413" t="s">
        <v>3425</v>
      </c>
      <c r="G20" s="778" t="str">
        <f>ASE&amp;ASE!G11&amp;" + "&amp;ASE&amp;ASE!G14&amp;" + "&amp;ASE&amp;ASE!G17</f>
        <v>ASE11 + ASE12 + ASE13</v>
      </c>
      <c r="J20" s="1896"/>
      <c r="K20" s="1896"/>
    </row>
    <row r="21" spans="1:16" x14ac:dyDescent="0.35">
      <c r="A21" s="413" t="s">
        <v>3426</v>
      </c>
      <c r="B21" s="413"/>
      <c r="C21" s="413"/>
      <c r="D21" s="413"/>
      <c r="F21" s="849" t="str">
        <f>A5</f>
        <v>c27.4</v>
      </c>
      <c r="G21" s="844">
        <f>TRUNC(ASE!H12+ASE!H15+ASE!H18+0.99,0)</f>
        <v>0</v>
      </c>
      <c r="H21" s="1076" t="s">
        <v>3966</v>
      </c>
      <c r="I21" s="413"/>
      <c r="J21" s="1896"/>
      <c r="K21" s="1896"/>
    </row>
    <row r="22" spans="1:16" x14ac:dyDescent="0.35">
      <c r="A22" s="413" t="s">
        <v>3427</v>
      </c>
      <c r="I22" s="413"/>
      <c r="J22" s="1896"/>
      <c r="K22" s="1896"/>
    </row>
    <row r="23" spans="1:16" x14ac:dyDescent="0.35">
      <c r="A23" s="413" t="s">
        <v>3428</v>
      </c>
      <c r="F23" s="413"/>
      <c r="G23" s="773" t="str">
        <f>F18&amp;" minus "&amp;F21</f>
        <v>c27.3 minus c27.4</v>
      </c>
      <c r="I23" s="413"/>
      <c r="J23" s="1896"/>
      <c r="K23" s="1896"/>
      <c r="P23" s="146" t="s">
        <v>7084</v>
      </c>
    </row>
    <row r="24" spans="1:16" x14ac:dyDescent="0.35">
      <c r="A24" s="413" t="s">
        <v>3429</v>
      </c>
      <c r="B24" s="413"/>
      <c r="C24" s="413"/>
      <c r="D24" s="413"/>
      <c r="F24" s="849" t="str">
        <f>A6</f>
        <v>c27.5</v>
      </c>
      <c r="G24" s="844">
        <f>MAX(G18-G21,0)</f>
        <v>0</v>
      </c>
      <c r="I24" s="413"/>
      <c r="J24" s="1896"/>
      <c r="K24" s="1896"/>
    </row>
    <row r="25" spans="1:16" x14ac:dyDescent="0.35">
      <c r="A25" s="413" t="s">
        <v>3430</v>
      </c>
      <c r="B25" s="1145" t="s">
        <v>4225</v>
      </c>
      <c r="J25" s="1896"/>
      <c r="K25" s="1896"/>
    </row>
    <row r="26" spans="1:16" x14ac:dyDescent="0.35">
      <c r="A26" s="413" t="s">
        <v>1195</v>
      </c>
      <c r="B26" s="416" t="str">
        <f>"If "&amp;EMP&amp;EMP!G11&amp;" = Y"</f>
        <v>If EMP8 = Y</v>
      </c>
      <c r="J26" s="1896"/>
      <c r="K26" s="1893" t="s">
        <v>6331</v>
      </c>
    </row>
    <row r="27" spans="1:16" x14ac:dyDescent="0.35">
      <c r="A27" s="413" t="s">
        <v>1196</v>
      </c>
      <c r="B27" s="416" t="str">
        <f>F32&amp;" = Total all instances "&amp;EMP&amp;EMP!C4&amp;", "&amp;EMP&amp;EMP!C10&amp;", "&amp;EMP&amp;EMP!C25&amp;", and "&amp;EMP&amp;EMP!G25&amp;" (where "&amp;EMP&amp;EMP!G11&amp;" = Y)"</f>
        <v>c27.6 = Total all instances EMP1, EMP3, EMP12, and EMP16 (where EMP8 = Y)</v>
      </c>
      <c r="J27" s="1894" t="str">
        <f>A7&amp;"a"</f>
        <v>c27.6a</v>
      </c>
      <c r="K27" s="1895"/>
    </row>
    <row r="28" spans="1:16" x14ac:dyDescent="0.35">
      <c r="A28" s="413" t="s">
        <v>1197</v>
      </c>
      <c r="B28" s="1193" t="str">
        <f>"minus total all instances "&amp;EMP&amp;EMP!C30&amp;" to "&amp;EMP&amp;EMP!G33&amp;" (where "&amp;EMP&amp;EMP!G11&amp;" = Y)"</f>
        <v>minus total all instances EMP17 to EMP20 (where EMP8 = Y)</v>
      </c>
      <c r="C28" s="413"/>
      <c r="D28" s="413"/>
      <c r="I28" s="413"/>
      <c r="J28" s="1894" t="str">
        <f>A7&amp;"b"</f>
        <v>c27.6b</v>
      </c>
      <c r="K28" s="1895"/>
      <c r="M28" s="416"/>
    </row>
    <row r="29" spans="1:16" x14ac:dyDescent="0.35">
      <c r="A29" s="413" t="s">
        <v>1198</v>
      </c>
      <c r="B29" s="43" t="s">
        <v>2520</v>
      </c>
      <c r="J29" s="1896"/>
      <c r="K29" s="1896"/>
    </row>
    <row r="30" spans="1:16" x14ac:dyDescent="0.35">
      <c r="A30" s="413" t="s">
        <v>1199</v>
      </c>
      <c r="B30" s="416" t="str">
        <f>F32&amp;" = 0 (zero)"</f>
        <v>c27.6 = 0 (zero)</v>
      </c>
      <c r="J30" s="1896"/>
      <c r="K30" s="1896"/>
    </row>
    <row r="31" spans="1:16" x14ac:dyDescent="0.35">
      <c r="A31" s="413" t="s">
        <v>1200</v>
      </c>
      <c r="B31" s="43" t="s">
        <v>2638</v>
      </c>
      <c r="F31" s="416"/>
      <c r="G31" s="416"/>
      <c r="J31" s="1896"/>
      <c r="K31" s="1896"/>
    </row>
    <row r="32" spans="1:16" x14ac:dyDescent="0.35">
      <c r="A32" s="413" t="s">
        <v>1482</v>
      </c>
      <c r="F32" s="849" t="str">
        <f>A7</f>
        <v>c27.6</v>
      </c>
      <c r="G32" s="844">
        <f>I7+I8</f>
        <v>0</v>
      </c>
      <c r="H32" s="1162" t="s">
        <v>1837</v>
      </c>
      <c r="J32" s="1894" t="str">
        <f>A7&amp;"c"</f>
        <v>c27.6c</v>
      </c>
      <c r="K32" s="1895"/>
    </row>
    <row r="33" spans="1:13" x14ac:dyDescent="0.35">
      <c r="A33" s="413" t="s">
        <v>1483</v>
      </c>
      <c r="J33" s="1243"/>
      <c r="K33" s="1243"/>
    </row>
    <row r="34" spans="1:13" ht="13.15" x14ac:dyDescent="0.35">
      <c r="A34" s="413" t="s">
        <v>1484</v>
      </c>
      <c r="B34" s="1416" t="s">
        <v>4745</v>
      </c>
      <c r="F34" s="413"/>
      <c r="J34" s="1897"/>
      <c r="M34" s="1893" t="s">
        <v>6331</v>
      </c>
    </row>
    <row r="35" spans="1:13" x14ac:dyDescent="0.35">
      <c r="A35" s="413" t="s">
        <v>2651</v>
      </c>
      <c r="J35" s="1243"/>
      <c r="M35" s="1243"/>
    </row>
    <row r="36" spans="1:13" x14ac:dyDescent="0.35">
      <c r="A36" s="413" t="s">
        <v>2652</v>
      </c>
      <c r="G36" s="44" t="str">
        <f>"If pseudo box "&amp;SLR&amp;'REL(2)'!C13&amp;" = 01 and"</f>
        <v>If pseudo box SLRPT = 01 and</v>
      </c>
      <c r="J36" s="1243"/>
      <c r="M36" s="1893" t="str">
        <f>"If pseudo box "&amp;SLR&amp;'REL(2)'!C13&amp;" = 01 and"</f>
        <v>If pseudo box SLRPT = 01 and</v>
      </c>
    </row>
    <row r="37" spans="1:13" x14ac:dyDescent="0.35">
      <c r="A37" s="413" t="s">
        <v>2653</v>
      </c>
      <c r="D37" s="3029"/>
      <c r="E37" s="1506"/>
      <c r="G37" s="3311" t="str">
        <f>"all instances "&amp;F32&amp;" are greater than SL_limit1 ("&amp;DOLLAR(SL_limit1,0)&amp;")"</f>
        <v>all instances c27.6 are greater than SL_limit1 (£17,775)</v>
      </c>
      <c r="J37" s="1243"/>
      <c r="M37" s="3310" t="str">
        <f>"all instances "&amp;J32&amp;" are greater than SL_limit1 ("&amp;DOLLAR(SL_limit1,0)&amp;")"</f>
        <v>all instances c27.6c are greater than SL_limit1 (£17,775)</v>
      </c>
    </row>
    <row r="38" spans="1:13" x14ac:dyDescent="0.35">
      <c r="A38" s="413" t="s">
        <v>2654</v>
      </c>
      <c r="D38" s="3029"/>
      <c r="E38" s="1506"/>
      <c r="G38" s="3312" t="str">
        <f>F47&amp;" = all instances "&amp;F32&amp;" minus SL_limit1 ("&amp;DOLLAR(SL_limit1,0)&amp;")"</f>
        <v>c27.7 = all instances c27.6 minus SL_limit1 (£17,775)</v>
      </c>
      <c r="J38" s="1243"/>
      <c r="M38" s="3310" t="str">
        <f>F47&amp;" = all instances "&amp;J32&amp;" minus SL_limit1 ("&amp;DOLLAR(SL_limit1,0)&amp;")"</f>
        <v>c27.7 = all instances c27.6c minus SL_limit1 (£17,775)</v>
      </c>
    </row>
    <row r="39" spans="1:13" x14ac:dyDescent="0.35">
      <c r="A39" s="413" t="s">
        <v>2655</v>
      </c>
      <c r="G39" s="3313" t="s">
        <v>2520</v>
      </c>
      <c r="J39" s="1243"/>
      <c r="M39" s="1893" t="s">
        <v>2520</v>
      </c>
    </row>
    <row r="40" spans="1:13" x14ac:dyDescent="0.35">
      <c r="A40" s="413" t="s">
        <v>2656</v>
      </c>
      <c r="G40" s="44" t="str">
        <f>"If pseudo box "&amp;SLR&amp;'REL(2)'!C13&amp;" = 02 and"</f>
        <v>If pseudo box SLRPT = 02 and</v>
      </c>
      <c r="J40" s="1243"/>
      <c r="M40" s="1893" t="str">
        <f>"If pseudo box "&amp;SLR&amp;'REL(2)'!C13&amp;" = 02 and"</f>
        <v>If pseudo box SLRPT = 02 and</v>
      </c>
    </row>
    <row r="41" spans="1:13" x14ac:dyDescent="0.35">
      <c r="A41" s="413" t="s">
        <v>2657</v>
      </c>
      <c r="G41" s="3314" t="str">
        <f>"all instances "&amp;F32&amp;" are greater than SL_limit2 ("&amp;DOLLAR(SL_limit2,0)&amp;")"</f>
        <v>all instances c27.6 are greater than SL_limit2 (£21,000)</v>
      </c>
      <c r="J41" s="1243"/>
      <c r="M41" s="1893" t="str">
        <f>"all instances "&amp;J32&amp;" are greater than SL_limit2 ("&amp;DOLLAR(SL_limit2,0)&amp;")"</f>
        <v>all instances c27.6c are greater than SL_limit2 (£21,000)</v>
      </c>
    </row>
    <row r="42" spans="1:13" x14ac:dyDescent="0.35">
      <c r="A42" s="413" t="s">
        <v>2658</v>
      </c>
      <c r="G42" s="3312" t="str">
        <f>F47&amp;" = all instances "&amp;F32&amp;" minus SL_limit2 ("&amp;DOLLAR(SL_limit2,0)&amp;")"</f>
        <v>c27.7 = all instances c27.6 minus SL_limit2 (£21,000)</v>
      </c>
      <c r="J42" s="1243"/>
      <c r="M42" s="1893" t="str">
        <f>F47&amp;" = all instances "&amp;J32&amp;" minus SL_limit2 ("&amp;DOLLAR(SL_limit2,0)&amp;")"</f>
        <v>c27.7 = all instances c27.6c minus SL_limit2 (£21,000)</v>
      </c>
    </row>
    <row r="43" spans="1:13" x14ac:dyDescent="0.35">
      <c r="A43" s="413" t="s">
        <v>2659</v>
      </c>
      <c r="G43" s="3313" t="s">
        <v>2520</v>
      </c>
      <c r="J43" s="1243"/>
      <c r="M43" s="1893" t="s">
        <v>2520</v>
      </c>
    </row>
    <row r="44" spans="1:13" x14ac:dyDescent="0.35">
      <c r="A44" s="413" t="s">
        <v>2660</v>
      </c>
      <c r="G44" s="771" t="str">
        <f>F47&amp;" = 0 (zero)"</f>
        <v>c27.7 = 0 (zero)</v>
      </c>
      <c r="J44" s="1243"/>
      <c r="M44" s="1893" t="str">
        <f>F47&amp;" = 0 (zero)"</f>
        <v>c27.7 = 0 (zero)</v>
      </c>
    </row>
    <row r="45" spans="1:13" x14ac:dyDescent="0.35">
      <c r="A45" s="413" t="s">
        <v>2389</v>
      </c>
      <c r="F45" s="768"/>
      <c r="G45" s="3313" t="s">
        <v>2638</v>
      </c>
      <c r="I45" s="768"/>
      <c r="J45" s="1156"/>
      <c r="M45" s="1893" t="s">
        <v>2638</v>
      </c>
    </row>
    <row r="46" spans="1:13" x14ac:dyDescent="0.35">
      <c r="G46" s="3315" t="s">
        <v>2638</v>
      </c>
      <c r="J46" s="1243"/>
      <c r="M46" s="1893" t="s">
        <v>2638</v>
      </c>
    </row>
    <row r="47" spans="1:13" x14ac:dyDescent="0.35">
      <c r="F47" s="849" t="str">
        <f>A8</f>
        <v>c27.7</v>
      </c>
      <c r="G47" s="420">
        <f>IF(AND(SL_type=1,G32&gt;SL_limit1),G32-SL_limit1,IF(AND(SL_type=2,G32&gt;SL_limit2),G32-SL_limit2,0))</f>
        <v>0</v>
      </c>
      <c r="I47" s="768"/>
    </row>
    <row r="48" spans="1:13" x14ac:dyDescent="0.35">
      <c r="F48" s="413"/>
      <c r="I48" s="768"/>
      <c r="J48" s="845"/>
    </row>
    <row r="49" spans="2:12" x14ac:dyDescent="0.35">
      <c r="B49" s="850" t="s">
        <v>3626</v>
      </c>
      <c r="I49" s="768"/>
    </row>
    <row r="50" spans="2:12" x14ac:dyDescent="0.35">
      <c r="F50" s="768"/>
      <c r="G50" s="773" t="str">
        <f>F24&amp;" minus "&amp;F47</f>
        <v>c27.5 minus c27.7</v>
      </c>
      <c r="I50" s="768"/>
      <c r="J50" s="845"/>
    </row>
    <row r="51" spans="2:12" x14ac:dyDescent="0.35">
      <c r="B51" s="851" t="s">
        <v>2709</v>
      </c>
      <c r="F51" s="849" t="str">
        <f>A9</f>
        <v>c27.8</v>
      </c>
      <c r="G51" s="844">
        <f>MAX(0,G24-G47)</f>
        <v>0</v>
      </c>
      <c r="I51" s="768"/>
    </row>
    <row r="52" spans="2:12" x14ac:dyDescent="0.35">
      <c r="F52" s="852"/>
      <c r="G52" s="881"/>
      <c r="I52" s="768"/>
    </row>
    <row r="53" spans="2:12" x14ac:dyDescent="0.35">
      <c r="G53" s="778" t="str">
        <f>"Total all instances ("&amp;MOR&amp;MOR!C19&amp;" + "&amp;MOR&amp;MOR!G11&amp;" minus ("&amp;MOR&amp;MOR!C8&amp;" + "&amp;MOR&amp;MOR!G15&amp;"))"</f>
        <v>Total all instances (MOR38 + MOR17 minus (MOR6 + MOR19))</v>
      </c>
    </row>
    <row r="54" spans="2:12" x14ac:dyDescent="0.35">
      <c r="B54" s="851" t="s">
        <v>2710</v>
      </c>
      <c r="C54" s="851"/>
      <c r="D54" s="851"/>
      <c r="F54" s="849" t="str">
        <f>A10</f>
        <v>c27.9</v>
      </c>
      <c r="G54" s="880">
        <f>MAX(TRUNC(MOR!H12+MOR!D20)-TRUNC(MOR!D9+MOR!H16,0),0)</f>
        <v>0</v>
      </c>
      <c r="H54" s="1162" t="s">
        <v>1837</v>
      </c>
    </row>
    <row r="56" spans="2:12" x14ac:dyDescent="0.35">
      <c r="G56" s="778" t="str">
        <f>"Total all instances ("&amp;SSE&amp;SE!C8&amp;")"</f>
        <v>Total all instances (SSE31)</v>
      </c>
      <c r="I56" s="768"/>
    </row>
    <row r="57" spans="2:12" x14ac:dyDescent="0.35">
      <c r="B57" s="851" t="s">
        <v>4302</v>
      </c>
      <c r="F57" s="849" t="str">
        <f>A11</f>
        <v>c27.10</v>
      </c>
      <c r="G57" s="880">
        <f>TRUNC(SE!D9,0)</f>
        <v>0</v>
      </c>
      <c r="H57" s="1162" t="s">
        <v>1837</v>
      </c>
      <c r="I57" s="768"/>
      <c r="J57" s="845"/>
    </row>
    <row r="59" spans="2:12" x14ac:dyDescent="0.35">
      <c r="G59" s="1068" t="str">
        <f>"Total all instances "&amp;FSE&amp;SE!G14</f>
        <v>Total all instances FSE76</v>
      </c>
    </row>
    <row r="60" spans="2:12" x14ac:dyDescent="0.35">
      <c r="B60" s="851"/>
      <c r="F60" s="849" t="str">
        <f>A12</f>
        <v>c27.11</v>
      </c>
      <c r="G60" s="880">
        <f>TRUNC(SE!H15,0)</f>
        <v>0</v>
      </c>
      <c r="H60" s="1162" t="s">
        <v>1837</v>
      </c>
    </row>
    <row r="62" spans="2:12" x14ac:dyDescent="0.35">
      <c r="G62" s="777" t="str">
        <f>"from "&amp;LUN&amp;LUN!K7</f>
        <v>from LUN52</v>
      </c>
    </row>
    <row r="63" spans="2:12" x14ac:dyDescent="0.35">
      <c r="B63" s="851" t="s">
        <v>940</v>
      </c>
      <c r="F63" s="849" t="str">
        <f>A13</f>
        <v>c27.12</v>
      </c>
      <c r="G63" s="880">
        <f>TRUNC(LUN!L8,0)</f>
        <v>0</v>
      </c>
      <c r="H63" s="1076" t="s">
        <v>1837</v>
      </c>
    </row>
    <row r="64" spans="2:12" x14ac:dyDescent="0.35">
      <c r="L64" s="413" t="s">
        <v>2195</v>
      </c>
    </row>
    <row r="65" spans="2:11" x14ac:dyDescent="0.35">
      <c r="G65" s="778" t="str">
        <f>"Total all instances "&amp;SPS&amp;PS!C13</f>
        <v>Total all instances SPS20</v>
      </c>
    </row>
    <row r="66" spans="2:11" x14ac:dyDescent="0.35">
      <c r="B66" s="851" t="s">
        <v>941</v>
      </c>
      <c r="F66" s="849" t="str">
        <f>A14</f>
        <v>c27.13</v>
      </c>
      <c r="G66" s="880">
        <f>TRUNC(PS!D14,0)</f>
        <v>0</v>
      </c>
      <c r="H66" s="1162" t="s">
        <v>1837</v>
      </c>
    </row>
    <row r="68" spans="2:11" x14ac:dyDescent="0.35">
      <c r="G68" s="778" t="str">
        <f>"Total all instances "&amp;FPS&amp;PS!G34</f>
        <v>Total all instances FPS76</v>
      </c>
    </row>
    <row r="69" spans="2:11" x14ac:dyDescent="0.35">
      <c r="F69" s="849" t="str">
        <f>A15</f>
        <v>c27.14</v>
      </c>
      <c r="G69" s="880">
        <f>TRUNC(PS!H35,0)</f>
        <v>0</v>
      </c>
      <c r="H69" s="1162" t="s">
        <v>1837</v>
      </c>
    </row>
    <row r="70" spans="2:11" x14ac:dyDescent="0.35">
      <c r="B70" s="851"/>
      <c r="F70" s="413"/>
      <c r="G70" s="879"/>
    </row>
    <row r="71" spans="2:11" x14ac:dyDescent="0.35">
      <c r="G71" s="778" t="str">
        <f>"both instances of "&amp;PRO&amp;PRO!G10</f>
        <v>both instances of PRO15</v>
      </c>
      <c r="I71" s="413"/>
    </row>
    <row r="72" spans="2:11" x14ac:dyDescent="0.35">
      <c r="B72" s="851" t="s">
        <v>4187</v>
      </c>
      <c r="F72" s="849" t="str">
        <f>A16</f>
        <v>c27.15</v>
      </c>
      <c r="G72" s="880">
        <f>TRUNC(PRO!H11+PRO!H18,0)</f>
        <v>0</v>
      </c>
      <c r="H72" s="1162" t="s">
        <v>1837</v>
      </c>
    </row>
    <row r="74" spans="2:11" x14ac:dyDescent="0.35">
      <c r="B74" s="851"/>
      <c r="G74" s="778" t="str">
        <f>INC&amp;'INC(2)'!C4&amp;" + "&amp;INC&amp;'INC(2)'!C13&amp;" + "&amp;INC&amp;'INC(2)'!G16</f>
        <v>INC8 + INC11 + INC16</v>
      </c>
    </row>
    <row r="75" spans="2:11" x14ac:dyDescent="0.35">
      <c r="B75" s="851" t="s">
        <v>2952</v>
      </c>
      <c r="D75" s="413"/>
      <c r="F75" s="849" t="str">
        <f>A17</f>
        <v>c27.16</v>
      </c>
      <c r="G75" s="880">
        <f>TRUNC('INC(2)'!D5+'INC(2)'!D14+'INC(2)'!H17,0)</f>
        <v>0</v>
      </c>
      <c r="H75" s="1076" t="s">
        <v>1837</v>
      </c>
    </row>
    <row r="77" spans="2:11" x14ac:dyDescent="0.35">
      <c r="C77" s="413"/>
      <c r="D77" s="413"/>
      <c r="F77" s="413"/>
      <c r="J77" s="444"/>
      <c r="K77" s="773" t="str">
        <f>F51&amp;" + "&amp;F54&amp;" + "&amp;F57&amp;" + "&amp;F60&amp;" + "</f>
        <v xml:space="preserve">c27.8 + c27.9 + c27.10 + c27.11 + </v>
      </c>
    </row>
    <row r="78" spans="2:11" x14ac:dyDescent="0.35">
      <c r="B78" s="413"/>
      <c r="C78" s="413"/>
      <c r="D78" s="413"/>
      <c r="F78" s="413"/>
      <c r="J78" s="444"/>
      <c r="K78" s="773" t="str">
        <f>F63&amp;" + "&amp;F66&amp;" + "&amp;F69&amp;" + "&amp;F72&amp;" + "&amp;F75</f>
        <v>c27.12 + c27.13 + c27.14 + c27.15 + c27.16</v>
      </c>
    </row>
    <row r="79" spans="2:11" x14ac:dyDescent="0.35">
      <c r="B79" s="413" t="s">
        <v>2841</v>
      </c>
      <c r="J79" s="849" t="str">
        <f>A18</f>
        <v>c27.17</v>
      </c>
      <c r="K79" s="880">
        <f>G51+G54+G57+G63+G66+G69+G72+G60+G75</f>
        <v>0</v>
      </c>
    </row>
    <row r="81" spans="2:9" x14ac:dyDescent="0.35">
      <c r="B81" s="792" t="s">
        <v>2839</v>
      </c>
    </row>
    <row r="82" spans="2:9" x14ac:dyDescent="0.35">
      <c r="G82" s="778" t="str">
        <f>"Total all instances ("&amp;SPS&amp;PS!C28&amp;" + "&amp;FPS&amp;PS!G16&amp;" + "&amp;FPS&amp;PS!G31&amp;" + "&amp;FPS&amp;PS!J37&amp;")"</f>
        <v>Total all instances (SPS28 + FPS35 + FPS70 + FPS73)</v>
      </c>
    </row>
    <row r="83" spans="2:9" x14ac:dyDescent="0.35">
      <c r="B83" s="851" t="s">
        <v>941</v>
      </c>
      <c r="C83" s="413"/>
      <c r="D83" s="413"/>
      <c r="F83" s="849" t="str">
        <f>A19</f>
        <v>c27.18</v>
      </c>
      <c r="G83" s="880">
        <f>TRUNC(PS!D29+PS!H17+PS!H32+PS!K38,0)</f>
        <v>0</v>
      </c>
      <c r="H83" s="1162" t="s">
        <v>1837</v>
      </c>
    </row>
    <row r="84" spans="2:9" x14ac:dyDescent="0.35">
      <c r="B84" s="413"/>
      <c r="C84" s="413"/>
      <c r="D84" s="413"/>
      <c r="F84" s="413"/>
      <c r="G84" s="879"/>
    </row>
    <row r="85" spans="2:9" x14ac:dyDescent="0.35">
      <c r="G85" s="778" t="str">
        <f>"From "&amp;PRO&amp;PRO!G33</f>
        <v>From PRO40</v>
      </c>
      <c r="I85" s="413"/>
    </row>
    <row r="86" spans="2:9" x14ac:dyDescent="0.35">
      <c r="B86" s="851" t="s">
        <v>4187</v>
      </c>
      <c r="F86" s="849" t="str">
        <f>A20</f>
        <v>c27.19</v>
      </c>
      <c r="G86" s="880">
        <f>TRUNC(PRO!H34,0)</f>
        <v>0</v>
      </c>
      <c r="H86" s="1076" t="s">
        <v>1837</v>
      </c>
    </row>
    <row r="87" spans="2:9" x14ac:dyDescent="0.35">
      <c r="B87" s="413"/>
      <c r="C87" s="413"/>
      <c r="D87" s="413"/>
      <c r="F87" s="413"/>
      <c r="G87" s="879"/>
      <c r="I87" s="413"/>
    </row>
    <row r="88" spans="2:9" x14ac:dyDescent="0.35">
      <c r="B88" s="413"/>
      <c r="C88" s="413"/>
      <c r="D88" s="413"/>
      <c r="F88" s="413"/>
      <c r="G88" s="109" t="str">
        <f>'NS income (c1)'!I88&amp;" + "&amp;'NS income (c1)'!E94&amp;" + "&amp;'NS income (c1)'!I109&amp;" + "&amp;'Savings (c2)'!H40&amp;" + "&amp;'Divs (c3)'!G16&amp;" + "&amp;'Divs (c3)'!G51</f>
        <v>c1.35 + c1.37 + c1.44 + c2.9 + c3.5 + c3.16</v>
      </c>
      <c r="I88" s="413"/>
    </row>
    <row r="89" spans="2:9" x14ac:dyDescent="0.35">
      <c r="B89" s="851" t="s">
        <v>4188</v>
      </c>
      <c r="C89" s="413"/>
      <c r="D89" s="781"/>
      <c r="F89" s="849" t="str">
        <f>A21</f>
        <v>c27.20</v>
      </c>
      <c r="G89" s="880">
        <f>'NS income (c1)'!J88+'NS income (c1)'!F94+'NS income (c1)'!J109+'Savings (c2)'!I40+'Divs (c3)'!H16+'Divs (c3)'!H51</f>
        <v>0</v>
      </c>
      <c r="I89" s="413"/>
    </row>
    <row r="91" spans="2:9" x14ac:dyDescent="0.35">
      <c r="B91" s="413"/>
      <c r="G91" s="773" t="str">
        <f>'NS income (c1)'!I119&amp;" + "&amp;'Savings (c2)'!H53&amp;" + "&amp;'Divs (c3)'!G32&amp;" + "&amp;'Divs (c3)'!G62</f>
        <v>c1.51 + c2.13 + c3.9 + c3.19</v>
      </c>
    </row>
    <row r="92" spans="2:9" x14ac:dyDescent="0.35">
      <c r="B92" s="851" t="s">
        <v>643</v>
      </c>
      <c r="F92" s="849" t="str">
        <f>A22</f>
        <v>c27.21</v>
      </c>
      <c r="G92" s="880">
        <f>'NS income (c1)'!J119+'Savings (c2)'!I53+'Divs (c3)'!H32+'Divs (c3)'!H62</f>
        <v>0</v>
      </c>
      <c r="I92" s="413"/>
    </row>
    <row r="93" spans="2:9" x14ac:dyDescent="0.35">
      <c r="F93" s="413"/>
    </row>
    <row r="94" spans="2:9" x14ac:dyDescent="0.35">
      <c r="B94" s="413"/>
      <c r="G94" s="773" t="str">
        <f>'Savings (c2)'!H64&amp;" + "&amp;'Divs (c3)'!G42</f>
        <v>c2.17 + c3.14</v>
      </c>
      <c r="I94" s="413"/>
    </row>
    <row r="95" spans="2:9" x14ac:dyDescent="0.35">
      <c r="B95" s="851" t="s">
        <v>4185</v>
      </c>
      <c r="F95" s="849" t="str">
        <f>A23</f>
        <v>c27.22</v>
      </c>
      <c r="G95" s="880">
        <f>'Savings (c2)'!I64+'Divs (c3)'!H42</f>
        <v>0</v>
      </c>
      <c r="I95" s="413"/>
    </row>
    <row r="97" spans="2:9" x14ac:dyDescent="0.35">
      <c r="G97" s="778" t="str">
        <f>"From "&amp;INC&amp;'INC(2)'!G13</f>
        <v>From INC15</v>
      </c>
      <c r="I97" s="413"/>
    </row>
    <row r="98" spans="2:9" x14ac:dyDescent="0.35">
      <c r="B98" s="851" t="s">
        <v>2952</v>
      </c>
      <c r="F98" s="849" t="str">
        <f>A24</f>
        <v>c27.23</v>
      </c>
      <c r="G98" s="880">
        <f>TRUNC('INC(2)'!H14,0)</f>
        <v>0</v>
      </c>
      <c r="H98" s="1076" t="s">
        <v>1837</v>
      </c>
      <c r="I98" s="413"/>
    </row>
    <row r="100" spans="2:9" x14ac:dyDescent="0.35">
      <c r="G100" s="778" t="str">
        <f>AOI&amp;AOI!C13&amp;" + "&amp;AOI&amp;AOI!C19&amp;" + "&amp;AOI&amp;AOI!G13</f>
        <v>AOI4 + AOI6 + AOI8</v>
      </c>
    </row>
    <row r="101" spans="2:9" x14ac:dyDescent="0.35">
      <c r="B101" s="851" t="s">
        <v>1371</v>
      </c>
      <c r="F101" s="849" t="str">
        <f>A25</f>
        <v>c27.24</v>
      </c>
      <c r="G101" s="880">
        <f>TRUNC(AOI!D14+AOI!D20+AOI!H14,0)</f>
        <v>0</v>
      </c>
      <c r="H101" s="1076" t="s">
        <v>1837</v>
      </c>
    </row>
    <row r="102" spans="2:9" x14ac:dyDescent="0.35">
      <c r="B102" s="413"/>
      <c r="C102" s="413"/>
      <c r="D102" s="413"/>
      <c r="F102" s="413"/>
    </row>
    <row r="103" spans="2:9" x14ac:dyDescent="0.35">
      <c r="B103" s="851"/>
      <c r="G103" s="418" t="str">
        <f>"from "&amp;'NS income (c1)'!I127</f>
        <v>from c1.56</v>
      </c>
      <c r="I103" s="413"/>
    </row>
    <row r="104" spans="2:9" x14ac:dyDescent="0.35">
      <c r="B104" s="851" t="s">
        <v>3389</v>
      </c>
      <c r="F104" s="849" t="str">
        <f>A26</f>
        <v>c27.25</v>
      </c>
      <c r="G104" s="880">
        <f>'NS income (c1)'!J127</f>
        <v>0</v>
      </c>
    </row>
    <row r="105" spans="2:9" x14ac:dyDescent="0.35">
      <c r="B105" s="413"/>
      <c r="I105" s="413"/>
    </row>
    <row r="106" spans="2:9" x14ac:dyDescent="0.35">
      <c r="B106" s="851"/>
      <c r="F106" s="773"/>
      <c r="G106" s="773" t="str">
        <f>F83&amp;" + "&amp;F86&amp;" + "&amp;F89&amp;" + "&amp;F92&amp;" + "</f>
        <v xml:space="preserve">c27.18 + c27.19 + c27.20 + c27.21 + </v>
      </c>
      <c r="I106" s="413"/>
    </row>
    <row r="107" spans="2:9" x14ac:dyDescent="0.35">
      <c r="B107" s="851"/>
      <c r="F107" s="773"/>
      <c r="G107" s="773" t="str">
        <f>F95&amp;" + "&amp;F98&amp;" + "&amp;F101&amp;" + "&amp;F104</f>
        <v>c27.22 + c27.23 + c27.24 + c27.25</v>
      </c>
    </row>
    <row r="108" spans="2:9" x14ac:dyDescent="0.35">
      <c r="B108" s="413" t="s">
        <v>2840</v>
      </c>
      <c r="F108" s="849" t="str">
        <f>A27</f>
        <v>c27.26</v>
      </c>
      <c r="G108" s="880">
        <f>G83+G86+G89+G92+G95+G98+G101+G104</f>
        <v>0</v>
      </c>
      <c r="I108" s="413"/>
    </row>
    <row r="109" spans="2:9" x14ac:dyDescent="0.35">
      <c r="I109" s="413"/>
    </row>
    <row r="110" spans="2:9" x14ac:dyDescent="0.35">
      <c r="G110" s="773" t="str">
        <f>data!D99</f>
        <v>SL_UIT</v>
      </c>
    </row>
    <row r="111" spans="2:9" x14ac:dyDescent="0.35">
      <c r="B111" s="413" t="s">
        <v>2196</v>
      </c>
      <c r="D111" s="413"/>
      <c r="F111" s="849" t="str">
        <f>A28</f>
        <v>c27.27</v>
      </c>
      <c r="G111" s="1417">
        <f>SL_UIT</f>
        <v>2000</v>
      </c>
    </row>
    <row r="112" spans="2:9" x14ac:dyDescent="0.35">
      <c r="D112" s="413"/>
    </row>
    <row r="113" spans="2:11" x14ac:dyDescent="0.35">
      <c r="D113" s="413"/>
      <c r="J113" s="752" t="str">
        <f>"If "&amp;F108&amp;" is greater than "&amp;F111</f>
        <v>If c27.26 is greater than c27.27</v>
      </c>
      <c r="K113" s="444"/>
    </row>
    <row r="114" spans="2:11" x14ac:dyDescent="0.35">
      <c r="J114" s="752" t="str">
        <f>J118&amp;" = "&amp;F108</f>
        <v>c27.28 = c27.26</v>
      </c>
      <c r="K114" s="444"/>
    </row>
    <row r="115" spans="2:11" x14ac:dyDescent="0.35">
      <c r="J115" s="110" t="s">
        <v>2520</v>
      </c>
      <c r="K115" s="444"/>
    </row>
    <row r="116" spans="2:11" x14ac:dyDescent="0.35">
      <c r="J116" s="413" t="str">
        <f>J118&amp;" = 0 (zero)"</f>
        <v>c27.28 = 0 (zero)</v>
      </c>
      <c r="K116" s="444"/>
    </row>
    <row r="117" spans="2:11" x14ac:dyDescent="0.35">
      <c r="J117" s="146" t="s">
        <v>2638</v>
      </c>
      <c r="K117" s="444"/>
    </row>
    <row r="118" spans="2:11" x14ac:dyDescent="0.35">
      <c r="J118" s="849" t="str">
        <f>A29</f>
        <v>c27.28</v>
      </c>
      <c r="K118" s="880">
        <f>IF(G108&gt;G111,G108,0)</f>
        <v>0</v>
      </c>
    </row>
    <row r="120" spans="2:11" x14ac:dyDescent="0.35">
      <c r="J120" s="444"/>
      <c r="K120" s="752" t="str">
        <f>J79&amp;" + "&amp;J118</f>
        <v>c27.17 + c27.28</v>
      </c>
    </row>
    <row r="121" spans="2:11" x14ac:dyDescent="0.35">
      <c r="B121" s="850" t="s">
        <v>2973</v>
      </c>
      <c r="J121" s="849" t="str">
        <f>A30</f>
        <v>c27.29</v>
      </c>
      <c r="K121" s="880">
        <f>K79+K118</f>
        <v>0</v>
      </c>
    </row>
    <row r="122" spans="2:11" x14ac:dyDescent="0.35">
      <c r="I122" s="413"/>
    </row>
    <row r="123" spans="2:11" x14ac:dyDescent="0.35">
      <c r="B123" s="60" t="s">
        <v>4336</v>
      </c>
      <c r="E123" s="713"/>
      <c r="F123" s="845"/>
      <c r="G123" s="713"/>
    </row>
    <row r="124" spans="2:11" x14ac:dyDescent="0.35">
      <c r="B124" s="416" t="s">
        <v>4191</v>
      </c>
    </row>
    <row r="125" spans="2:11" x14ac:dyDescent="0.35">
      <c r="F125" s="413"/>
      <c r="G125" s="778" t="str">
        <f>"Total all instances "&amp;SSE&amp;SE!C11</f>
        <v>Total all instances SSE33</v>
      </c>
    </row>
    <row r="126" spans="2:11" x14ac:dyDescent="0.35">
      <c r="F126" s="849" t="str">
        <f>A31</f>
        <v>c27.30</v>
      </c>
      <c r="G126" s="880">
        <f>TRUNC(SE!D12+0.99,0)</f>
        <v>0</v>
      </c>
      <c r="H126" s="1162" t="s">
        <v>3966</v>
      </c>
    </row>
    <row r="128" spans="2:11" x14ac:dyDescent="0.35">
      <c r="C128" s="848"/>
      <c r="D128" s="848"/>
      <c r="E128" s="778"/>
      <c r="F128" s="852"/>
      <c r="G128" s="778" t="str">
        <f>"Total all instances "&amp;FSE&amp;SE!G17</f>
        <v>Total all instances FSE78</v>
      </c>
    </row>
    <row r="129" spans="5:11" x14ac:dyDescent="0.35">
      <c r="F129" s="849" t="str">
        <f>A32</f>
        <v>c27.31</v>
      </c>
      <c r="G129" s="880">
        <f>TRUNC(SE!H18+0.99,0)</f>
        <v>0</v>
      </c>
      <c r="H129" s="1162" t="s">
        <v>3966</v>
      </c>
      <c r="K129" s="146"/>
    </row>
    <row r="131" spans="5:11" x14ac:dyDescent="0.35">
      <c r="G131" s="778" t="str">
        <f>"from "&amp;LUN&amp;LUN!K10</f>
        <v>from LUN56</v>
      </c>
    </row>
    <row r="132" spans="5:11" x14ac:dyDescent="0.35">
      <c r="F132" s="849" t="str">
        <f>A33</f>
        <v>c27.32</v>
      </c>
      <c r="G132" s="880">
        <f>TRUNC(LUN!L11+0.99,0)</f>
        <v>0</v>
      </c>
      <c r="H132" s="1076" t="s">
        <v>3966</v>
      </c>
    </row>
    <row r="134" spans="5:11" x14ac:dyDescent="0.35">
      <c r="G134" s="778" t="str">
        <f>"Total all instances "&amp;SPS&amp;PS!C16</f>
        <v>Total all instances SPS22</v>
      </c>
    </row>
    <row r="135" spans="5:11" x14ac:dyDescent="0.35">
      <c r="F135" s="849" t="str">
        <f>A34</f>
        <v>c27.33</v>
      </c>
      <c r="G135" s="880">
        <f>TRUNC(PS!D17+0.99,0)</f>
        <v>0</v>
      </c>
      <c r="H135" s="1162" t="s">
        <v>3966</v>
      </c>
    </row>
    <row r="136" spans="5:11" x14ac:dyDescent="0.35">
      <c r="E136" s="778"/>
      <c r="F136" s="852"/>
      <c r="G136" s="879"/>
    </row>
    <row r="137" spans="5:11" x14ac:dyDescent="0.35">
      <c r="G137" s="778" t="str">
        <f>"Total all instances ("&amp;FPS&amp;PS!G10&amp;" + "&amp;FPS&amp;PS!J19&amp;")"</f>
        <v>Total all instances (FPS22 + FPS39)</v>
      </c>
    </row>
    <row r="138" spans="5:11" x14ac:dyDescent="0.35">
      <c r="F138" s="849" t="str">
        <f>A35</f>
        <v>c27.34</v>
      </c>
      <c r="G138" s="880">
        <f>TRUNC(PS!H11+0.99,0)+TRUNC(PS!K20+0.99,0)</f>
        <v>0</v>
      </c>
      <c r="H138" s="1162" t="s">
        <v>3966</v>
      </c>
    </row>
    <row r="140" spans="5:11" x14ac:dyDescent="0.35">
      <c r="E140" s="778"/>
      <c r="F140" s="852"/>
      <c r="G140" s="778" t="str">
        <f>"from "&amp;PRO&amp;PRO!G36</f>
        <v>from PRO42</v>
      </c>
    </row>
    <row r="141" spans="5:11" x14ac:dyDescent="0.35">
      <c r="F141" s="849" t="str">
        <f>A36</f>
        <v>c27.35</v>
      </c>
      <c r="G141" s="880">
        <f>TRUNC(PRO!H37+0.99,0)</f>
        <v>0</v>
      </c>
      <c r="H141" s="1076" t="s">
        <v>3966</v>
      </c>
    </row>
    <row r="142" spans="5:11" x14ac:dyDescent="0.35">
      <c r="E142" s="778"/>
      <c r="F142" s="852"/>
      <c r="G142" s="879"/>
    </row>
    <row r="143" spans="5:11" x14ac:dyDescent="0.35">
      <c r="G143" s="778" t="str">
        <f>"from "&amp;FOR&amp;FOR!K17</f>
        <v>from FOR31</v>
      </c>
    </row>
    <row r="144" spans="5:11" x14ac:dyDescent="0.35">
      <c r="F144" s="849" t="str">
        <f>A37</f>
        <v>c27.36</v>
      </c>
      <c r="G144" s="880">
        <f>TRUNC(FOR!L18+0.99,0)</f>
        <v>0</v>
      </c>
      <c r="H144" s="1076" t="s">
        <v>3966</v>
      </c>
    </row>
    <row r="146" spans="2:11" x14ac:dyDescent="0.35">
      <c r="E146" s="778"/>
      <c r="F146" s="852"/>
      <c r="G146" s="778" t="str">
        <f>"from "&amp;AOR&amp;AOR!C20</f>
        <v>from AOR6</v>
      </c>
    </row>
    <row r="147" spans="2:11" x14ac:dyDescent="0.35">
      <c r="B147" s="416" t="s">
        <v>1988</v>
      </c>
      <c r="F147" s="849" t="str">
        <f>A38</f>
        <v>c27.37</v>
      </c>
      <c r="G147" s="880">
        <f>TRUNC(AOR!D21+0.99,0)</f>
        <v>0</v>
      </c>
      <c r="H147" s="1076" t="s">
        <v>3966</v>
      </c>
    </row>
    <row r="148" spans="2:11" x14ac:dyDescent="0.35">
      <c r="E148" s="778"/>
      <c r="F148" s="852"/>
      <c r="G148" s="879"/>
    </row>
    <row r="149" spans="2:11" x14ac:dyDescent="0.35">
      <c r="G149" s="778" t="str">
        <f>REL&amp;'REL(1)'!C6&amp;" + "&amp;REL&amp;'REL(1)'!C9&amp;" + "&amp;REL&amp;'REL(1)'!H6&amp;" + "&amp;REL&amp;'REL(1)'!H9</f>
        <v>REL1 + REL2 + REL3 + REL4</v>
      </c>
    </row>
    <row r="150" spans="2:11" x14ac:dyDescent="0.35">
      <c r="B150" s="416" t="s">
        <v>2557</v>
      </c>
      <c r="F150" s="849" t="str">
        <f>A39</f>
        <v>c27.38</v>
      </c>
      <c r="G150" s="880">
        <f>TRUNC('REL(1)'!D7+0.99,0)+TRUNC('REL(1)'!D10+0.99,0)+TRUNC('REL(1)'!I7+0.99,0)+TRUNC('REL(1)'!I10+0.99,0)</f>
        <v>0</v>
      </c>
      <c r="H150" s="1076" t="s">
        <v>3966</v>
      </c>
    </row>
    <row r="152" spans="2:11" x14ac:dyDescent="0.35">
      <c r="H152" s="444"/>
      <c r="I152" s="413"/>
      <c r="J152" s="444"/>
      <c r="K152" s="773" t="str">
        <f>F126&amp;" + "&amp;F129&amp;" + "&amp;F132&amp;" + "&amp;F135&amp;" + "&amp;F138&amp;" + "</f>
        <v xml:space="preserve">c27.30 + c27.31 + c27.32 + c27.33 + c27.34 + </v>
      </c>
    </row>
    <row r="153" spans="2:11" x14ac:dyDescent="0.35">
      <c r="H153" s="444"/>
      <c r="I153" s="413"/>
      <c r="J153" s="444"/>
      <c r="K153" s="773" t="str">
        <f>F141&amp;" + "&amp;F144&amp;" + "&amp;F147&amp;" + "&amp;F150</f>
        <v>c27.35 + c27.36 + c27.37 + c27.38</v>
      </c>
    </row>
    <row r="154" spans="2:11" x14ac:dyDescent="0.35">
      <c r="B154" s="848" t="s">
        <v>3206</v>
      </c>
      <c r="H154" s="444"/>
      <c r="I154" s="413"/>
      <c r="J154" s="849" t="str">
        <f>A40</f>
        <v>c27.39</v>
      </c>
      <c r="K154" s="880">
        <f>G126+G129+G132+G135+G138+G141+G144+G147+G150</f>
        <v>0</v>
      </c>
    </row>
    <row r="155" spans="2:11" x14ac:dyDescent="0.35">
      <c r="H155" s="444"/>
      <c r="I155" s="413"/>
      <c r="K155" s="444"/>
    </row>
    <row r="156" spans="2:11" x14ac:dyDescent="0.35">
      <c r="H156" s="444"/>
      <c r="I156" s="413"/>
      <c r="J156" s="444"/>
      <c r="K156" s="773" t="str">
        <f>J121&amp;" minus "&amp;J154</f>
        <v>c27.29 minus c27.39</v>
      </c>
    </row>
    <row r="157" spans="2:11" x14ac:dyDescent="0.35">
      <c r="B157" s="848" t="s">
        <v>1586</v>
      </c>
      <c r="C157" s="848"/>
      <c r="D157" s="848"/>
      <c r="H157" s="444"/>
      <c r="I157" s="413"/>
      <c r="J157" s="849" t="str">
        <f>A41</f>
        <v>c27.40</v>
      </c>
      <c r="K157" s="880">
        <f>MAX(0,K121-K154)</f>
        <v>0</v>
      </c>
    </row>
    <row r="158" spans="2:11" x14ac:dyDescent="0.35">
      <c r="B158" s="848"/>
      <c r="C158" s="848"/>
      <c r="D158" s="848"/>
      <c r="H158" s="444"/>
      <c r="I158" s="413"/>
      <c r="J158" s="444"/>
    </row>
    <row r="159" spans="2:11" x14ac:dyDescent="0.35">
      <c r="H159" s="444"/>
      <c r="I159" s="413"/>
      <c r="K159" s="773" t="str">
        <f>"If pseudo box "&amp;SLR&amp;'REL(2)'!C13&amp;" = 01"</f>
        <v>If pseudo box SLRPT = 01</v>
      </c>
    </row>
    <row r="160" spans="2:11" x14ac:dyDescent="0.35">
      <c r="H160" s="444"/>
      <c r="I160" s="413"/>
      <c r="K160" s="1507" t="str">
        <f>J166&amp;" = "&amp;J157&amp;" minus SL_limit1 ("&amp;DOLLAR(SL_limit1,0)&amp;")"</f>
        <v>c27.41 = c27.40 minus SL_limit1 (£17,775)</v>
      </c>
    </row>
    <row r="161" spans="2:12" x14ac:dyDescent="0.35">
      <c r="H161" s="444"/>
      <c r="I161" s="413"/>
      <c r="K161" s="109" t="s">
        <v>2520</v>
      </c>
    </row>
    <row r="162" spans="2:12" x14ac:dyDescent="0.35">
      <c r="H162" s="444"/>
      <c r="I162" s="413"/>
      <c r="K162" s="773" t="str">
        <f>"If pseudo box "&amp;SLR&amp;'REL(2)'!C13&amp;" = 02"</f>
        <v>If pseudo box SLRPT = 02</v>
      </c>
    </row>
    <row r="163" spans="2:12" x14ac:dyDescent="0.35">
      <c r="H163" s="444"/>
      <c r="I163" s="413"/>
      <c r="K163" s="773" t="str">
        <f>J166&amp;" = "&amp;J157&amp;" minus SL_limit2 ("&amp;DOLLAR(SL_limit2,0)&amp;")"</f>
        <v>c27.41 = c27.40 minus SL_limit2 (£21,000)</v>
      </c>
    </row>
    <row r="164" spans="2:12" x14ac:dyDescent="0.35">
      <c r="H164" s="444"/>
      <c r="I164" s="413"/>
      <c r="K164" s="1285" t="s">
        <v>2638</v>
      </c>
    </row>
    <row r="165" spans="2:12" x14ac:dyDescent="0.35">
      <c r="H165" s="444"/>
      <c r="I165" s="413"/>
      <c r="K165" s="43" t="s">
        <v>2638</v>
      </c>
    </row>
    <row r="166" spans="2:12" x14ac:dyDescent="0.35">
      <c r="H166" s="444"/>
      <c r="I166" s="413"/>
      <c r="J166" s="849" t="str">
        <f>A42</f>
        <v>c27.41</v>
      </c>
      <c r="K166" s="1573">
        <f>IF(SL_type=1,MAX(0,K157-SL_limit1),IF(SL_type=2,MAX(0,K157-SL_limit2),0))</f>
        <v>0</v>
      </c>
    </row>
    <row r="167" spans="2:12" x14ac:dyDescent="0.35">
      <c r="H167" s="444"/>
      <c r="I167" s="413"/>
      <c r="J167" s="444"/>
    </row>
    <row r="168" spans="2:12" x14ac:dyDescent="0.35">
      <c r="B168" s="848"/>
      <c r="C168" s="848"/>
      <c r="D168" s="848"/>
      <c r="H168" s="444"/>
      <c r="I168" s="413"/>
      <c r="J168" s="444"/>
      <c r="K168" s="773" t="str">
        <f>J166&amp;" x Sloan_rate ("&amp;Sloan_rate*100&amp;"%)"</f>
        <v>c27.41 x Sloan_rate (9%)</v>
      </c>
    </row>
    <row r="169" spans="2:12" x14ac:dyDescent="0.35">
      <c r="B169" s="848" t="s">
        <v>2968</v>
      </c>
      <c r="C169" s="848"/>
      <c r="D169" s="848"/>
      <c r="H169" s="444"/>
      <c r="I169" s="413"/>
      <c r="J169" s="849" t="str">
        <f>A43</f>
        <v>c27.42</v>
      </c>
      <c r="K169" s="1208">
        <f>TRUNC(K166*Sloan_rate,0)</f>
        <v>0</v>
      </c>
      <c r="L169" s="1076" t="s">
        <v>1837</v>
      </c>
    </row>
    <row r="170" spans="2:12" x14ac:dyDescent="0.35">
      <c r="H170" s="444"/>
      <c r="I170" s="413"/>
      <c r="J170" s="444"/>
    </row>
    <row r="171" spans="2:12" x14ac:dyDescent="0.35">
      <c r="H171" s="444"/>
      <c r="I171" s="413"/>
      <c r="J171" s="444"/>
      <c r="K171" s="853" t="str">
        <f>"from "&amp;SLR&amp;'REL(2)'!G11</f>
        <v>from SLR2</v>
      </c>
    </row>
    <row r="172" spans="2:12" x14ac:dyDescent="0.35">
      <c r="B172" s="784" t="s">
        <v>125</v>
      </c>
      <c r="C172" s="848"/>
      <c r="D172" s="848"/>
      <c r="H172" s="444"/>
      <c r="I172" s="413"/>
      <c r="J172" s="849" t="str">
        <f>A44</f>
        <v>c27.43</v>
      </c>
      <c r="K172" s="880">
        <f>TRUNC('REL(2)'!H12+0.99,0)</f>
        <v>0</v>
      </c>
      <c r="L172" s="1076" t="s">
        <v>3966</v>
      </c>
    </row>
    <row r="173" spans="2:12" x14ac:dyDescent="0.35">
      <c r="H173" s="444"/>
      <c r="I173" s="413"/>
      <c r="J173" s="444"/>
    </row>
    <row r="174" spans="2:12" x14ac:dyDescent="0.35">
      <c r="B174" s="1903"/>
      <c r="C174" s="1898"/>
      <c r="D174" s="1898"/>
      <c r="E174" s="1899"/>
    </row>
    <row r="175" spans="2:12" x14ac:dyDescent="0.35">
      <c r="B175" s="1230"/>
      <c r="E175" s="1900"/>
    </row>
    <row r="176" spans="2:12" x14ac:dyDescent="0.35">
      <c r="B176" s="1230"/>
      <c r="E176" s="1900"/>
    </row>
    <row r="177" spans="2:12" x14ac:dyDescent="0.35">
      <c r="B177" s="1230"/>
      <c r="E177" s="1900"/>
    </row>
    <row r="178" spans="2:12" x14ac:dyDescent="0.35">
      <c r="B178" s="1230"/>
      <c r="E178" s="1900"/>
    </row>
    <row r="179" spans="2:12" x14ac:dyDescent="0.35">
      <c r="B179" s="1232"/>
      <c r="C179" s="1901"/>
      <c r="D179" s="1901"/>
      <c r="E179" s="1902"/>
    </row>
    <row r="180" spans="2:12" x14ac:dyDescent="0.35">
      <c r="H180" s="444"/>
      <c r="I180" s="413"/>
      <c r="J180" s="444"/>
      <c r="K180" s="773" t="str">
        <f>J169&amp;" minus "&amp;J172</f>
        <v>c27.42 minus c27.43</v>
      </c>
    </row>
    <row r="181" spans="2:12" x14ac:dyDescent="0.35">
      <c r="B181" s="848" t="s">
        <v>2699</v>
      </c>
      <c r="C181" s="848"/>
      <c r="D181" s="848"/>
      <c r="H181" s="444"/>
      <c r="I181" s="413"/>
      <c r="J181" s="849" t="str">
        <f>A45</f>
        <v>c27.44</v>
      </c>
      <c r="K181" s="1209">
        <f>IF(SL_case,MAX(0,TRUNC(K169-K172+0.0099,2)),0)</f>
        <v>0</v>
      </c>
      <c r="L181" s="1243" t="s">
        <v>1783</v>
      </c>
    </row>
    <row r="182" spans="2:12" x14ac:dyDescent="0.35">
      <c r="H182" s="444"/>
      <c r="I182" s="413"/>
      <c r="J182" s="444"/>
      <c r="K182" s="773" t="str">
        <f>"Copy to box "&amp;'Tax due (c12)'!F28</f>
        <v>Copy to box c12.7</v>
      </c>
    </row>
    <row r="183" spans="2:12" x14ac:dyDescent="0.35">
      <c r="B183" s="43" t="s">
        <v>2520</v>
      </c>
    </row>
    <row r="184" spans="2:12" x14ac:dyDescent="0.35">
      <c r="B184" s="416" t="str">
        <f>F12&amp;" to "&amp;J181&amp;" = 0 (zer0)"</f>
        <v>c27.1 to c27.44 = 0 (zer0)</v>
      </c>
    </row>
    <row r="185" spans="2:12" x14ac:dyDescent="0.35">
      <c r="B185" s="43" t="s">
        <v>2638</v>
      </c>
    </row>
  </sheetData>
  <phoneticPr fontId="68" type="noConversion"/>
  <pageMargins left="0.196850393700787" right="0.196850393700787" top="0.196850393700787" bottom="0.196850393700787" header="0" footer="0"/>
  <pageSetup paperSize="9" fitToHeight="2" orientation="portrait" r:id="rId1"/>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K28"/>
  <sheetViews>
    <sheetView showGridLines="0" topLeftCell="B1" workbookViewId="0">
      <selection activeCell="F27" sqref="F27"/>
    </sheetView>
  </sheetViews>
  <sheetFormatPr defaultColWidth="9.1328125" defaultRowHeight="11.65" x14ac:dyDescent="0.35"/>
  <cols>
    <col min="1" max="1" width="8" style="413" hidden="1" customWidth="1"/>
    <col min="2" max="2" width="22.86328125" style="413" customWidth="1"/>
    <col min="3" max="3" width="6.86328125" style="413" customWidth="1"/>
    <col min="4" max="4" width="10.73046875" style="413" customWidth="1"/>
    <col min="5" max="5" width="6.3984375" style="413" customWidth="1"/>
    <col min="6" max="6" width="7" style="413" customWidth="1"/>
    <col min="7" max="7" width="12.73046875" style="413" customWidth="1"/>
    <col min="8" max="8" width="4.265625" style="413" customWidth="1"/>
    <col min="9" max="9" width="6.59765625" style="413" customWidth="1"/>
    <col min="10" max="10" width="10.73046875" style="413" customWidth="1"/>
    <col min="11" max="11" width="6.3984375" style="413" customWidth="1"/>
    <col min="12" max="16384" width="9.1328125" style="413"/>
  </cols>
  <sheetData>
    <row r="1" spans="1:10" x14ac:dyDescent="0.35">
      <c r="A1" s="413" t="s">
        <v>2601</v>
      </c>
      <c r="B1" s="848" t="s">
        <v>2386</v>
      </c>
      <c r="C1" s="416"/>
      <c r="D1" s="416"/>
      <c r="F1" s="444"/>
      <c r="I1" s="444"/>
    </row>
    <row r="2" spans="1:10" x14ac:dyDescent="0.35">
      <c r="A2" s="413" t="s">
        <v>2602</v>
      </c>
      <c r="B2" s="416"/>
      <c r="C2" s="416"/>
      <c r="D2" s="416"/>
      <c r="F2" s="444"/>
      <c r="I2" s="444"/>
    </row>
    <row r="3" spans="1:10" x14ac:dyDescent="0.35">
      <c r="A3" s="413" t="s">
        <v>2603</v>
      </c>
      <c r="B3" s="416"/>
      <c r="C3" s="416"/>
      <c r="D3" s="788" t="s">
        <v>1955</v>
      </c>
      <c r="E3" s="754"/>
      <c r="F3" s="754"/>
      <c r="G3" s="755"/>
      <c r="I3" s="444"/>
    </row>
    <row r="4" spans="1:10" x14ac:dyDescent="0.35">
      <c r="A4" s="413" t="s">
        <v>2604</v>
      </c>
    </row>
    <row r="5" spans="1:10" x14ac:dyDescent="0.35">
      <c r="A5" s="413" t="s">
        <v>2605</v>
      </c>
      <c r="B5" s="1517" t="str">
        <f>" Boxes "&amp;A1&amp;" to "&amp;A6&amp;" not used"</f>
        <v xml:space="preserve"> Boxes c28.1 to c28.6 not used</v>
      </c>
      <c r="C5" s="1518"/>
      <c r="I5" s="416"/>
      <c r="J5" s="1067"/>
    </row>
    <row r="6" spans="1:10" x14ac:dyDescent="0.35">
      <c r="A6" s="413" t="s">
        <v>2606</v>
      </c>
      <c r="F6" s="416"/>
      <c r="G6" s="416"/>
      <c r="H6" s="771"/>
    </row>
    <row r="7" spans="1:10" x14ac:dyDescent="0.35">
      <c r="A7" s="413" t="s">
        <v>2607</v>
      </c>
      <c r="B7" s="416"/>
      <c r="C7" s="416"/>
      <c r="D7" s="416"/>
      <c r="E7" s="416"/>
      <c r="F7" s="416"/>
      <c r="G7" s="416"/>
      <c r="H7" s="416"/>
      <c r="I7" s="416"/>
      <c r="J7" s="771" t="str">
        <f>"from "&amp;'Deductions (c4)'!H176</f>
        <v>from c4.63</v>
      </c>
    </row>
    <row r="8" spans="1:10" x14ac:dyDescent="0.35">
      <c r="A8" s="413" t="s">
        <v>2608</v>
      </c>
      <c r="B8" s="793" t="s">
        <v>1844</v>
      </c>
      <c r="C8" s="416"/>
      <c r="D8" s="416"/>
      <c r="E8" s="416"/>
      <c r="F8" s="416"/>
      <c r="G8" s="416"/>
      <c r="H8" s="416"/>
      <c r="I8" s="849" t="str">
        <f>A7</f>
        <v>c28.7</v>
      </c>
      <c r="J8" s="844">
        <f>TRUNC(MAX(0,'Deductions (c4)'!I176),0)</f>
        <v>0</v>
      </c>
    </row>
    <row r="9" spans="1:10" x14ac:dyDescent="0.35">
      <c r="A9" s="413" t="s">
        <v>2609</v>
      </c>
      <c r="B9" s="416"/>
      <c r="C9" s="416"/>
      <c r="D9" s="416"/>
      <c r="F9" s="444"/>
    </row>
    <row r="10" spans="1:10" x14ac:dyDescent="0.35">
      <c r="A10" s="413" t="s">
        <v>3260</v>
      </c>
      <c r="J10" s="109" t="s">
        <v>2600</v>
      </c>
    </row>
    <row r="11" spans="1:10" x14ac:dyDescent="0.35">
      <c r="A11" s="413" t="s">
        <v>3261</v>
      </c>
      <c r="B11" s="413" t="s">
        <v>3265</v>
      </c>
      <c r="I11" s="849" t="str">
        <f>A8</f>
        <v>c28.8</v>
      </c>
      <c r="J11" s="1175">
        <f>CBC_HR_threshold</f>
        <v>50000</v>
      </c>
    </row>
    <row r="12" spans="1:10" x14ac:dyDescent="0.35">
      <c r="A12" s="413" t="s">
        <v>3262</v>
      </c>
    </row>
    <row r="13" spans="1:10" x14ac:dyDescent="0.35">
      <c r="A13" s="413" t="s">
        <v>3263</v>
      </c>
      <c r="J13" s="771" t="str">
        <f>I8&amp;" minus "&amp;I11</f>
        <v>c28.7 minus c28.8</v>
      </c>
    </row>
    <row r="14" spans="1:10" x14ac:dyDescent="0.35">
      <c r="A14" s="413" t="s">
        <v>3264</v>
      </c>
      <c r="B14" s="793" t="s">
        <v>3266</v>
      </c>
      <c r="I14" s="849" t="str">
        <f>A9</f>
        <v>c28.9</v>
      </c>
      <c r="J14" s="844">
        <f>TRUNC(MAX(0,J8-J11),0)</f>
        <v>0</v>
      </c>
    </row>
    <row r="16" spans="1:10" x14ac:dyDescent="0.35">
      <c r="J16" s="773" t="str">
        <f>I14&amp;" x CBC_taper ("&amp;CBC_taper*100&amp;"%)"</f>
        <v>c28.9 x CBC_taper (1%)</v>
      </c>
    </row>
    <row r="17" spans="3:11" x14ac:dyDescent="0.35">
      <c r="I17" s="849" t="str">
        <f>A10</f>
        <v>c28.10</v>
      </c>
      <c r="J17" s="1044">
        <f>TRUNC(J14*CBC_taper,0)</f>
        <v>0</v>
      </c>
      <c r="K17" s="1076" t="s">
        <v>1837</v>
      </c>
    </row>
    <row r="18" spans="3:11" x14ac:dyDescent="0.35">
      <c r="I18" s="1045"/>
      <c r="J18" s="1046"/>
    </row>
    <row r="19" spans="3:11" x14ac:dyDescent="0.35">
      <c r="D19" s="778" t="str">
        <f>"from box "&amp;'REL(2)'!K18&amp;'REL(2)'!C20</f>
        <v>from box CBC1</v>
      </c>
      <c r="I19" s="1045"/>
      <c r="J19" s="773" t="str">
        <f>C20&amp;" x CBC_taper ("&amp;CBC_taper*100&amp;"%)"</f>
        <v>c28.11 x CBC_taper (1%)</v>
      </c>
    </row>
    <row r="20" spans="3:11" x14ac:dyDescent="0.35">
      <c r="C20" s="849" t="str">
        <f>A11</f>
        <v>c28.11</v>
      </c>
      <c r="D20" s="812">
        <f>TRUNC('REL(2)'!D21,0)</f>
        <v>0</v>
      </c>
      <c r="E20" s="1076" t="s">
        <v>1837</v>
      </c>
      <c r="I20" s="849" t="str">
        <f>A12</f>
        <v>c28.12</v>
      </c>
      <c r="J20" s="1047">
        <f>TRUNC(D20*CBC_taper,2)</f>
        <v>0</v>
      </c>
      <c r="K20" s="1076" t="s">
        <v>2872</v>
      </c>
    </row>
    <row r="21" spans="3:11" x14ac:dyDescent="0.35">
      <c r="J21" s="1046"/>
    </row>
    <row r="22" spans="3:11" x14ac:dyDescent="0.35">
      <c r="J22" s="773" t="str">
        <f>I17&amp;" x "&amp;I20</f>
        <v>c28.10 x c28.12</v>
      </c>
    </row>
    <row r="23" spans="3:11" x14ac:dyDescent="0.35">
      <c r="I23" s="849" t="str">
        <f>A13</f>
        <v>c28.13</v>
      </c>
      <c r="J23" s="1047">
        <f>TRUNC(J17*J20,0)</f>
        <v>0</v>
      </c>
    </row>
    <row r="24" spans="3:11" x14ac:dyDescent="0.35">
      <c r="I24" s="1045"/>
      <c r="J24" s="1046"/>
    </row>
    <row r="25" spans="3:11" x14ac:dyDescent="0.35">
      <c r="J25" s="773" t="str">
        <f>"lower of "&amp;C20&amp;" and "&amp;I23</f>
        <v>lower of c28.11 and c28.13</v>
      </c>
    </row>
    <row r="26" spans="3:11" x14ac:dyDescent="0.35">
      <c r="I26" s="849" t="str">
        <f>A14</f>
        <v>c28.14</v>
      </c>
      <c r="J26" s="812">
        <f>TRUNC(MIN(D20,J23),0)</f>
        <v>0</v>
      </c>
      <c r="K26" s="1076" t="s">
        <v>1837</v>
      </c>
    </row>
    <row r="27" spans="3:11" x14ac:dyDescent="0.35">
      <c r="J27" s="773" t="str">
        <f>"copy to "&amp;'Tax adj (c9)'!F121</f>
        <v>copy to c9.37</v>
      </c>
    </row>
    <row r="28" spans="3:11" x14ac:dyDescent="0.35">
      <c r="J28" s="773" t="str">
        <f>" and box "&amp;'Tax due (c12)'!F31</f>
        <v xml:space="preserve"> and box c12.8</v>
      </c>
    </row>
  </sheetData>
  <phoneticPr fontId="68" type="noConversion"/>
  <pageMargins left="0.196850393700787" right="0.196850393700787" top="0.196850393700787" bottom="0.196850393700787" header="0" footer="0"/>
  <pageSetup paperSize="9" orientation="portrait"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pageSetUpPr fitToPage="1"/>
  </sheetPr>
  <dimension ref="A1:AC121"/>
  <sheetViews>
    <sheetView showGridLines="0" topLeftCell="B73" zoomScaleNormal="100" workbookViewId="0">
      <selection activeCell="T92" sqref="T92"/>
    </sheetView>
  </sheetViews>
  <sheetFormatPr defaultColWidth="9.1328125" defaultRowHeight="11.65" x14ac:dyDescent="0.35"/>
  <cols>
    <col min="1" max="1" width="10.1328125" style="110" hidden="1" customWidth="1"/>
    <col min="2" max="2" width="36.3984375" style="110" customWidth="1"/>
    <col min="3" max="3" width="7.1328125" style="110" customWidth="1"/>
    <col min="4" max="4" width="16.1328125" style="110" customWidth="1"/>
    <col min="5" max="6" width="6.3984375" style="110" customWidth="1"/>
    <col min="7" max="7" width="34.3984375" style="110" customWidth="1"/>
    <col min="8" max="8" width="7.1328125" style="110" customWidth="1"/>
    <col min="9" max="9" width="16.1328125" style="110" customWidth="1"/>
    <col min="10" max="11" width="6.3984375" style="110" customWidth="1"/>
    <col min="12" max="12" width="26.59765625" style="110" customWidth="1"/>
    <col min="13" max="13" width="7.1328125" style="110" customWidth="1"/>
    <col min="14" max="14" width="16.1328125" style="110" customWidth="1"/>
    <col min="15" max="16" width="6.3984375" style="110" customWidth="1"/>
    <col min="17" max="17" width="34.3984375" style="110" customWidth="1"/>
    <col min="18" max="18" width="7.1328125" style="110" customWidth="1"/>
    <col min="19" max="19" width="16.1328125" style="110" customWidth="1"/>
    <col min="20" max="20" width="6.3984375" style="110" customWidth="1"/>
    <col min="21" max="21" width="6.265625" style="110" customWidth="1"/>
    <col min="22" max="22" width="14" style="110" customWidth="1"/>
    <col min="23" max="23" width="6.3984375" style="110" customWidth="1"/>
    <col min="24" max="24" width="6.1328125" style="110" customWidth="1"/>
    <col min="25" max="25" width="13" style="110" customWidth="1"/>
    <col min="26" max="26" width="6.3984375" style="110" customWidth="1"/>
    <col min="27" max="27" width="6.265625" style="110" customWidth="1"/>
    <col min="28" max="28" width="6.1328125" style="110" customWidth="1"/>
    <col min="29" max="29" width="14" style="110" customWidth="1"/>
    <col min="30" max="16384" width="9.1328125" style="110"/>
  </cols>
  <sheetData>
    <row r="1" spans="1:26" ht="17.649999999999999" x14ac:dyDescent="0.5">
      <c r="A1" s="110" t="s">
        <v>2646</v>
      </c>
      <c r="B1" s="2489" t="s">
        <v>1734</v>
      </c>
    </row>
    <row r="2" spans="1:26" x14ac:dyDescent="0.35">
      <c r="A2" s="110" t="s">
        <v>2647</v>
      </c>
      <c r="B2" s="110" t="str">
        <f>"1) Complete boxes "&amp;C16&amp;" to "&amp;R118&amp;" below"</f>
        <v>1) Complete boxes c91.1 to c91.35 below</v>
      </c>
    </row>
    <row r="3" spans="1:26" x14ac:dyDescent="0.35">
      <c r="A3" s="110" t="s">
        <v>2648</v>
      </c>
      <c r="B3" s="110" t="str">
        <f>"2) Recalculate boxes "&amp;'Taxable (c5)'!E74&amp;" to "&amp;'Tax due (c12)'!I81&amp;" using the adjusted figures calculated below"</f>
        <v>2) Recalculate boxes c5.35 to c12.21 using the adjusted figures calculated below</v>
      </c>
    </row>
    <row r="4" spans="1:26" x14ac:dyDescent="0.35">
      <c r="A4" s="110" t="s">
        <v>7767</v>
      </c>
      <c r="B4" s="3091" t="str">
        <f>"3) Retain the lower of 1) box "&amp;'Tax due (c12)'!I62&amp;" calculated using the original figures, or 2) box "&amp;'Tax due (c12)'!I62&amp;" calculated using the adjusted figures"</f>
        <v>3) Retain the lower of 1) box c12.18 calculated using the original figures, or 2) box c12.18 calculated using the adjusted figures</v>
      </c>
      <c r="E4" s="3091"/>
    </row>
    <row r="5" spans="1:26" x14ac:dyDescent="0.35">
      <c r="A5" s="110" t="s">
        <v>2649</v>
      </c>
      <c r="B5" s="3091" t="str">
        <f>"and retain the calculation from 1) at "&amp;'Tax due (c12)'!I88&amp;" and the calculation from 2) at "&amp;'Tax due (c12)'!I92</f>
        <v>and retain the calculation from 1) at c12.22 and the calculation from 2) at c12.23</v>
      </c>
      <c r="C5" s="3091"/>
      <c r="D5" s="3091"/>
      <c r="E5" s="3091"/>
    </row>
    <row r="6" spans="1:26" x14ac:dyDescent="0.35">
      <c r="A6" s="110" t="s">
        <v>2650</v>
      </c>
    </row>
    <row r="7" spans="1:26" x14ac:dyDescent="0.35">
      <c r="A7" s="110" t="s">
        <v>1620</v>
      </c>
      <c r="B7" s="110" t="str">
        <f>"If "&amp;NRD&amp;NRD!C5&amp;" = N"</f>
        <v>If NRD1 = N</v>
      </c>
    </row>
    <row r="8" spans="1:26" x14ac:dyDescent="0.35">
      <c r="A8" s="110" t="s">
        <v>1621</v>
      </c>
      <c r="B8" s="110" t="str">
        <f>"set boxes "&amp;C16&amp;" to "&amp;R118&amp;" to 0 (zero)"</f>
        <v>set boxes c91.1 to c91.35 to 0 (zero)</v>
      </c>
    </row>
    <row r="9" spans="1:26" x14ac:dyDescent="0.35">
      <c r="A9" s="110" t="s">
        <v>1622</v>
      </c>
      <c r="B9" s="110" t="s">
        <v>2520</v>
      </c>
    </row>
    <row r="10" spans="1:26" x14ac:dyDescent="0.35">
      <c r="A10" s="110" t="s">
        <v>1623</v>
      </c>
    </row>
    <row r="11" spans="1:26" x14ac:dyDescent="0.35">
      <c r="A11" s="110" t="s">
        <v>1624</v>
      </c>
      <c r="B11" s="42" t="s">
        <v>2806</v>
      </c>
      <c r="C11" s="42"/>
    </row>
    <row r="12" spans="1:26" x14ac:dyDescent="0.35">
      <c r="A12" s="110" t="s">
        <v>1625</v>
      </c>
      <c r="C12" s="42"/>
      <c r="D12" s="42"/>
      <c r="E12" s="42"/>
      <c r="F12" s="42"/>
      <c r="L12" s="42"/>
      <c r="M12" s="42"/>
      <c r="N12" s="42"/>
      <c r="O12" s="42"/>
      <c r="P12" s="42"/>
    </row>
    <row r="13" spans="1:26" x14ac:dyDescent="0.35">
      <c r="A13" s="110" t="s">
        <v>1626</v>
      </c>
      <c r="B13" s="110" t="s">
        <v>4189</v>
      </c>
      <c r="H13" s="3173" t="s">
        <v>5554</v>
      </c>
      <c r="M13" s="110" t="s">
        <v>665</v>
      </c>
      <c r="R13" s="3173" t="s">
        <v>7768</v>
      </c>
      <c r="S13" s="2771"/>
    </row>
    <row r="14" spans="1:26" x14ac:dyDescent="0.35">
      <c r="A14" s="110" t="s">
        <v>1627</v>
      </c>
      <c r="O14" s="1132"/>
    </row>
    <row r="15" spans="1:26" x14ac:dyDescent="0.35">
      <c r="A15" s="110" t="s">
        <v>1032</v>
      </c>
      <c r="D15" s="3155" t="str">
        <f>"from "&amp;'NS income (c1)'!I131</f>
        <v>from c1.57</v>
      </c>
      <c r="E15" s="42"/>
      <c r="F15" s="42"/>
      <c r="H15" s="42"/>
      <c r="K15" s="42"/>
      <c r="N15" s="42"/>
      <c r="Q15" s="42"/>
      <c r="Z15" s="42"/>
    </row>
    <row r="16" spans="1:26" x14ac:dyDescent="0.35">
      <c r="A16" s="110" t="s">
        <v>1033</v>
      </c>
      <c r="B16" s="3091" t="s">
        <v>1871</v>
      </c>
      <c r="C16" s="714" t="str">
        <f>A1</f>
        <v>c91.1</v>
      </c>
      <c r="D16" s="3178">
        <f>'NS income (c1)'!J131</f>
        <v>0</v>
      </c>
      <c r="E16" s="715"/>
      <c r="H16" s="716"/>
      <c r="Q16" s="2627"/>
    </row>
    <row r="17" spans="1:26" x14ac:dyDescent="0.35">
      <c r="A17" s="110" t="s">
        <v>1034</v>
      </c>
      <c r="G17" s="42"/>
      <c r="H17" s="3173" t="s">
        <v>5555</v>
      </c>
      <c r="L17" s="1132"/>
      <c r="M17" s="1132"/>
      <c r="O17" s="1132"/>
      <c r="P17" s="1132"/>
    </row>
    <row r="18" spans="1:26" x14ac:dyDescent="0.35">
      <c r="A18" s="110" t="s">
        <v>1035</v>
      </c>
      <c r="L18" s="1132"/>
      <c r="M18" s="1132"/>
      <c r="O18" s="1132"/>
      <c r="P18" s="1132"/>
      <c r="Z18" s="42"/>
    </row>
    <row r="19" spans="1:26" x14ac:dyDescent="0.35">
      <c r="A19" s="110" t="s">
        <v>1036</v>
      </c>
      <c r="I19" s="1414" t="str">
        <f>INC&amp;'INC(2)'!C4&amp;" + "&amp;INC&amp;'INC(2)'!G7&amp;" + "&amp;INC&amp;'INC(2)'!G13&amp;" + "&amp;INC&amp;'INC(2)'!G16</f>
        <v>INC8 + INC13 + INC15 + INC16</v>
      </c>
      <c r="L19" s="1132"/>
      <c r="M19" s="1132"/>
      <c r="O19" s="1132"/>
      <c r="P19" s="1132"/>
      <c r="S19" s="1358" t="str">
        <f>"from "&amp;INC&amp;'INC(2)'!G10</f>
        <v>from INC14</v>
      </c>
    </row>
    <row r="20" spans="1:26" x14ac:dyDescent="0.35">
      <c r="A20" s="110" t="s">
        <v>1037</v>
      </c>
      <c r="B20" s="791" t="s">
        <v>5544</v>
      </c>
      <c r="H20" s="714" t="str">
        <f>A2</f>
        <v>c91.2</v>
      </c>
      <c r="I20" s="847">
        <f>TRUNC('INC(2)'!D5,0)+TRUNC('INC(2)'!H17,0)+TRUNC('INC(2)'!H14,0)+TRUNC('INC(2)'!H8,0)</f>
        <v>0</v>
      </c>
      <c r="J20" s="1080" t="s">
        <v>1837</v>
      </c>
      <c r="L20" s="1132"/>
      <c r="M20" s="1132"/>
      <c r="O20" s="1132"/>
      <c r="Q20" s="757" t="s">
        <v>5545</v>
      </c>
      <c r="R20" s="714" t="str">
        <f>A31</f>
        <v>c91.29</v>
      </c>
      <c r="S20" s="719">
        <f>TRUNC('INC(2)'!H11+0.99)</f>
        <v>0</v>
      </c>
      <c r="T20" s="1547" t="s">
        <v>3966</v>
      </c>
    </row>
    <row r="21" spans="1:26" x14ac:dyDescent="0.35">
      <c r="A21" s="110" t="s">
        <v>1038</v>
      </c>
      <c r="L21" s="1132"/>
      <c r="M21" s="1132"/>
      <c r="O21" s="1132"/>
      <c r="Q21" s="109"/>
      <c r="X21" s="42"/>
      <c r="Y21" s="3174"/>
    </row>
    <row r="22" spans="1:26" x14ac:dyDescent="0.35">
      <c r="A22" s="110" t="s">
        <v>1039</v>
      </c>
      <c r="B22" s="791" t="s">
        <v>5546</v>
      </c>
      <c r="I22" s="3176" t="str">
        <f>"from "&amp;'NS income (c1)'!E115</f>
        <v>from c1.46</v>
      </c>
      <c r="L22" s="1132"/>
      <c r="M22" s="1132"/>
      <c r="O22" s="1132"/>
      <c r="S22" s="3044" t="str">
        <f>"from "&amp;'Tax paid (c11)'!F58</f>
        <v>from c11.17</v>
      </c>
      <c r="X22" s="42"/>
      <c r="Y22" s="3174"/>
    </row>
    <row r="23" spans="1:26" x14ac:dyDescent="0.35">
      <c r="A23" s="110" t="s">
        <v>1040</v>
      </c>
      <c r="B23" s="3175" t="str">
        <f>TRU&amp;TRU!C6&amp;" x Trust_gross ("&amp;trust_gross_F&amp;")"</f>
        <v>TRU1 x Trust_gross (100/55)</v>
      </c>
      <c r="H23" s="714" t="str">
        <f>A3</f>
        <v>c91.3</v>
      </c>
      <c r="I23" s="3178">
        <f>TRUNC('NS income (c1)'!F115,0)</f>
        <v>0</v>
      </c>
      <c r="J23" s="1080"/>
      <c r="L23" s="1132"/>
      <c r="M23" s="1132"/>
      <c r="O23" s="1132"/>
      <c r="Q23" s="757" t="s">
        <v>8062</v>
      </c>
      <c r="R23" s="714" t="str">
        <f>A32</f>
        <v>c91.30</v>
      </c>
      <c r="S23" s="719">
        <f>'Tax paid (c11)'!G58</f>
        <v>0</v>
      </c>
      <c r="T23" s="2627" t="s">
        <v>1783</v>
      </c>
      <c r="X23" s="42"/>
      <c r="Y23" s="3174"/>
    </row>
    <row r="24" spans="1:26" x14ac:dyDescent="0.35">
      <c r="A24" s="110" t="s">
        <v>8056</v>
      </c>
      <c r="B24" s="791"/>
      <c r="L24" s="1132"/>
      <c r="M24" s="1132"/>
      <c r="O24" s="1132"/>
      <c r="Q24" s="757"/>
      <c r="X24" s="42"/>
      <c r="Y24" s="3174"/>
    </row>
    <row r="25" spans="1:26" x14ac:dyDescent="0.35">
      <c r="A25" s="110" t="s">
        <v>1041</v>
      </c>
      <c r="B25" s="791"/>
      <c r="H25" s="42"/>
      <c r="I25" s="3176" t="str">
        <f>"from "&amp;'NS income (c1)'!E116</f>
        <v>from c1.47</v>
      </c>
      <c r="J25" s="1162"/>
      <c r="L25" s="1132"/>
      <c r="M25" s="1132"/>
      <c r="O25" s="1132"/>
      <c r="Q25" s="757"/>
      <c r="R25" s="3180"/>
      <c r="S25" s="3044" t="str">
        <f>"from "&amp;'Tax paid (c11)'!F59</f>
        <v>from c11.18</v>
      </c>
      <c r="T25" s="1162"/>
      <c r="X25" s="42"/>
      <c r="Y25" s="3174"/>
    </row>
    <row r="26" spans="1:26" x14ac:dyDescent="0.35">
      <c r="A26" s="110" t="s">
        <v>1042</v>
      </c>
      <c r="B26" s="3175" t="str">
        <f>TRU&amp;TRU!C32&amp;" x Trust_gross ("&amp;trust_gross_F&amp;")"</f>
        <v>TRU10 x Trust_gross (100/55)</v>
      </c>
      <c r="H26" s="3177" t="str">
        <f>A4</f>
        <v>c91.3a</v>
      </c>
      <c r="I26" s="3178">
        <f>TRUNC('NS income (c1)'!F116,0)</f>
        <v>0</v>
      </c>
      <c r="J26" s="3179" t="s">
        <v>1837</v>
      </c>
      <c r="L26" s="1132"/>
      <c r="M26" s="1132"/>
      <c r="O26" s="1132"/>
      <c r="Q26" s="3490" t="s">
        <v>8063</v>
      </c>
      <c r="R26" s="3177" t="str">
        <f>A33</f>
        <v>c91.30a</v>
      </c>
      <c r="S26" s="3181">
        <f>'Tax paid (c11)'!G59</f>
        <v>0</v>
      </c>
      <c r="T26" s="3486" t="s">
        <v>1783</v>
      </c>
      <c r="X26" s="42"/>
      <c r="Y26" s="3174"/>
    </row>
    <row r="27" spans="1:26" x14ac:dyDescent="0.35">
      <c r="A27" s="110" t="s">
        <v>1043</v>
      </c>
      <c r="L27" s="1132"/>
      <c r="M27" s="1132"/>
      <c r="O27" s="1132"/>
      <c r="Q27" s="109"/>
      <c r="X27" s="42"/>
      <c r="Y27" s="3174"/>
    </row>
    <row r="28" spans="1:26" x14ac:dyDescent="0.35">
      <c r="A28" s="110" t="s">
        <v>1044</v>
      </c>
      <c r="I28" s="1414" t="str">
        <f>"from "&amp;'NS income (c1)'!E118</f>
        <v>from c1.49</v>
      </c>
      <c r="J28" s="1080"/>
      <c r="L28" s="1132"/>
      <c r="M28" s="1132"/>
      <c r="O28" s="1132"/>
      <c r="Q28" s="109"/>
      <c r="S28" s="109" t="str">
        <f>H29&amp;" x OLD_BR ("&amp;OLD_BR*100&amp;"%)"</f>
        <v>c91.4 x OLD_BR (22%)</v>
      </c>
      <c r="X28" s="42"/>
      <c r="Y28" s="3174"/>
    </row>
    <row r="29" spans="1:26" x14ac:dyDescent="0.35">
      <c r="A29" s="110" t="s">
        <v>1045</v>
      </c>
      <c r="B29" s="3175" t="str">
        <f>TRU&amp;TRU!O11&amp;" x Gross_By_22 ("&amp;Gross_By_22_F&amp;")"</f>
        <v>TRU20 x Gross_By_22 (100/78)</v>
      </c>
      <c r="H29" s="714" t="str">
        <f>A5</f>
        <v>c91.4</v>
      </c>
      <c r="I29" s="846">
        <f>'NS income (c1)'!F118</f>
        <v>0</v>
      </c>
      <c r="L29" s="1132"/>
      <c r="M29" s="1132"/>
      <c r="O29" s="1132"/>
      <c r="Q29" s="757" t="s">
        <v>5547</v>
      </c>
      <c r="R29" s="714" t="str">
        <f>A34</f>
        <v>c91.31</v>
      </c>
      <c r="S29" s="719">
        <f>TRUNC((I29*OLD_BR)+0.0099,2)</f>
        <v>0</v>
      </c>
      <c r="T29" s="1080" t="s">
        <v>1783</v>
      </c>
      <c r="X29" s="42"/>
      <c r="Y29" s="3174"/>
    </row>
    <row r="30" spans="1:26" x14ac:dyDescent="0.35">
      <c r="A30" s="110" t="s">
        <v>1046</v>
      </c>
      <c r="L30" s="1132"/>
      <c r="M30" s="1132"/>
      <c r="O30" s="1132"/>
      <c r="P30" s="1132"/>
      <c r="X30" s="42"/>
      <c r="Y30" s="3174"/>
    </row>
    <row r="31" spans="1:26" x14ac:dyDescent="0.35">
      <c r="A31" s="110" t="s">
        <v>1047</v>
      </c>
      <c r="I31" s="3155" t="str">
        <f>H20&amp;" + "&amp;H23&amp;" + "&amp;H26&amp;" + "&amp;H29</f>
        <v>c91.2 + c91.3 + c91.3a + c91.4</v>
      </c>
      <c r="L31" s="1132"/>
      <c r="N31" s="44" t="str">
        <f>C16&amp;" minus "&amp;H32</f>
        <v>c91.1 minus c91.5</v>
      </c>
      <c r="O31" s="1132"/>
      <c r="P31" s="1132"/>
      <c r="R31" s="3091"/>
      <c r="S31" s="3195" t="str">
        <f>R23&amp;" + "&amp;R26&amp;" + "&amp;R29</f>
        <v>c91.30 + c91.30a + c91.31</v>
      </c>
      <c r="X31" s="42"/>
      <c r="Y31" s="3174"/>
    </row>
    <row r="32" spans="1:26" x14ac:dyDescent="0.35">
      <c r="A32" s="110" t="s">
        <v>1048</v>
      </c>
      <c r="H32" s="714" t="str">
        <f>A6</f>
        <v>c91.5</v>
      </c>
      <c r="I32" s="3178">
        <f>I20+I23+I26+I29</f>
        <v>0</v>
      </c>
      <c r="J32" s="42"/>
      <c r="L32" s="1132"/>
      <c r="M32" s="714" t="str">
        <f>A7</f>
        <v>c91.6</v>
      </c>
      <c r="N32" s="846">
        <f>MAX(0,D16-I32)</f>
        <v>0</v>
      </c>
      <c r="O32" s="1132"/>
      <c r="P32" s="1132"/>
      <c r="R32" s="3484" t="str">
        <f>A35</f>
        <v>c91.31a</v>
      </c>
      <c r="S32" s="719">
        <f>S23+S26+S29</f>
        <v>0</v>
      </c>
      <c r="X32" s="42"/>
      <c r="Y32" s="3174"/>
    </row>
    <row r="33" spans="1:25" x14ac:dyDescent="0.35">
      <c r="A33" s="110" t="s">
        <v>7765</v>
      </c>
      <c r="L33" s="1132"/>
      <c r="M33" s="42"/>
      <c r="N33" s="3155" t="str">
        <f>"copy to "&amp;'Taxable (c5)'!E17</f>
        <v>copy to c5.3</v>
      </c>
      <c r="O33" s="1132"/>
      <c r="P33" s="1132"/>
      <c r="Y33" s="1142"/>
    </row>
    <row r="34" spans="1:25" x14ac:dyDescent="0.35">
      <c r="A34" s="110" t="s">
        <v>1049</v>
      </c>
      <c r="B34" s="1564"/>
      <c r="C34" s="1564"/>
      <c r="D34" s="1564"/>
      <c r="E34" s="1564"/>
      <c r="F34" s="1564"/>
      <c r="G34" s="1564"/>
      <c r="H34" s="1564"/>
      <c r="I34" s="1564"/>
      <c r="J34" s="1564"/>
      <c r="K34" s="1564"/>
      <c r="L34" s="1564"/>
      <c r="M34" s="1564"/>
      <c r="N34" s="1564"/>
      <c r="O34" s="2177"/>
      <c r="P34" s="2177"/>
      <c r="Q34" s="1564"/>
      <c r="R34" s="1564"/>
      <c r="S34" s="1564"/>
      <c r="T34" s="1564"/>
      <c r="U34" s="1564"/>
    </row>
    <row r="35" spans="1:25" x14ac:dyDescent="0.35">
      <c r="A35" s="110" t="s">
        <v>8064</v>
      </c>
      <c r="B35" s="1565"/>
      <c r="C35" s="1565"/>
      <c r="D35" s="1565"/>
      <c r="E35" s="1565"/>
      <c r="F35" s="1565"/>
      <c r="G35" s="1565"/>
      <c r="H35" s="1565"/>
      <c r="I35" s="1565"/>
      <c r="J35" s="1565"/>
      <c r="K35" s="1565"/>
      <c r="L35" s="1565"/>
      <c r="M35" s="1565"/>
      <c r="N35" s="1565"/>
      <c r="O35" s="2178"/>
      <c r="P35" s="2178"/>
      <c r="Q35" s="1565"/>
      <c r="R35" s="1565"/>
      <c r="S35" s="1565"/>
      <c r="T35" s="1565"/>
      <c r="U35" s="1565"/>
    </row>
    <row r="36" spans="1:25" x14ac:dyDescent="0.35">
      <c r="A36" s="110" t="s">
        <v>1050</v>
      </c>
      <c r="H36" s="3173" t="s">
        <v>5554</v>
      </c>
      <c r="M36" s="110" t="s">
        <v>665</v>
      </c>
      <c r="O36" s="1132"/>
      <c r="P36" s="1132"/>
    </row>
    <row r="37" spans="1:25" x14ac:dyDescent="0.35">
      <c r="A37" s="110" t="s">
        <v>1051</v>
      </c>
      <c r="C37" s="1132"/>
      <c r="D37" s="44" t="str">
        <f>"from "&amp;'NS income (c1)'!I135</f>
        <v>from c1.58</v>
      </c>
      <c r="L37" s="1132"/>
      <c r="M37" s="1132"/>
      <c r="O37" s="1132"/>
      <c r="P37" s="1132"/>
      <c r="R37" s="3173" t="s">
        <v>7768</v>
      </c>
      <c r="S37" s="2771"/>
    </row>
    <row r="38" spans="1:25" x14ac:dyDescent="0.35">
      <c r="A38" s="110" t="s">
        <v>996</v>
      </c>
      <c r="B38" s="3091" t="s">
        <v>8058</v>
      </c>
      <c r="C38" s="714" t="str">
        <f>A8</f>
        <v>c91.7</v>
      </c>
      <c r="D38" s="846">
        <f>'NS income (c1)'!J135</f>
        <v>0</v>
      </c>
      <c r="L38" s="1132"/>
      <c r="M38" s="1132"/>
      <c r="O38" s="1132"/>
      <c r="P38" s="1132"/>
    </row>
    <row r="39" spans="1:25" x14ac:dyDescent="0.35">
      <c r="A39" s="110" t="s">
        <v>7766</v>
      </c>
      <c r="B39" s="1564"/>
      <c r="C39" s="1564"/>
      <c r="D39" s="1564"/>
      <c r="E39" s="1564"/>
      <c r="F39" s="1564"/>
      <c r="G39" s="1564"/>
      <c r="H39" s="1564"/>
      <c r="I39" s="1564"/>
      <c r="J39" s="1564"/>
      <c r="K39" s="1564"/>
      <c r="L39" s="1564"/>
      <c r="M39" s="1564"/>
      <c r="N39" s="1564"/>
      <c r="O39" s="2177"/>
      <c r="P39" s="2177"/>
      <c r="Q39" s="1564"/>
      <c r="R39" s="1564"/>
      <c r="S39" s="1564"/>
      <c r="T39" s="1564"/>
      <c r="U39" s="1564"/>
    </row>
    <row r="40" spans="1:25" x14ac:dyDescent="0.35">
      <c r="A40" s="110" t="s">
        <v>8059</v>
      </c>
      <c r="B40" s="1565"/>
      <c r="C40" s="1565"/>
      <c r="D40" s="1565"/>
      <c r="E40" s="1565"/>
      <c r="F40" s="1565"/>
      <c r="G40" s="1565"/>
      <c r="H40" s="1565"/>
      <c r="I40" s="1565"/>
      <c r="J40" s="1565"/>
      <c r="K40" s="1565"/>
      <c r="L40" s="1565"/>
      <c r="M40" s="1565"/>
      <c r="N40" s="1565"/>
      <c r="O40" s="2178"/>
      <c r="P40" s="2178"/>
      <c r="Q40" s="1565"/>
      <c r="R40" s="1565"/>
      <c r="S40" s="1565"/>
      <c r="T40" s="1565"/>
      <c r="U40" s="1565"/>
    </row>
    <row r="41" spans="1:25" x14ac:dyDescent="0.35">
      <c r="A41" s="110" t="s">
        <v>8060</v>
      </c>
      <c r="H41" s="3173" t="s">
        <v>5554</v>
      </c>
      <c r="M41" s="110" t="s">
        <v>665</v>
      </c>
      <c r="R41" s="3173" t="s">
        <v>7768</v>
      </c>
      <c r="S41" s="2771"/>
      <c r="U41" s="42"/>
    </row>
    <row r="42" spans="1:25" x14ac:dyDescent="0.35">
      <c r="A42" s="110" t="s">
        <v>8061</v>
      </c>
      <c r="B42" s="42"/>
      <c r="C42" s="42"/>
      <c r="D42" s="44" t="str">
        <f>"from "&amp;'Savings (c2)'!H75</f>
        <v>from c2.19</v>
      </c>
      <c r="E42" s="42"/>
      <c r="F42" s="42"/>
      <c r="G42" s="42"/>
      <c r="H42" s="42"/>
      <c r="I42" s="42"/>
      <c r="J42" s="42"/>
      <c r="K42" s="42"/>
      <c r="L42" s="42"/>
      <c r="M42" s="42"/>
      <c r="N42" s="42"/>
      <c r="O42" s="1133"/>
      <c r="P42" s="1133"/>
      <c r="Q42" s="42"/>
      <c r="R42" s="42"/>
      <c r="S42" s="42"/>
      <c r="T42" s="42"/>
      <c r="U42" s="42"/>
    </row>
    <row r="43" spans="1:25" x14ac:dyDescent="0.35">
      <c r="A43" s="110" t="s">
        <v>997</v>
      </c>
      <c r="B43" s="110" t="s">
        <v>709</v>
      </c>
      <c r="C43" s="714" t="str">
        <f>A9</f>
        <v>c91.8</v>
      </c>
      <c r="D43" s="847">
        <f>'Savings (c2)'!I75</f>
        <v>0</v>
      </c>
      <c r="L43" s="1132"/>
      <c r="M43" s="1132"/>
      <c r="O43" s="1132"/>
      <c r="P43" s="1132"/>
    </row>
    <row r="44" spans="1:25" x14ac:dyDescent="0.35">
      <c r="A44" s="110" t="s">
        <v>3016</v>
      </c>
      <c r="L44" s="1132"/>
      <c r="M44" s="1132"/>
      <c r="O44" s="1132"/>
      <c r="P44" s="1132"/>
    </row>
    <row r="45" spans="1:25" x14ac:dyDescent="0.35">
      <c r="A45" s="110" t="s">
        <v>3203</v>
      </c>
      <c r="I45" s="1414" t="str">
        <f>"from "&amp;'Savings (c2)'!E58</f>
        <v>from c2.14</v>
      </c>
      <c r="L45" s="1132"/>
      <c r="M45" s="1132"/>
      <c r="O45" s="1132"/>
      <c r="P45" s="791" t="s">
        <v>5548</v>
      </c>
      <c r="S45" s="1358" t="str">
        <f>"from "&amp;'Tax paid (c11)'!I74</f>
        <v>from c11.27</v>
      </c>
    </row>
    <row r="46" spans="1:25" x14ac:dyDescent="0.35">
      <c r="A46" s="110" t="s">
        <v>2616</v>
      </c>
      <c r="B46" s="791" t="s">
        <v>4318</v>
      </c>
      <c r="G46" s="109" t="str">
        <f>'Savings (c2)'!F57</f>
        <v>INC1 x 100/80</v>
      </c>
      <c r="H46" s="714" t="str">
        <f>A10</f>
        <v>c91.9</v>
      </c>
      <c r="I46" s="846">
        <f>'Savings (c2)'!F58</f>
        <v>0</v>
      </c>
      <c r="J46" s="1080"/>
      <c r="L46" s="1132"/>
      <c r="M46" s="1132"/>
      <c r="O46" s="1132"/>
      <c r="Q46" s="109" t="str">
        <f>'Tax paid (c11)'!J73</f>
        <v>INC1 x savings_gross (100/80) x BR_rate (20%)</v>
      </c>
      <c r="R46" s="714" t="str">
        <f>A36</f>
        <v>c91.32</v>
      </c>
      <c r="S46" s="719">
        <f>'Tax paid (c11)'!J74</f>
        <v>0</v>
      </c>
    </row>
    <row r="47" spans="1:25" x14ac:dyDescent="0.35">
      <c r="A47" s="110" t="s">
        <v>2617</v>
      </c>
      <c r="L47" s="1132"/>
      <c r="M47" s="1132"/>
      <c r="O47" s="1132"/>
    </row>
    <row r="48" spans="1:25" x14ac:dyDescent="0.35">
      <c r="A48" s="110" t="s">
        <v>4467</v>
      </c>
      <c r="I48" s="1358" t="str">
        <f>"from "&amp;INC&amp;'INC(1)'!C16</f>
        <v>from INC2</v>
      </c>
      <c r="L48" s="1132"/>
      <c r="M48" s="1132"/>
      <c r="O48" s="1132"/>
    </row>
    <row r="49" spans="1:29" x14ac:dyDescent="0.35">
      <c r="A49" s="110" t="s">
        <v>4468</v>
      </c>
      <c r="B49" s="791" t="s">
        <v>4464</v>
      </c>
      <c r="H49" s="714" t="str">
        <f>A11</f>
        <v>c91.10</v>
      </c>
      <c r="I49" s="847">
        <f>TRUNC('INC(1)'!D17,0)</f>
        <v>0</v>
      </c>
      <c r="J49" s="1080" t="s">
        <v>1837</v>
      </c>
      <c r="L49" s="1132"/>
      <c r="M49" s="1132"/>
      <c r="O49" s="1132"/>
    </row>
    <row r="50" spans="1:29" x14ac:dyDescent="0.35">
      <c r="L50" s="1132"/>
      <c r="M50" s="1132"/>
      <c r="O50" s="1132"/>
    </row>
    <row r="51" spans="1:29" x14ac:dyDescent="0.35">
      <c r="A51" s="110" t="s">
        <v>2939</v>
      </c>
      <c r="B51" s="791" t="s">
        <v>5549</v>
      </c>
      <c r="I51" s="1358" t="str">
        <f>"from "&amp;AOI&amp;AOI!G7</f>
        <v>from AOI3</v>
      </c>
      <c r="O51" s="1132"/>
      <c r="P51" s="791" t="s">
        <v>5550</v>
      </c>
      <c r="S51" s="3515" t="str">
        <f>"from "&amp;'Tax paid (c11)'!I77</f>
        <v>from c11.28</v>
      </c>
    </row>
    <row r="52" spans="1:29" x14ac:dyDescent="0.35">
      <c r="A52" s="3172">
        <f>TRU!H25</f>
        <v>0</v>
      </c>
      <c r="B52" s="791" t="s">
        <v>5269</v>
      </c>
      <c r="H52" s="714" t="str">
        <f>A12</f>
        <v>c91.11</v>
      </c>
      <c r="I52" s="847">
        <f>TRUNC(AOI!H8,0)</f>
        <v>0</v>
      </c>
      <c r="J52" s="1080" t="s">
        <v>1837</v>
      </c>
      <c r="L52" s="1132"/>
      <c r="M52" s="1132"/>
      <c r="O52" s="1132"/>
      <c r="R52" s="714" t="str">
        <f>A37</f>
        <v>c91.33</v>
      </c>
      <c r="S52" s="719">
        <f>TRUNC('Tax paid (c11)'!J77+0.99)</f>
        <v>0</v>
      </c>
      <c r="T52" s="1547" t="s">
        <v>3966</v>
      </c>
    </row>
    <row r="53" spans="1:29" x14ac:dyDescent="0.35">
      <c r="L53" s="1132"/>
      <c r="M53" s="1132"/>
      <c r="O53" s="1132"/>
      <c r="AA53" s="42"/>
    </row>
    <row r="54" spans="1:29" x14ac:dyDescent="0.35">
      <c r="I54" s="1414" t="str">
        <f>"from "&amp;'Savings (c2)'!E47</f>
        <v>from c2.10</v>
      </c>
      <c r="L54" s="1132"/>
      <c r="M54" s="1132"/>
      <c r="O54" s="1132"/>
      <c r="P54" s="791" t="s">
        <v>5552</v>
      </c>
      <c r="S54" s="109" t="str">
        <f>H55&amp;" x BR_rate ("&amp;BR_rate*100&amp;"%)"</f>
        <v>c91.12 x BR_rate (20%)</v>
      </c>
    </row>
    <row r="55" spans="1:29" x14ac:dyDescent="0.35">
      <c r="B55" s="791" t="s">
        <v>5551</v>
      </c>
      <c r="G55" s="109" t="str">
        <f>'Savings (c2)'!F46</f>
        <v>savings_gross (100/80)</v>
      </c>
      <c r="H55" s="714" t="str">
        <f>A13</f>
        <v>c91.12</v>
      </c>
      <c r="I55" s="846">
        <f>'Savings (c2)'!F47</f>
        <v>0</v>
      </c>
      <c r="J55" s="1080"/>
      <c r="R55" s="714" t="str">
        <f>A38</f>
        <v>c91.34</v>
      </c>
      <c r="S55" s="719">
        <f>TRUNC((I55)*BR_rate,2)</f>
        <v>0</v>
      </c>
      <c r="T55" s="1080" t="s">
        <v>2872</v>
      </c>
    </row>
    <row r="56" spans="1:29" x14ac:dyDescent="0.35">
      <c r="F56" s="42"/>
    </row>
    <row r="57" spans="1:29" x14ac:dyDescent="0.35">
      <c r="F57" s="42"/>
      <c r="I57" s="44" t="str">
        <f>H46&amp;" + "&amp;H49&amp;" + "&amp;H52&amp;" + "&amp;H55</f>
        <v>c91.9 + c91.10 + c91.11 + c91.12</v>
      </c>
      <c r="L57" s="1133"/>
      <c r="N57" s="44" t="str">
        <f>C43&amp;" minus "&amp;H58</f>
        <v>c91.8 minus c91.13</v>
      </c>
      <c r="O57" s="1133"/>
      <c r="P57" s="3183"/>
      <c r="R57" s="3180"/>
      <c r="S57" s="3195" t="str">
        <f>R46&amp;" + "&amp;R52&amp;" + "&amp;R55</f>
        <v>c91.32 + c91.33 + c91.34</v>
      </c>
      <c r="T57" s="1080"/>
      <c r="AB57" s="42"/>
      <c r="AC57" s="3174"/>
    </row>
    <row r="58" spans="1:29" x14ac:dyDescent="0.35">
      <c r="F58" s="42"/>
      <c r="H58" s="714" t="str">
        <f>A14</f>
        <v>c91.13</v>
      </c>
      <c r="I58" s="847">
        <f>I46+I49+I52+I55</f>
        <v>0</v>
      </c>
      <c r="L58" s="1133"/>
      <c r="M58" s="714" t="str">
        <f>A15</f>
        <v>c91.14</v>
      </c>
      <c r="N58" s="846">
        <f>MAX(0,D43-I58)</f>
        <v>0</v>
      </c>
      <c r="O58" s="1133"/>
      <c r="P58" s="3183"/>
      <c r="R58" s="3484" t="str">
        <f>A39</f>
        <v>c91.34a</v>
      </c>
      <c r="S58" s="719">
        <f>S46+S52+S55</f>
        <v>0</v>
      </c>
      <c r="T58" s="1080"/>
      <c r="AB58" s="42"/>
      <c r="AC58" s="3174"/>
    </row>
    <row r="59" spans="1:29" x14ac:dyDescent="0.35">
      <c r="F59" s="42"/>
      <c r="I59" s="42"/>
      <c r="J59" s="102"/>
      <c r="L59" s="1133"/>
      <c r="N59" s="3495" t="str">
        <f>"copy to "&amp;'Taxable (c5)'!E100</f>
        <v>copy to c5.37</v>
      </c>
      <c r="P59" s="3183"/>
      <c r="R59" s="42"/>
      <c r="S59" s="3174"/>
      <c r="T59" s="1080"/>
      <c r="AB59" s="42"/>
      <c r="AC59" s="3174"/>
    </row>
    <row r="60" spans="1:29" x14ac:dyDescent="0.35">
      <c r="B60" s="1564"/>
      <c r="C60" s="1564"/>
      <c r="D60" s="1564"/>
      <c r="E60" s="1564"/>
      <c r="F60" s="1564"/>
      <c r="G60" s="1564"/>
      <c r="H60" s="1564"/>
      <c r="I60" s="1564"/>
      <c r="J60" s="1564"/>
      <c r="K60" s="1564"/>
      <c r="L60" s="1564"/>
      <c r="M60" s="1564"/>
      <c r="O60" s="2177"/>
      <c r="P60" s="2177"/>
      <c r="Q60" s="1564"/>
      <c r="R60" s="1564"/>
      <c r="S60" s="1564"/>
      <c r="T60" s="1564"/>
      <c r="U60" s="1564"/>
    </row>
    <row r="61" spans="1:29" x14ac:dyDescent="0.35">
      <c r="B61" s="1565"/>
      <c r="C61" s="1565"/>
      <c r="D61" s="1565"/>
      <c r="E61" s="1565"/>
      <c r="F61" s="1565"/>
      <c r="G61" s="1565"/>
      <c r="H61" s="1565"/>
      <c r="I61" s="1565"/>
      <c r="J61" s="1565"/>
      <c r="K61" s="1565"/>
      <c r="L61" s="1565"/>
      <c r="M61" s="1565"/>
      <c r="N61" s="1565"/>
      <c r="O61" s="2178"/>
      <c r="P61" s="2178"/>
      <c r="Q61" s="1565"/>
      <c r="R61" s="1565"/>
      <c r="S61" s="1565"/>
      <c r="T61" s="1565"/>
      <c r="U61" s="1565"/>
    </row>
    <row r="62" spans="1:29" x14ac:dyDescent="0.35">
      <c r="C62" s="42"/>
      <c r="D62" s="42"/>
      <c r="E62" s="42"/>
      <c r="F62" s="42"/>
      <c r="I62" s="3173" t="s">
        <v>5554</v>
      </c>
      <c r="N62" s="110" t="s">
        <v>665</v>
      </c>
      <c r="S62" s="3173" t="s">
        <v>7768</v>
      </c>
      <c r="T62" s="2771"/>
      <c r="U62" s="42"/>
    </row>
    <row r="63" spans="1:29" x14ac:dyDescent="0.35">
      <c r="B63" s="42"/>
      <c r="C63" s="42"/>
      <c r="D63" s="3044" t="str">
        <f>"from "&amp;'Divs (c3)'!G46</f>
        <v>from c3.15</v>
      </c>
      <c r="E63" s="42"/>
      <c r="F63" s="42"/>
      <c r="I63" s="42"/>
      <c r="S63" s="42"/>
      <c r="U63" s="42"/>
    </row>
    <row r="64" spans="1:29" x14ac:dyDescent="0.35">
      <c r="B64" s="3180" t="s">
        <v>8057</v>
      </c>
      <c r="C64" s="714" t="str">
        <f>A16</f>
        <v>c91.15</v>
      </c>
      <c r="D64" s="846">
        <f>'Divs (c3)'!H46</f>
        <v>0</v>
      </c>
      <c r="F64" s="42"/>
      <c r="T64" s="42"/>
      <c r="W64" s="42"/>
    </row>
    <row r="65" spans="2:29" x14ac:dyDescent="0.35">
      <c r="E65" s="42"/>
      <c r="F65" s="42"/>
      <c r="T65" s="42"/>
      <c r="W65" s="42"/>
    </row>
    <row r="66" spans="2:29" x14ac:dyDescent="0.35">
      <c r="B66" s="762" t="s">
        <v>3659</v>
      </c>
      <c r="E66" s="42"/>
      <c r="H66" s="42"/>
      <c r="I66" s="3155" t="str">
        <f>"from "&amp;'Divs (c3)'!G16</f>
        <v>from c3.5</v>
      </c>
      <c r="W66" s="42"/>
    </row>
    <row r="67" spans="2:29" x14ac:dyDescent="0.35">
      <c r="B67" s="42"/>
      <c r="H67" s="714" t="str">
        <f>A17</f>
        <v>c91.16</v>
      </c>
      <c r="I67" s="846">
        <f>'Divs (c3)'!H16</f>
        <v>0</v>
      </c>
      <c r="K67" s="42"/>
      <c r="L67" s="42"/>
      <c r="P67" s="2626"/>
      <c r="W67" s="42"/>
    </row>
    <row r="68" spans="2:29" x14ac:dyDescent="0.35">
      <c r="B68" s="42"/>
      <c r="F68" s="42"/>
      <c r="H68" s="42"/>
      <c r="I68" s="3174"/>
      <c r="K68" s="42"/>
      <c r="L68" s="42"/>
      <c r="P68" s="2626"/>
      <c r="S68" s="44"/>
      <c r="W68" s="42"/>
      <c r="AC68" s="44"/>
    </row>
    <row r="69" spans="2:29" x14ac:dyDescent="0.35">
      <c r="B69" s="42"/>
      <c r="F69" s="42"/>
      <c r="G69" s="3174"/>
      <c r="K69" s="42"/>
      <c r="L69" s="42"/>
      <c r="O69" s="1133"/>
      <c r="P69" s="2626"/>
      <c r="S69" s="44"/>
      <c r="W69" s="42"/>
      <c r="AC69" s="44"/>
    </row>
    <row r="70" spans="2:29" x14ac:dyDescent="0.35">
      <c r="B70" s="762" t="s">
        <v>5553</v>
      </c>
      <c r="F70" s="42"/>
      <c r="G70" s="3174"/>
      <c r="H70" s="2596"/>
      <c r="I70" s="3044" t="str">
        <f>'Divs (c3)'!D39&amp;" + "&amp;'Divs (c3)'!D40</f>
        <v>c3.12 + c3.13</v>
      </c>
      <c r="K70" s="42"/>
      <c r="L70" s="42"/>
      <c r="O70" s="1133"/>
      <c r="P70" s="2626"/>
      <c r="S70" s="44"/>
      <c r="W70" s="42"/>
      <c r="AC70" s="44"/>
    </row>
    <row r="71" spans="2:29" x14ac:dyDescent="0.35">
      <c r="B71" s="3483" t="str">
        <f>AOI&amp;AOI!C28&amp;" + "&amp;AOI&amp;AOI!G28</f>
        <v>AOI12 + AOI13</v>
      </c>
      <c r="F71" s="42"/>
      <c r="G71" s="3174"/>
      <c r="H71" s="714" t="str">
        <f>A18</f>
        <v>c91.17</v>
      </c>
      <c r="I71" s="846">
        <f>'Divs (c3)'!E39+'Divs (c3)'!E40</f>
        <v>0</v>
      </c>
      <c r="K71" s="42"/>
      <c r="L71" s="42"/>
      <c r="O71" s="1133"/>
      <c r="P71" s="2626"/>
      <c r="S71" s="44"/>
      <c r="W71" s="42"/>
      <c r="AC71" s="44"/>
    </row>
    <row r="72" spans="2:29" x14ac:dyDescent="0.35">
      <c r="C72" s="1133"/>
      <c r="D72" s="3182"/>
      <c r="F72" s="1133"/>
      <c r="G72" s="3182"/>
      <c r="K72" s="42"/>
      <c r="L72" s="1133"/>
      <c r="M72" s="42"/>
      <c r="O72" s="1133"/>
      <c r="P72" s="2626"/>
      <c r="S72" s="44"/>
      <c r="W72" s="42"/>
      <c r="AC72" s="44"/>
    </row>
    <row r="73" spans="2:29" x14ac:dyDescent="0.35">
      <c r="B73" s="42"/>
      <c r="C73" s="1133"/>
      <c r="D73" s="3182"/>
      <c r="F73" s="59"/>
      <c r="G73" s="3182"/>
      <c r="W73" s="42"/>
      <c r="AC73" s="44"/>
    </row>
    <row r="74" spans="2:29" x14ac:dyDescent="0.35">
      <c r="B74" s="3483" t="s">
        <v>674</v>
      </c>
      <c r="F74" s="1133"/>
      <c r="G74" s="3182"/>
      <c r="I74" s="3044" t="str">
        <f>"from "&amp;'Divs (c3)'!D23</f>
        <v>from c3.6</v>
      </c>
      <c r="K74" s="42"/>
      <c r="L74" s="1133"/>
      <c r="W74" s="42"/>
      <c r="AC74" s="44"/>
    </row>
    <row r="75" spans="2:29" x14ac:dyDescent="0.35">
      <c r="B75" s="3483" t="str">
        <f>"("&amp;TRU&amp;TRU!G11&amp;" + "&amp;TRU&amp;TRU!C28&amp;") x divs_gross ("&amp;divs_gross_F&amp;")"</f>
        <v>(TRU5 + TRU9) x divs_gross (100/92.5)</v>
      </c>
      <c r="H75" s="714" t="str">
        <f>A19</f>
        <v>c91.18</v>
      </c>
      <c r="I75" s="846">
        <f>'Divs (c3)'!E23</f>
        <v>0</v>
      </c>
      <c r="W75" s="42"/>
      <c r="AC75" s="44"/>
    </row>
    <row r="76" spans="2:29" x14ac:dyDescent="0.35">
      <c r="B76" s="762"/>
      <c r="D76" s="3182"/>
      <c r="L76" s="1133"/>
      <c r="W76" s="42"/>
      <c r="AC76" s="44"/>
    </row>
    <row r="77" spans="2:29" x14ac:dyDescent="0.35">
      <c r="B77" s="762"/>
      <c r="F77" s="42"/>
      <c r="I77" s="3044" t="str">
        <f>"from "&amp;'Divs (c3)'!D26</f>
        <v>from c3.7</v>
      </c>
      <c r="K77" s="42"/>
      <c r="L77" s="1133"/>
      <c r="S77" s="3155" t="str">
        <f>"from "&amp;'Tax paid (c11)'!F64</f>
        <v>from c11.23</v>
      </c>
      <c r="W77" s="42"/>
      <c r="AC77" s="44"/>
    </row>
    <row r="78" spans="2:29" x14ac:dyDescent="0.35">
      <c r="B78" s="3483" t="str">
        <f>TRU&amp;TRU!K15&amp;" x divs_gross ("&amp;divs_gross_F&amp;")"</f>
        <v>TRU18 x divs_gross (100/92.5)</v>
      </c>
      <c r="F78" s="42"/>
      <c r="H78" s="714" t="str">
        <f>A20</f>
        <v>c91.19</v>
      </c>
      <c r="I78" s="846">
        <f>'Divs (c3)'!E26</f>
        <v>0</v>
      </c>
      <c r="J78" s="1080"/>
      <c r="K78" s="42"/>
      <c r="L78" s="1133"/>
      <c r="O78" s="3488"/>
      <c r="P78" s="3489"/>
      <c r="Q78" s="3487" t="str">
        <f>"(TRU"&amp;TRU!G11&amp;" + TRU"&amp;TRU!C28&amp;" + TRU"&amp;TRU!K15&amp;") x divs_gross "&amp;divs_gross_F&amp;" x DivBR_rate ("&amp;divs_gross_P*100&amp;"%)"</f>
        <v>(TRU5 + TRU9 + TRU18) x divs_gross 100/92.5 x DivBR_rate (7.5%)</v>
      </c>
      <c r="R78" s="3484" t="str">
        <f>A40</f>
        <v>c91.34b</v>
      </c>
      <c r="S78" s="719">
        <f>'Tax paid (c11)'!G64</f>
        <v>0</v>
      </c>
      <c r="W78" s="42"/>
      <c r="AC78" s="44"/>
    </row>
    <row r="79" spans="2:29" x14ac:dyDescent="0.35">
      <c r="B79" s="762"/>
      <c r="J79" s="1080"/>
      <c r="K79" s="42"/>
      <c r="L79" s="1133"/>
      <c r="M79" s="42"/>
      <c r="N79" s="3174"/>
      <c r="O79" s="1133"/>
      <c r="P79" s="2626"/>
      <c r="Q79" s="42"/>
      <c r="W79" s="42"/>
      <c r="AC79" s="44"/>
    </row>
    <row r="80" spans="2:29" x14ac:dyDescent="0.35">
      <c r="B80" s="762"/>
      <c r="H80" s="42"/>
      <c r="I80" s="3044" t="str">
        <f>"from "&amp;'Divs (c3)'!D29</f>
        <v>from c3.8</v>
      </c>
      <c r="J80" s="1080"/>
      <c r="K80" s="42"/>
      <c r="L80" s="1133"/>
      <c r="M80" s="42"/>
      <c r="N80" s="3174"/>
      <c r="S80" s="3155" t="str">
        <f>"from "&amp;'Tax paid (c11)'!F63</f>
        <v>from c11.22</v>
      </c>
      <c r="T80" s="1162"/>
      <c r="W80" s="42"/>
      <c r="AC80" s="44"/>
    </row>
    <row r="81" spans="2:29" x14ac:dyDescent="0.35">
      <c r="B81" s="3483" t="str">
        <f>TRU&amp;TRU!G24&amp;" x trust_div_gross ("&amp;trust_div_gross_F&amp;")"</f>
        <v>TRU12 x trust_div_gross (100/61.9)</v>
      </c>
      <c r="F81" s="1133"/>
      <c r="G81" s="3182"/>
      <c r="H81" s="714" t="str">
        <f>A21</f>
        <v>c91.20</v>
      </c>
      <c r="I81" s="846">
        <f>'Divs (c3)'!E29</f>
        <v>0</v>
      </c>
      <c r="J81" s="1080"/>
      <c r="K81" s="42"/>
      <c r="L81" s="1133"/>
      <c r="M81" s="42"/>
      <c r="N81" s="3174"/>
      <c r="O81" s="3488"/>
      <c r="P81" s="3489"/>
      <c r="Q81" s="3487" t="str">
        <f>'Divs (c3)'!E28&amp;" x DivAR_rate ("&amp;(trust_div_gross_P*100)&amp;"%)"</f>
        <v>TRU12 x trust_div_gross (100/61.9) x DivAR_rate (38.1%)</v>
      </c>
      <c r="R81" s="3484" t="str">
        <f>A41</f>
        <v>c91.34c</v>
      </c>
      <c r="S81" s="719">
        <f>'Tax paid (c11)'!G63</f>
        <v>0</v>
      </c>
      <c r="T81" s="1162"/>
      <c r="W81" s="42"/>
      <c r="AC81" s="44"/>
    </row>
    <row r="82" spans="2:29" x14ac:dyDescent="0.35">
      <c r="F82" s="1133"/>
      <c r="G82" s="3182"/>
      <c r="J82" s="1080"/>
      <c r="L82" s="1133"/>
      <c r="M82" s="42"/>
      <c r="N82" s="3174"/>
      <c r="O82" s="1133"/>
      <c r="P82" s="2626"/>
      <c r="Q82" s="42"/>
      <c r="T82" s="1162"/>
      <c r="W82" s="42"/>
      <c r="AC82" s="44"/>
    </row>
    <row r="83" spans="2:29" x14ac:dyDescent="0.35">
      <c r="F83" s="1133"/>
      <c r="G83" s="3182"/>
      <c r="J83" s="1080"/>
      <c r="L83" s="1133"/>
      <c r="M83" s="42"/>
      <c r="N83" s="3174"/>
      <c r="O83" s="1133"/>
      <c r="P83" s="2626"/>
      <c r="Q83" s="42"/>
      <c r="T83" s="1162"/>
      <c r="W83" s="42"/>
      <c r="AC83" s="44"/>
    </row>
    <row r="84" spans="2:29" x14ac:dyDescent="0.35">
      <c r="B84" s="3483" t="s">
        <v>3202</v>
      </c>
      <c r="I84" s="3044" t="str">
        <f>"from "&amp;'Divs (c3)'!D37</f>
        <v>from c3.10</v>
      </c>
      <c r="J84" s="1080"/>
      <c r="L84" s="1133"/>
      <c r="M84" s="42"/>
      <c r="N84" s="3174"/>
      <c r="O84" s="1133"/>
      <c r="P84" s="2626"/>
      <c r="Q84" s="42"/>
      <c r="T84" s="1162"/>
      <c r="W84" s="42"/>
      <c r="AC84" s="44"/>
    </row>
    <row r="85" spans="2:29" x14ac:dyDescent="0.35">
      <c r="B85" s="3483" t="str">
        <f>"from "&amp;INC&amp;'INC(1)'!I13</f>
        <v>from INC4</v>
      </c>
      <c r="H85" s="714" t="str">
        <f>A22</f>
        <v>c91.21</v>
      </c>
      <c r="I85" s="846">
        <f>'Divs (c3)'!E37</f>
        <v>0</v>
      </c>
      <c r="J85" s="1080"/>
      <c r="K85" s="42"/>
      <c r="L85" s="1133"/>
      <c r="M85" s="42"/>
      <c r="N85" s="3174"/>
      <c r="O85" s="1133"/>
      <c r="P85" s="2626"/>
      <c r="Q85" s="42"/>
      <c r="T85" s="1162"/>
      <c r="W85" s="42"/>
      <c r="AC85" s="44"/>
    </row>
    <row r="86" spans="2:29" x14ac:dyDescent="0.35">
      <c r="J86" s="1080"/>
      <c r="K86" s="42"/>
      <c r="L86" s="1133"/>
      <c r="O86" s="1133"/>
      <c r="P86" s="2626"/>
      <c r="Q86" s="42"/>
      <c r="T86" s="1162"/>
      <c r="W86" s="42"/>
      <c r="AC86" s="44"/>
    </row>
    <row r="87" spans="2:29" x14ac:dyDescent="0.35">
      <c r="B87" s="762"/>
      <c r="C87" s="42"/>
      <c r="D87" s="3174"/>
      <c r="F87" s="1133"/>
      <c r="G87" s="3182"/>
      <c r="I87" s="3044" t="str">
        <f>"from "&amp;'Divs (c3)'!D38</f>
        <v>from c3.11</v>
      </c>
      <c r="J87" s="1080"/>
      <c r="K87" s="42"/>
      <c r="L87" s="1133"/>
      <c r="O87" s="1133"/>
      <c r="P87" s="2626"/>
      <c r="T87" s="42"/>
      <c r="W87" s="42"/>
      <c r="AC87" s="44"/>
    </row>
    <row r="88" spans="2:29" x14ac:dyDescent="0.35">
      <c r="B88" s="3483" t="str">
        <f>"from "&amp;INC&amp;'INC(1)'!I16</f>
        <v>from INC5</v>
      </c>
      <c r="C88" s="42"/>
      <c r="D88" s="3174"/>
      <c r="F88" s="1133"/>
      <c r="G88" s="3182"/>
      <c r="H88" s="714" t="str">
        <f>A23</f>
        <v>c91.22</v>
      </c>
      <c r="I88" s="846">
        <f>'Divs (c3)'!E38</f>
        <v>0</v>
      </c>
      <c r="J88" s="3486" t="s">
        <v>2872</v>
      </c>
      <c r="T88" s="42"/>
      <c r="W88" s="42"/>
      <c r="AC88" s="44"/>
    </row>
    <row r="89" spans="2:29" x14ac:dyDescent="0.35">
      <c r="B89" s="762"/>
      <c r="C89" s="42"/>
      <c r="D89" s="3174"/>
      <c r="F89" s="1133"/>
      <c r="G89" s="3182"/>
      <c r="J89" s="1080"/>
      <c r="K89" s="42"/>
      <c r="L89" s="1133"/>
      <c r="O89" s="1133"/>
      <c r="P89" s="2626"/>
      <c r="T89" s="42"/>
      <c r="W89" s="42"/>
      <c r="AC89" s="44"/>
    </row>
    <row r="90" spans="2:29" x14ac:dyDescent="0.35">
      <c r="B90" s="762"/>
      <c r="C90" s="42"/>
      <c r="D90" s="3174"/>
      <c r="F90" s="1133"/>
      <c r="K90" s="42"/>
      <c r="L90" s="1133"/>
      <c r="Q90" s="3548"/>
      <c r="R90" s="3345"/>
      <c r="S90" s="3093" t="str">
        <f>"lower of ("&amp;'tax it (c8)'!C56&amp;" + "&amp;'tax it (c8)'!C59&amp;" + "&amp;'tax it (c8)'!C62&amp;") x DivBR_rate ("&amp;DivBR_rate*100&amp;"%) and"</f>
        <v>lower of (c8.19 + c8.21 + c8.23) x DivBR_rate (7.5%) and</v>
      </c>
      <c r="W90" s="42"/>
      <c r="AC90" s="44"/>
    </row>
    <row r="91" spans="2:29" x14ac:dyDescent="0.35">
      <c r="B91" s="762"/>
      <c r="C91" s="42"/>
      <c r="D91" s="3174"/>
      <c r="F91" s="1133"/>
      <c r="G91" s="3485"/>
      <c r="H91" s="3180"/>
      <c r="I91" s="3155" t="str">
        <f>H67&amp;" + "&amp;H71&amp;" + "&amp;H75&amp;" + "&amp;H78&amp;" + "&amp;H81&amp;" + "&amp;H85&amp;" + "&amp;H88</f>
        <v>c91.16 + c91.17 + c91.18 + c91.19 + c91.20 + c91.21 + c91.22</v>
      </c>
      <c r="J91" s="1080"/>
      <c r="K91" s="42"/>
      <c r="L91" s="1133"/>
      <c r="M91" s="42"/>
      <c r="N91" s="3155" t="str">
        <f>C64&amp;" minus "&amp;H92</f>
        <v>c91.15 minus c91.22a</v>
      </c>
      <c r="O91" s="1133"/>
      <c r="P91" s="2626"/>
      <c r="Q91" s="42"/>
      <c r="R91" s="3091"/>
      <c r="S91" s="3044" t="str">
        <f>""&amp;INC&amp;'INC(1)'!I13&amp;" x DivBR_rate ("&amp;DivBR_rate*100&amp;"%)"</f>
        <v>INC4 x DivBR_rate (7.5%)</v>
      </c>
      <c r="W91" s="42"/>
      <c r="AC91" s="44"/>
    </row>
    <row r="92" spans="2:29" x14ac:dyDescent="0.35">
      <c r="B92" s="762"/>
      <c r="C92" s="42"/>
      <c r="D92" s="3174"/>
      <c r="F92" s="1133"/>
      <c r="G92" s="3182"/>
      <c r="H92" s="3484" t="str">
        <f>A24</f>
        <v>c91.22a</v>
      </c>
      <c r="I92" s="847">
        <f>I67+I71+I75+I78+I81+I85+I88</f>
        <v>0</v>
      </c>
      <c r="J92" s="1080"/>
      <c r="K92" s="42"/>
      <c r="L92" s="1133"/>
      <c r="M92" s="714" t="str">
        <f>A25</f>
        <v>c91.23</v>
      </c>
      <c r="N92" s="846">
        <f>MAX(0,D64-I92)</f>
        <v>0</v>
      </c>
      <c r="O92" s="1133"/>
      <c r="P92" s="2626"/>
      <c r="Q92" s="3487" t="s">
        <v>8065</v>
      </c>
      <c r="R92" s="3177" t="str">
        <f>A42</f>
        <v>c91.34d</v>
      </c>
      <c r="S92" s="3181">
        <f>IF(Resident,0,TRUNC(('INC(1)'!J14)*DivBR_rate,2))</f>
        <v>0</v>
      </c>
      <c r="T92" s="3179" t="s">
        <v>2872</v>
      </c>
      <c r="W92" s="42"/>
      <c r="AC92" s="44"/>
    </row>
    <row r="93" spans="2:29" x14ac:dyDescent="0.35">
      <c r="B93" s="762"/>
      <c r="C93" s="42"/>
      <c r="D93" s="3174"/>
      <c r="F93" s="1133"/>
      <c r="G93" s="3182"/>
      <c r="H93" s="42"/>
      <c r="I93" s="3174"/>
      <c r="J93" s="1080"/>
      <c r="K93" s="42"/>
      <c r="L93" s="1133"/>
      <c r="M93" s="42"/>
      <c r="N93" s="3174"/>
      <c r="O93" s="1133"/>
      <c r="P93" s="2626"/>
      <c r="Q93" s="42"/>
      <c r="R93" s="42"/>
      <c r="S93" s="3458" t="str">
        <f>"add to "&amp;'Div Cr (c10)'!I18</f>
        <v>add to c10.5</v>
      </c>
      <c r="T93" s="1162"/>
      <c r="W93" s="42"/>
      <c r="AC93" s="44"/>
    </row>
    <row r="94" spans="2:29" x14ac:dyDescent="0.35">
      <c r="B94" s="1564"/>
      <c r="C94" s="1564"/>
      <c r="D94" s="1564"/>
      <c r="E94" s="1564"/>
      <c r="F94" s="1564"/>
      <c r="G94" s="1564"/>
      <c r="H94" s="1564"/>
      <c r="I94" s="1564"/>
      <c r="J94" s="1564"/>
      <c r="K94" s="1564"/>
      <c r="L94" s="1564"/>
      <c r="M94" s="1564"/>
      <c r="N94" s="1564"/>
      <c r="O94" s="1564"/>
      <c r="P94" s="1564"/>
      <c r="Q94" s="1564"/>
      <c r="U94" s="1564"/>
    </row>
    <row r="95" spans="2:29" x14ac:dyDescent="0.35">
      <c r="B95" s="1565"/>
      <c r="C95" s="1565"/>
      <c r="D95" s="1565"/>
      <c r="E95" s="1565"/>
      <c r="F95" s="1565"/>
      <c r="G95" s="1565"/>
      <c r="H95" s="1565"/>
      <c r="I95" s="1565"/>
      <c r="J95" s="1565"/>
      <c r="K95" s="1565"/>
      <c r="L95" s="1565"/>
      <c r="M95" s="1565"/>
      <c r="N95" s="1565"/>
      <c r="O95" s="1565"/>
      <c r="P95" s="1565"/>
      <c r="Q95" s="1565"/>
      <c r="R95" s="1565"/>
      <c r="S95" s="1565"/>
      <c r="T95" s="1565"/>
      <c r="U95" s="1565"/>
    </row>
    <row r="96" spans="2:29" x14ac:dyDescent="0.35">
      <c r="B96" s="42" t="s">
        <v>1371</v>
      </c>
      <c r="C96" s="42"/>
      <c r="D96" s="42"/>
      <c r="E96" s="42"/>
      <c r="F96" s="42"/>
      <c r="I96" s="3173" t="s">
        <v>5554</v>
      </c>
      <c r="N96" s="110" t="s">
        <v>665</v>
      </c>
      <c r="S96" s="3173" t="s">
        <v>7768</v>
      </c>
      <c r="T96" s="2771"/>
    </row>
    <row r="97" spans="2:27" x14ac:dyDescent="0.35">
      <c r="B97" s="42" t="s">
        <v>2318</v>
      </c>
      <c r="D97" s="42"/>
      <c r="E97" s="42"/>
      <c r="F97" s="42"/>
      <c r="G97" s="42"/>
      <c r="J97" s="42"/>
      <c r="K97" s="42"/>
      <c r="L97" s="42"/>
      <c r="M97" s="42"/>
      <c r="N97" s="42"/>
      <c r="O97" s="1133"/>
      <c r="P97" s="1133"/>
      <c r="Q97" s="42"/>
      <c r="R97" s="42"/>
      <c r="S97" s="42"/>
      <c r="T97" s="42"/>
    </row>
    <row r="98" spans="2:27" x14ac:dyDescent="0.35">
      <c r="B98" s="42"/>
      <c r="C98" s="42"/>
      <c r="D98" s="44" t="str">
        <f>"from "&amp;'Divs (c3)'!G57</f>
        <v>from c3.18</v>
      </c>
      <c r="O98" s="2625"/>
      <c r="P98" s="2625"/>
      <c r="Q98" s="2625"/>
      <c r="R98" s="2625"/>
      <c r="S98" s="2625"/>
      <c r="T98" s="2625"/>
    </row>
    <row r="99" spans="2:27" x14ac:dyDescent="0.35">
      <c r="C99" s="714" t="str">
        <f>A26</f>
        <v>c91.24</v>
      </c>
      <c r="D99" s="846">
        <f>'Divs (c3)'!H57</f>
        <v>0</v>
      </c>
      <c r="M99" s="42"/>
      <c r="P99" s="2625"/>
      <c r="Q99" s="2625"/>
      <c r="R99" s="2625"/>
      <c r="S99" s="2625"/>
      <c r="T99" s="2625"/>
    </row>
    <row r="100" spans="2:27" x14ac:dyDescent="0.35">
      <c r="P100" s="2625"/>
      <c r="Q100" s="2625"/>
      <c r="R100" s="2625"/>
      <c r="S100" s="2625"/>
      <c r="T100" s="2625"/>
    </row>
    <row r="101" spans="2:27" x14ac:dyDescent="0.35">
      <c r="B101" s="1564"/>
      <c r="C101" s="1564"/>
      <c r="D101" s="1564"/>
      <c r="E101" s="1564"/>
      <c r="F101" s="1564"/>
      <c r="G101" s="1564"/>
      <c r="H101" s="1564"/>
      <c r="I101" s="1564"/>
      <c r="J101" s="1564"/>
      <c r="K101" s="1564"/>
      <c r="L101" s="1564"/>
      <c r="M101" s="1564"/>
      <c r="N101" s="1564"/>
      <c r="O101" s="2177"/>
      <c r="P101" s="2177"/>
      <c r="Q101" s="1564"/>
      <c r="R101" s="1564"/>
      <c r="S101" s="1564"/>
      <c r="T101" s="1564"/>
      <c r="U101" s="1564"/>
    </row>
    <row r="102" spans="2:27" x14ac:dyDescent="0.35">
      <c r="B102" s="1565"/>
      <c r="C102" s="1565"/>
      <c r="D102" s="1565"/>
      <c r="E102" s="1565"/>
      <c r="F102" s="1565"/>
      <c r="G102" s="1565"/>
      <c r="H102" s="1565"/>
      <c r="I102" s="1565"/>
      <c r="J102" s="1565"/>
      <c r="K102" s="1565"/>
      <c r="L102" s="1565"/>
      <c r="M102" s="1565"/>
      <c r="N102" s="1565"/>
      <c r="O102" s="2178"/>
      <c r="P102" s="2178"/>
      <c r="Q102" s="1565"/>
      <c r="R102" s="1565"/>
      <c r="S102" s="1565"/>
      <c r="T102" s="1565"/>
      <c r="U102" s="1565"/>
    </row>
    <row r="103" spans="2:27" x14ac:dyDescent="0.35">
      <c r="B103" s="42" t="s">
        <v>1871</v>
      </c>
      <c r="C103" s="42"/>
      <c r="D103" s="42"/>
      <c r="E103" s="42"/>
      <c r="F103" s="42"/>
      <c r="I103" s="3173" t="s">
        <v>5554</v>
      </c>
      <c r="N103" s="110" t="s">
        <v>665</v>
      </c>
      <c r="S103" s="3173" t="s">
        <v>7768</v>
      </c>
      <c r="T103" s="2771"/>
    </row>
    <row r="104" spans="2:27" x14ac:dyDescent="0.35">
      <c r="B104" s="42" t="s">
        <v>2318</v>
      </c>
      <c r="D104" s="42"/>
      <c r="E104" s="42"/>
      <c r="F104" s="42"/>
      <c r="G104" s="42"/>
      <c r="J104" s="42"/>
      <c r="K104" s="42"/>
      <c r="L104" s="42"/>
      <c r="M104" s="42"/>
      <c r="N104" s="42"/>
      <c r="O104" s="1133"/>
      <c r="P104" s="1133"/>
      <c r="Q104" s="42"/>
      <c r="R104" s="42"/>
      <c r="S104" s="42"/>
      <c r="T104" s="42"/>
      <c r="AA104" s="42"/>
    </row>
    <row r="105" spans="2:27" x14ac:dyDescent="0.35">
      <c r="B105" s="42"/>
      <c r="C105" s="42"/>
      <c r="D105" s="44" t="str">
        <f>"from "&amp;'Divs (c3)'!G62</f>
        <v>from c3.19</v>
      </c>
      <c r="E105" s="42"/>
      <c r="F105" s="42"/>
      <c r="G105" s="42"/>
      <c r="J105" s="42"/>
      <c r="K105" s="42"/>
      <c r="L105" s="42"/>
      <c r="M105" s="42"/>
      <c r="N105" s="42"/>
      <c r="O105" s="1133"/>
      <c r="P105" s="1133"/>
      <c r="Q105" s="42"/>
      <c r="R105" s="42"/>
      <c r="S105" s="42"/>
      <c r="T105" s="42"/>
    </row>
    <row r="106" spans="2:27" x14ac:dyDescent="0.35">
      <c r="C106" s="714" t="str">
        <f>A27</f>
        <v>c91.25</v>
      </c>
      <c r="D106" s="846">
        <f>'Divs (c3)'!H62</f>
        <v>0</v>
      </c>
      <c r="O106" s="2625"/>
      <c r="P106" s="2625"/>
      <c r="S106" s="2625"/>
      <c r="T106" s="2625"/>
    </row>
    <row r="107" spans="2:27" x14ac:dyDescent="0.35">
      <c r="D107" s="1142"/>
      <c r="O107" s="2625"/>
      <c r="P107" s="2625"/>
      <c r="S107" s="2625"/>
      <c r="T107" s="2625"/>
    </row>
    <row r="108" spans="2:27" x14ac:dyDescent="0.35">
      <c r="B108" s="1132"/>
    </row>
    <row r="109" spans="2:27" x14ac:dyDescent="0.35">
      <c r="D109" s="44" t="str">
        <f>"from "&amp;'Divs (c3)'!G65</f>
        <v>from c3.20</v>
      </c>
    </row>
    <row r="110" spans="2:27" x14ac:dyDescent="0.35">
      <c r="C110" s="714" t="str">
        <f>A28</f>
        <v>c91.26</v>
      </c>
      <c r="D110" s="846">
        <f>'Divs (c3)'!H65</f>
        <v>0</v>
      </c>
    </row>
    <row r="111" spans="2:27" x14ac:dyDescent="0.35">
      <c r="B111" s="1564"/>
      <c r="C111" s="1564"/>
      <c r="D111" s="1564"/>
      <c r="E111" s="1564"/>
      <c r="F111" s="1564"/>
      <c r="G111" s="1564"/>
      <c r="H111" s="1564"/>
      <c r="I111" s="1564"/>
      <c r="J111" s="1564"/>
      <c r="K111" s="1564"/>
      <c r="L111" s="1564"/>
      <c r="M111" s="1564"/>
      <c r="N111" s="1564"/>
      <c r="O111" s="1564"/>
      <c r="P111" s="1564"/>
      <c r="Q111" s="1564"/>
      <c r="R111" s="1564"/>
      <c r="S111" s="1564"/>
      <c r="T111" s="1564"/>
      <c r="U111" s="1564"/>
    </row>
    <row r="112" spans="2:27" x14ac:dyDescent="0.35">
      <c r="B112" s="1565"/>
      <c r="C112" s="1565"/>
      <c r="D112" s="1565"/>
      <c r="E112" s="1565"/>
      <c r="F112" s="1565"/>
      <c r="G112" s="1565"/>
      <c r="H112" s="1565"/>
      <c r="I112" s="1565"/>
      <c r="J112" s="1565"/>
      <c r="K112" s="1565"/>
      <c r="L112" s="1565"/>
      <c r="M112" s="1565"/>
      <c r="N112" s="1565"/>
      <c r="O112" s="1565"/>
      <c r="P112" s="1565"/>
      <c r="Q112" s="1565"/>
      <c r="R112" s="1565"/>
      <c r="S112" s="1565"/>
      <c r="T112" s="1565"/>
      <c r="U112" s="1565"/>
    </row>
    <row r="116" spans="8:19" x14ac:dyDescent="0.35">
      <c r="N116" s="3044" t="str">
        <f>M32&amp;" + "&amp;C38&amp;" + "&amp;M58&amp;" + "</f>
        <v xml:space="preserve">c91.6 + c91.7 + c91.14 + </v>
      </c>
    </row>
    <row r="117" spans="8:19" x14ac:dyDescent="0.35">
      <c r="I117" s="3155" t="str">
        <f>H32&amp;" + "&amp;H58&amp;" + "&amp;H92</f>
        <v>c91.5 + c91.13 + c91.22a</v>
      </c>
      <c r="N117" s="44" t="str">
        <f>M92&amp;" + "&amp;C99&amp;" + "&amp;C106&amp;" + "&amp;C110</f>
        <v>c91.23 + c91.24 + c91.25 + c91.26</v>
      </c>
      <c r="Q117" s="3091"/>
      <c r="R117" s="3091"/>
      <c r="S117" s="3155" t="str">
        <f>R32&amp;" + "&amp;R58&amp;" + "&amp;R78&amp;" + "&amp;R81&amp;" +"&amp;R92</f>
        <v>c91.31a + c91.34a + c91.34b + c91.34c +c91.34d</v>
      </c>
    </row>
    <row r="118" spans="8:19" x14ac:dyDescent="0.35">
      <c r="H118" s="714" t="str">
        <f>A29</f>
        <v>c91.27</v>
      </c>
      <c r="I118" s="846">
        <f>I32+I58+I92</f>
        <v>0</v>
      </c>
      <c r="M118" s="714" t="str">
        <f>A30</f>
        <v>c91.28</v>
      </c>
      <c r="N118" s="846">
        <f>N32+D38+N58+N92+D99+D106+D110</f>
        <v>0</v>
      </c>
      <c r="R118" s="714" t="str">
        <f>A43</f>
        <v>c91.35</v>
      </c>
      <c r="S118" s="719">
        <f>S32+S58+S78+S81+S92</f>
        <v>0</v>
      </c>
    </row>
    <row r="119" spans="8:19" x14ac:dyDescent="0.35">
      <c r="N119" s="3495" t="str">
        <f>"copy to "&amp;'Taxable (c5)'!E164</f>
        <v>copy to c5.85</v>
      </c>
      <c r="S119" s="717" t="str">
        <f>"Add this to the figure in box "&amp;'tax it (c8)'!G70</f>
        <v>Add this to the figure in box c8.25</v>
      </c>
    </row>
    <row r="121" spans="8:19" ht="12.75" x14ac:dyDescent="0.35">
      <c r="S121" s="1415" t="s">
        <v>2638</v>
      </c>
    </row>
  </sheetData>
  <phoneticPr fontId="68" type="noConversion"/>
  <pageMargins left="0.15748031496062992" right="0.15748031496062992" top="0.19685039370078741" bottom="0.19685039370078741" header="0" footer="0"/>
  <pageSetup paperSize="9" scale="70" orientation="landscape" r:id="rId1"/>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FFFF99"/>
  </sheetPr>
  <dimension ref="A1:D98"/>
  <sheetViews>
    <sheetView showGridLines="0" topLeftCell="B1" workbookViewId="0">
      <selection activeCell="C95" sqref="C95"/>
    </sheetView>
  </sheetViews>
  <sheetFormatPr defaultRowHeight="12.75" x14ac:dyDescent="0.35"/>
  <cols>
    <col min="1" max="1" width="7.73046875" hidden="1" customWidth="1"/>
    <col min="2" max="2" width="7.73046875" style="7" customWidth="1"/>
    <col min="3" max="4" width="36.86328125" style="7" customWidth="1"/>
    <col min="5" max="5" width="14.3984375" customWidth="1"/>
  </cols>
  <sheetData>
    <row r="1" spans="1:2" x14ac:dyDescent="0.35">
      <c r="A1" t="s">
        <v>3689</v>
      </c>
      <c r="B1" s="1802" t="s">
        <v>4889</v>
      </c>
    </row>
    <row r="2" spans="1:2" x14ac:dyDescent="0.35">
      <c r="A2" t="s">
        <v>3691</v>
      </c>
    </row>
    <row r="3" spans="1:2" x14ac:dyDescent="0.35">
      <c r="A3" t="s">
        <v>3693</v>
      </c>
      <c r="B3" s="1139" t="s">
        <v>4890</v>
      </c>
    </row>
    <row r="4" spans="1:2" x14ac:dyDescent="0.35">
      <c r="A4" t="s">
        <v>3695</v>
      </c>
      <c r="B4" s="1139" t="s">
        <v>4891</v>
      </c>
    </row>
    <row r="5" spans="1:2" x14ac:dyDescent="0.35">
      <c r="A5" t="s">
        <v>3697</v>
      </c>
      <c r="B5" s="1139" t="s">
        <v>4892</v>
      </c>
    </row>
    <row r="6" spans="1:2" x14ac:dyDescent="0.35">
      <c r="A6" t="s">
        <v>3699</v>
      </c>
      <c r="B6" s="1139" t="s">
        <v>4893</v>
      </c>
    </row>
    <row r="7" spans="1:2" x14ac:dyDescent="0.35">
      <c r="A7" t="s">
        <v>3156</v>
      </c>
    </row>
    <row r="8" spans="1:2" x14ac:dyDescent="0.35">
      <c r="A8" t="s">
        <v>3159</v>
      </c>
      <c r="B8" s="1139" t="s">
        <v>4894</v>
      </c>
    </row>
    <row r="9" spans="1:2" x14ac:dyDescent="0.35">
      <c r="A9" t="s">
        <v>3161</v>
      </c>
      <c r="B9" s="1139" t="s">
        <v>4895</v>
      </c>
    </row>
    <row r="10" spans="1:2" x14ac:dyDescent="0.35">
      <c r="A10" t="s">
        <v>3163</v>
      </c>
      <c r="B10" s="1139" t="s">
        <v>4896</v>
      </c>
    </row>
    <row r="11" spans="1:2" x14ac:dyDescent="0.35">
      <c r="A11" t="s">
        <v>3165</v>
      </c>
      <c r="B11" s="1139" t="s">
        <v>4897</v>
      </c>
    </row>
    <row r="12" spans="1:2" x14ac:dyDescent="0.35">
      <c r="A12" t="s">
        <v>3169</v>
      </c>
    </row>
    <row r="13" spans="1:2" x14ac:dyDescent="0.35">
      <c r="A13" t="s">
        <v>3171</v>
      </c>
      <c r="B13" s="1139" t="s">
        <v>4898</v>
      </c>
    </row>
    <row r="14" spans="1:2" x14ac:dyDescent="0.35">
      <c r="A14" t="s">
        <v>4038</v>
      </c>
      <c r="B14" s="1139" t="s">
        <v>4899</v>
      </c>
    </row>
    <row r="15" spans="1:2" x14ac:dyDescent="0.35">
      <c r="A15" t="s">
        <v>3175</v>
      </c>
      <c r="B15" s="1139" t="s">
        <v>4900</v>
      </c>
    </row>
    <row r="16" spans="1:2" x14ac:dyDescent="0.35">
      <c r="A16" t="s">
        <v>3176</v>
      </c>
    </row>
    <row r="17" spans="1:4" x14ac:dyDescent="0.35">
      <c r="A17" t="s">
        <v>3177</v>
      </c>
      <c r="B17" s="1139" t="s">
        <v>4901</v>
      </c>
    </row>
    <row r="18" spans="1:4" x14ac:dyDescent="0.35">
      <c r="A18" t="s">
        <v>3180</v>
      </c>
      <c r="B18" s="1803" t="str">
        <f>"If CAL1 + (CAL2 x -1) not equal to ("&amp;'Tax due (c12)'!I62&amp;")"</f>
        <v>If CAL1 + (CAL2 x -1) not equal to (c12.18)</v>
      </c>
      <c r="C18" s="1156"/>
    </row>
    <row r="19" spans="1:4" x14ac:dyDescent="0.35">
      <c r="A19" t="s">
        <v>4027</v>
      </c>
      <c r="B19" s="1804" t="str">
        <f>"If CAL1 + (CAL2 x -1) in range ("&amp;'Tax due (c12)'!I62&amp;") minus £25 to("&amp;'Tax due (c12)'!I62&amp;") + £5"</f>
        <v>If CAL1 + (CAL2 x -1) in range (c12.18) minus £25 to(c12.18) + £5</v>
      </c>
      <c r="C19" s="1156"/>
      <c r="D19" s="1156"/>
    </row>
    <row r="20" spans="1:4" x14ac:dyDescent="0.35">
      <c r="A20" t="s">
        <v>4030</v>
      </c>
      <c r="B20" s="1805" t="s">
        <v>4902</v>
      </c>
    </row>
    <row r="21" spans="1:4" x14ac:dyDescent="0.35">
      <c r="A21" t="s">
        <v>4033</v>
      </c>
      <c r="B21" s="1805" t="s">
        <v>4903</v>
      </c>
      <c r="C21" s="1806"/>
    </row>
    <row r="22" spans="1:4" x14ac:dyDescent="0.35">
      <c r="A22" t="s">
        <v>4034</v>
      </c>
      <c r="B22" s="1804" t="s">
        <v>2520</v>
      </c>
    </row>
    <row r="23" spans="1:4" x14ac:dyDescent="0.35">
      <c r="A23" t="s">
        <v>4035</v>
      </c>
      <c r="B23" s="1805" t="s">
        <v>4904</v>
      </c>
    </row>
    <row r="24" spans="1:4" x14ac:dyDescent="0.35">
      <c r="A24" t="s">
        <v>4036</v>
      </c>
      <c r="B24" s="1807" t="s">
        <v>4902</v>
      </c>
    </row>
    <row r="25" spans="1:4" x14ac:dyDescent="0.35">
      <c r="A25" t="s">
        <v>4708</v>
      </c>
      <c r="B25" s="1807" t="s">
        <v>4903</v>
      </c>
    </row>
    <row r="26" spans="1:4" x14ac:dyDescent="0.35">
      <c r="A26" t="s">
        <v>4709</v>
      </c>
      <c r="B26" s="1804" t="s">
        <v>2520</v>
      </c>
    </row>
    <row r="27" spans="1:4" x14ac:dyDescent="0.35">
      <c r="A27" t="s">
        <v>4710</v>
      </c>
      <c r="B27" s="1807" t="s">
        <v>4905</v>
      </c>
    </row>
    <row r="28" spans="1:4" x14ac:dyDescent="0.35">
      <c r="A28" t="s">
        <v>4711</v>
      </c>
      <c r="B28" s="1807" t="s">
        <v>4906</v>
      </c>
    </row>
    <row r="29" spans="1:4" x14ac:dyDescent="0.35">
      <c r="A29" t="s">
        <v>4712</v>
      </c>
      <c r="B29" s="1807" t="s">
        <v>4907</v>
      </c>
    </row>
    <row r="30" spans="1:4" x14ac:dyDescent="0.35">
      <c r="A30" t="s">
        <v>4713</v>
      </c>
      <c r="B30" s="1808" t="s">
        <v>2638</v>
      </c>
    </row>
    <row r="31" spans="1:4" x14ac:dyDescent="0.35">
      <c r="B31" s="1804" t="s">
        <v>2638</v>
      </c>
    </row>
    <row r="32" spans="1:4" x14ac:dyDescent="0.35">
      <c r="B32" s="1803" t="s">
        <v>2520</v>
      </c>
    </row>
    <row r="33" spans="2:4" x14ac:dyDescent="0.35">
      <c r="B33" s="1804" t="s">
        <v>4908</v>
      </c>
    </row>
    <row r="34" spans="2:4" x14ac:dyDescent="0.35">
      <c r="B34" s="1803" t="s">
        <v>2638</v>
      </c>
    </row>
    <row r="35" spans="2:4" x14ac:dyDescent="0.35">
      <c r="B35" s="1809" t="s">
        <v>2520</v>
      </c>
    </row>
    <row r="36" spans="2:4" x14ac:dyDescent="0.35">
      <c r="B36" s="1804" t="s">
        <v>4908</v>
      </c>
    </row>
    <row r="37" spans="2:4" x14ac:dyDescent="0.35">
      <c r="B37" s="1810" t="s">
        <v>4909</v>
      </c>
    </row>
    <row r="38" spans="2:4" x14ac:dyDescent="0.35">
      <c r="B38" s="1809" t="s">
        <v>2638</v>
      </c>
    </row>
    <row r="40" spans="2:4" ht="13.15" x14ac:dyDescent="0.4">
      <c r="B40" s="1811" t="s">
        <v>3686</v>
      </c>
    </row>
    <row r="41" spans="2:4" x14ac:dyDescent="0.35">
      <c r="B41" s="22" t="s">
        <v>3687</v>
      </c>
    </row>
    <row r="42" spans="2:4" x14ac:dyDescent="0.35">
      <c r="B42" s="22" t="s">
        <v>3688</v>
      </c>
    </row>
    <row r="43" spans="2:4" x14ac:dyDescent="0.35">
      <c r="B43" s="1812" t="str">
        <f t="shared" ref="B43:B49" si="0">A1</f>
        <v>c99.1</v>
      </c>
      <c r="C43" s="1812" t="str">
        <f>"from "&amp;'Tax due (c12)'!I62</f>
        <v>from c12.18</v>
      </c>
      <c r="D43" s="1813" t="s">
        <v>3690</v>
      </c>
    </row>
    <row r="44" spans="2:4" x14ac:dyDescent="0.35">
      <c r="B44" s="1812" t="str">
        <f t="shared" si="0"/>
        <v>c99.2</v>
      </c>
      <c r="C44" s="1812" t="str">
        <f>"from "&amp;'Tax due (c12)'!I5</f>
        <v>from c12.1</v>
      </c>
      <c r="D44" s="1813" t="s">
        <v>3692</v>
      </c>
    </row>
    <row r="45" spans="2:4" x14ac:dyDescent="0.35">
      <c r="B45" s="1812" t="str">
        <f t="shared" si="0"/>
        <v>c99.3</v>
      </c>
      <c r="C45" s="1812" t="str">
        <f>"from "&amp;'Tax due (c12)'!F28</f>
        <v>from c12.7</v>
      </c>
      <c r="D45" s="1813" t="s">
        <v>3694</v>
      </c>
    </row>
    <row r="46" spans="2:4" x14ac:dyDescent="0.35">
      <c r="B46" s="1812" t="str">
        <f t="shared" si="0"/>
        <v>c99.4</v>
      </c>
      <c r="C46" s="1812" t="str">
        <f>"from "&amp;'Tax due (c12)'!F8</f>
        <v>from c12.2</v>
      </c>
      <c r="D46" s="1813" t="s">
        <v>3696</v>
      </c>
    </row>
    <row r="47" spans="2:4" x14ac:dyDescent="0.35">
      <c r="B47" s="1812" t="str">
        <f t="shared" si="0"/>
        <v>c99.5</v>
      </c>
      <c r="C47" s="1812" t="str">
        <f>"from "&amp;'Tax due (c12)'!F16</f>
        <v>from c12.3</v>
      </c>
      <c r="D47" s="1813" t="s">
        <v>4707</v>
      </c>
    </row>
    <row r="48" spans="2:4" x14ac:dyDescent="0.35">
      <c r="B48" s="1812" t="str">
        <f t="shared" si="0"/>
        <v>c99.6</v>
      </c>
      <c r="C48" s="1812" t="str">
        <f>"from "&amp;'Tax due (c12)'!F59</f>
        <v>from c12.17</v>
      </c>
      <c r="D48" s="1813" t="s">
        <v>3698</v>
      </c>
    </row>
    <row r="49" spans="2:4" x14ac:dyDescent="0.35">
      <c r="B49" s="1812" t="str">
        <f t="shared" si="0"/>
        <v>c99.7</v>
      </c>
      <c r="C49" s="1812" t="str">
        <f>"from "&amp;'Tax due (c12)'!F34</f>
        <v>from c12.9</v>
      </c>
      <c r="D49" s="1813" t="s">
        <v>3700</v>
      </c>
    </row>
    <row r="50" spans="2:4" x14ac:dyDescent="0.35">
      <c r="B50" s="1235" t="s">
        <v>3155</v>
      </c>
    </row>
    <row r="51" spans="2:4" x14ac:dyDescent="0.35">
      <c r="B51" s="3893" t="str">
        <f>A8</f>
        <v>c99.8</v>
      </c>
      <c r="C51" s="1814" t="s">
        <v>4037</v>
      </c>
      <c r="D51" s="1815" t="str">
        <f>"copy to "&amp;'Tax due (c12)'!I62</f>
        <v>copy to c12.18</v>
      </c>
    </row>
    <row r="52" spans="2:4" x14ac:dyDescent="0.35">
      <c r="B52" s="3894"/>
      <c r="C52" s="1816" t="str">
        <f>B51&amp;"= CAL1"</f>
        <v>c99.8= CAL1</v>
      </c>
      <c r="D52" s="1817"/>
    </row>
    <row r="53" spans="2:4" x14ac:dyDescent="0.35">
      <c r="B53" s="3894"/>
      <c r="C53" s="1818" t="s">
        <v>3157</v>
      </c>
      <c r="D53" s="1817"/>
    </row>
    <row r="54" spans="2:4" x14ac:dyDescent="0.35">
      <c r="B54" s="3894"/>
      <c r="C54" s="1816" t="str">
        <f>B51&amp;" = -1 x CAL2"</f>
        <v>c99.8 = -1 x CAL2</v>
      </c>
      <c r="D54" s="1817"/>
    </row>
    <row r="55" spans="2:4" x14ac:dyDescent="0.35">
      <c r="B55" s="3895"/>
      <c r="C55" s="1819" t="s">
        <v>3158</v>
      </c>
      <c r="D55" s="1820"/>
    </row>
    <row r="56" spans="2:4" x14ac:dyDescent="0.35">
      <c r="B56" s="1812" t="str">
        <f>A9</f>
        <v>c99.9</v>
      </c>
      <c r="C56" s="1812" t="s">
        <v>3160</v>
      </c>
      <c r="D56" s="1821" t="str">
        <f>"copy to "&amp;'Tax due (c12)'!F28</f>
        <v>copy to c12.7</v>
      </c>
    </row>
    <row r="57" spans="2:4" x14ac:dyDescent="0.35">
      <c r="B57" s="1812" t="str">
        <f>A10</f>
        <v>c99.10</v>
      </c>
      <c r="C57" s="1812" t="s">
        <v>3162</v>
      </c>
      <c r="D57" s="1821" t="str">
        <f>"copy to "&amp;'Tax due (c12)'!F8</f>
        <v>copy to c12.2</v>
      </c>
    </row>
    <row r="58" spans="2:4" x14ac:dyDescent="0.35">
      <c r="B58" s="1812" t="str">
        <f>A11</f>
        <v>c99.11</v>
      </c>
      <c r="C58" s="1812" t="s">
        <v>4714</v>
      </c>
      <c r="D58" s="1813" t="s">
        <v>4715</v>
      </c>
    </row>
    <row r="59" spans="2:4" x14ac:dyDescent="0.35">
      <c r="B59" s="1812" t="str">
        <f>A12</f>
        <v>c99.12</v>
      </c>
      <c r="C59" s="1812" t="s">
        <v>3164</v>
      </c>
      <c r="D59" s="1821" t="str">
        <f>"copy to "&amp;'Tax due (c12)'!F59</f>
        <v>copy to c12.17</v>
      </c>
    </row>
    <row r="60" spans="2:4" x14ac:dyDescent="0.35">
      <c r="B60" s="1812" t="str">
        <f>A13</f>
        <v>c99.13</v>
      </c>
      <c r="C60" s="1812" t="s">
        <v>3166</v>
      </c>
      <c r="D60" s="1821" t="str">
        <f>"copy to "&amp;'Tax due (c12)'!F34</f>
        <v>copy to c12.9</v>
      </c>
    </row>
    <row r="61" spans="2:4" x14ac:dyDescent="0.35">
      <c r="B61" s="22"/>
    </row>
    <row r="62" spans="2:4" x14ac:dyDescent="0.35">
      <c r="B62" s="22" t="s">
        <v>3167</v>
      </c>
    </row>
    <row r="63" spans="2:4" ht="13.15" x14ac:dyDescent="0.4">
      <c r="B63" s="875" t="s">
        <v>3168</v>
      </c>
    </row>
    <row r="64" spans="2:4" x14ac:dyDescent="0.35">
      <c r="B64" s="1812" t="str">
        <f>A14</f>
        <v>c99.14</v>
      </c>
      <c r="C64" s="1812" t="str">
        <f>B56&amp;" + "&amp;B57&amp;" + "&amp;B58&amp;" + "&amp;B59&amp;" + "&amp;B60</f>
        <v>c99.9 + c99.10 + c99.11 + c99.12 + c99.13</v>
      </c>
      <c r="D64" s="1812"/>
    </row>
    <row r="65" spans="2:4" x14ac:dyDescent="0.35">
      <c r="B65" s="1235" t="s">
        <v>3170</v>
      </c>
    </row>
    <row r="66" spans="2:4" x14ac:dyDescent="0.35">
      <c r="B66" s="1812" t="str">
        <f>A15</f>
        <v>c99.15</v>
      </c>
      <c r="C66" s="1812" t="str">
        <f>B45&amp;" + "&amp;B46&amp;" + "&amp;B47&amp;" + "&amp;B48&amp;" + "&amp;B49</f>
        <v>c99.3 + c99.4 + c99.5 + c99.6 + c99.7</v>
      </c>
      <c r="D66" s="1812"/>
    </row>
    <row r="67" spans="2:4" x14ac:dyDescent="0.35">
      <c r="B67" s="1235" t="s">
        <v>3172</v>
      </c>
    </row>
    <row r="68" spans="2:4" x14ac:dyDescent="0.35">
      <c r="B68" s="1812" t="str">
        <f>A16</f>
        <v>c99.16</v>
      </c>
      <c r="C68" s="1812" t="str">
        <f>"Absolute value ("&amp;B64&amp;" minus "&amp;B66&amp;")"</f>
        <v>Absolute value (c99.14 minus c99.15)</v>
      </c>
      <c r="D68" s="1812"/>
    </row>
    <row r="69" spans="2:4" x14ac:dyDescent="0.35">
      <c r="B69" s="22"/>
    </row>
    <row r="70" spans="2:4" x14ac:dyDescent="0.35">
      <c r="B70" s="22" t="s">
        <v>3173</v>
      </c>
    </row>
    <row r="71" spans="2:4" x14ac:dyDescent="0.35">
      <c r="B71" s="22" t="s">
        <v>3174</v>
      </c>
    </row>
    <row r="72" spans="2:4" x14ac:dyDescent="0.35">
      <c r="B72" s="1812" t="str">
        <f>A17</f>
        <v>c99.17</v>
      </c>
      <c r="C72" s="1812" t="str">
        <f>"Absolute value ("&amp;B51&amp;" minus "&amp;B43&amp;")"</f>
        <v>Absolute value (c99.8 minus c99.1)</v>
      </c>
      <c r="D72" s="1812"/>
    </row>
    <row r="73" spans="2:4" x14ac:dyDescent="0.35">
      <c r="B73" s="1812" t="str">
        <f>A18</f>
        <v>c99.18</v>
      </c>
      <c r="C73" s="1812" t="str">
        <f>"Absolute value ("&amp;B68&amp;" minus "&amp;B72&amp;")"</f>
        <v>Absolute value (c99.16 minus c99.17)</v>
      </c>
      <c r="D73" s="1812"/>
    </row>
    <row r="75" spans="2:4" x14ac:dyDescent="0.35">
      <c r="B75" s="22" t="str">
        <f>"if "&amp;B51&amp;" is less than "&amp;B43&amp;" (Revenue figure higher than customers figure)"</f>
        <v>if c99.8 is less than c99.1 (Revenue figure higher than customers figure)</v>
      </c>
    </row>
    <row r="76" spans="2:4" x14ac:dyDescent="0.35">
      <c r="B76" s="1822" t="str">
        <f>A19</f>
        <v>c99.19</v>
      </c>
      <c r="C76" s="1823" t="str">
        <f>"If "&amp;B44&amp;" is greater than "&amp;B73</f>
        <v>If c99.2 is greater than c99.18</v>
      </c>
      <c r="D76" s="1824" t="s">
        <v>3179</v>
      </c>
    </row>
    <row r="77" spans="2:4" x14ac:dyDescent="0.35">
      <c r="B77" s="1817"/>
      <c r="C77" s="1825" t="str">
        <f>B76&amp;" = "&amp;B44&amp;" minus "&amp;B73</f>
        <v>c99.19 = c99.2 minus c99.18</v>
      </c>
      <c r="D77" s="1826" t="str">
        <f>"copy to "&amp;'Tax due (c12)'!I5</f>
        <v>copy to c12.1</v>
      </c>
    </row>
    <row r="78" spans="2:4" x14ac:dyDescent="0.35">
      <c r="B78" s="1817"/>
      <c r="C78" s="1827" t="s">
        <v>2520</v>
      </c>
      <c r="D78" s="1828"/>
    </row>
    <row r="79" spans="2:4" x14ac:dyDescent="0.35">
      <c r="B79" s="1817"/>
      <c r="C79" s="1825" t="str">
        <f>B76&amp;" = 0"</f>
        <v>c99.19 = 0</v>
      </c>
      <c r="D79" s="1829"/>
    </row>
    <row r="80" spans="2:4" x14ac:dyDescent="0.35">
      <c r="B80" s="1820"/>
      <c r="C80" s="1830" t="s">
        <v>3178</v>
      </c>
      <c r="D80" s="1831"/>
    </row>
    <row r="81" spans="2:4" x14ac:dyDescent="0.35">
      <c r="B81" s="1822" t="str">
        <f>A20</f>
        <v>c99.20</v>
      </c>
      <c r="C81" s="1823" t="str">
        <f>"If "&amp;B73&amp;" is greater than "&amp;B44</f>
        <v>If c99.18 is greater than c99.2</v>
      </c>
      <c r="D81" s="3890" t="s">
        <v>3181</v>
      </c>
    </row>
    <row r="82" spans="2:4" x14ac:dyDescent="0.35">
      <c r="B82" s="1817"/>
      <c r="C82" s="1825" t="str">
        <f>B81&amp;" = "&amp;B73&amp;" minus "&amp;B44</f>
        <v>c99.20 = c99.18 minus c99.2</v>
      </c>
      <c r="D82" s="3891"/>
    </row>
    <row r="83" spans="2:4" x14ac:dyDescent="0.35">
      <c r="B83" s="1817"/>
      <c r="C83" s="1827" t="s">
        <v>2520</v>
      </c>
      <c r="D83" s="3891"/>
    </row>
    <row r="84" spans="2:4" x14ac:dyDescent="0.35">
      <c r="B84" s="1817"/>
      <c r="C84" s="1825" t="str">
        <f>B81&amp;" = 0"</f>
        <v>c99.20 = 0</v>
      </c>
      <c r="D84" s="3891"/>
    </row>
    <row r="85" spans="2:4" x14ac:dyDescent="0.35">
      <c r="B85" s="1820"/>
      <c r="C85" s="1827" t="s">
        <v>3178</v>
      </c>
      <c r="D85" s="3892"/>
    </row>
    <row r="86" spans="2:4" x14ac:dyDescent="0.35">
      <c r="B86" s="1822" t="str">
        <f>A21</f>
        <v>c99.21</v>
      </c>
      <c r="C86" s="1814" t="str">
        <f>'Tax due (c12)'!F46&amp;" + "&amp;B81</f>
        <v>c12.13 + c99.20</v>
      </c>
      <c r="D86" s="1832" t="s">
        <v>4028</v>
      </c>
    </row>
    <row r="87" spans="2:4" x14ac:dyDescent="0.35">
      <c r="B87" s="1820"/>
      <c r="C87" s="1819"/>
      <c r="D87" s="1833" t="str">
        <f>"copy to "&amp;'Tax due (c12)'!F46</f>
        <v>copy to c12.13</v>
      </c>
    </row>
    <row r="88" spans="2:4" x14ac:dyDescent="0.35">
      <c r="B88" s="22" t="s">
        <v>4029</v>
      </c>
    </row>
    <row r="89" spans="2:4" x14ac:dyDescent="0.35">
      <c r="B89" s="1823" t="str">
        <f>A22</f>
        <v>c99.22</v>
      </c>
      <c r="C89" s="1814" t="str">
        <f>B44&amp;" + "&amp;B73</f>
        <v>c99.2 + c99.18</v>
      </c>
      <c r="D89" s="1832" t="s">
        <v>4031</v>
      </c>
    </row>
    <row r="90" spans="2:4" x14ac:dyDescent="0.35">
      <c r="B90" s="1830"/>
      <c r="C90" s="1819"/>
      <c r="D90" s="1833" t="str">
        <f>"copy to "&amp;'Tax due (c12)'!I5</f>
        <v>copy to c12.1</v>
      </c>
    </row>
    <row r="91" spans="2:4" x14ac:dyDescent="0.35">
      <c r="B91" s="22" t="s">
        <v>2638</v>
      </c>
    </row>
    <row r="92" spans="2:4" x14ac:dyDescent="0.35">
      <c r="B92" s="22"/>
    </row>
    <row r="93" spans="2:4" x14ac:dyDescent="0.35">
      <c r="B93" s="22" t="s">
        <v>4032</v>
      </c>
    </row>
    <row r="94" spans="2:4" x14ac:dyDescent="0.35">
      <c r="B94" s="22" t="str">
        <f>"Use the c12 boxes after they have been updated by "&amp;B51&amp;" through "&amp;B89</f>
        <v>Use the c12 boxes after they have been updated by c99.8 through c99.22</v>
      </c>
    </row>
    <row r="95" spans="2:4" ht="25.5" x14ac:dyDescent="0.35">
      <c r="B95" s="1812" t="str">
        <f>A23</f>
        <v>c99.23</v>
      </c>
      <c r="C95" s="3521" t="str">
        <f>'Tax due (c12)'!I22&amp;" + "&amp;'Tax due (c12)'!F25&amp;" + "&amp;'Tax due (c12)'!F28&amp;" + "&amp;'Tax due (c12)'!F31&amp;" + "&amp;'Tax due (c12)'!F34&amp;" + "&amp;'Tax due (c12)'!F37&amp;" + "&amp;'Tax due (c12)'!F40&amp;" + ("&amp;'Pensions (c25c26)'!J170&amp;" minus "&amp;'Pensions (c25c26)'!J173&amp;")"</f>
        <v>c12.5 + c12.6 + c12.7 + c12.8 + c12.9 + c12.10 + c12.11 + (c25.56 minus c25.57)</v>
      </c>
      <c r="D95" s="1821" t="str">
        <f>"copy to "&amp;'Tax due (c12)'!I43</f>
        <v>copy to c12.12</v>
      </c>
    </row>
    <row r="96" spans="2:4" x14ac:dyDescent="0.35">
      <c r="B96" s="1812" t="str">
        <f>A24</f>
        <v>c99.24</v>
      </c>
      <c r="C96" s="1812" t="str">
        <f>'Tax due (c12)'!F46&amp;" + "&amp;'Tax due (c12)'!F49</f>
        <v>c12.13 + c12.14</v>
      </c>
      <c r="D96" s="1821" t="str">
        <f>"copy to "&amp;'Tax due (c12)'!I52</f>
        <v>copy to c12.15</v>
      </c>
    </row>
    <row r="97" spans="2:4" x14ac:dyDescent="0.35">
      <c r="B97" s="1812" t="str">
        <f>A25</f>
        <v>c99.25</v>
      </c>
      <c r="C97" s="1814" t="str">
        <f>B95&amp;" minus "&amp;B96</f>
        <v>c99.23 minus c99.24</v>
      </c>
      <c r="D97" s="1821" t="str">
        <f>"copy to "&amp;'Tax due (c12)'!I55</f>
        <v>copy to c12.16</v>
      </c>
    </row>
    <row r="98" spans="2:4" x14ac:dyDescent="0.35">
      <c r="B98" s="1812" t="str">
        <f>A26</f>
        <v>c99.26</v>
      </c>
      <c r="C98" s="1812" t="str">
        <f>'Tax due (c12)'!I62&amp;" + "&amp;'Tax due (c12)'!F75&amp;" + "&amp;'Tax due (c12)'!F78</f>
        <v>c12.18 + c12.19 + c12.20</v>
      </c>
      <c r="D98" s="1821" t="str">
        <f>"copy to "&amp;'Tax due (c12)'!I81</f>
        <v>copy to c12.21</v>
      </c>
    </row>
  </sheetData>
  <mergeCells count="2">
    <mergeCell ref="D81:D85"/>
    <mergeCell ref="B51:B55"/>
  </mergeCells>
  <phoneticPr fontId="68" type="noConversion"/>
  <pageMargins left="0.19685" right="0.19685" top="0.19685" bottom="0.19685" header="0" footer="0"/>
  <pageSetup paperSize="9" orientation="portrait" r:id="rId1"/>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P77"/>
  <sheetViews>
    <sheetView showGridLines="0" topLeftCell="B1" workbookViewId="0">
      <selection activeCell="R76" sqref="R76"/>
    </sheetView>
  </sheetViews>
  <sheetFormatPr defaultRowHeight="12.75" x14ac:dyDescent="0.35"/>
  <cols>
    <col min="1" max="1" width="5.3984375" hidden="1" customWidth="1"/>
    <col min="2" max="2" width="2.265625" customWidth="1"/>
    <col min="6" max="6" width="5.59765625" customWidth="1"/>
    <col min="7" max="7" width="10.3984375" customWidth="1"/>
    <col min="9" max="9" width="4.86328125" customWidth="1"/>
    <col min="10" max="10" width="10.3984375" customWidth="1"/>
    <col min="11" max="11" width="3.86328125" customWidth="1"/>
    <col min="12" max="12" width="5.1328125" customWidth="1"/>
    <col min="13" max="13" width="10.86328125" customWidth="1"/>
    <col min="14" max="14" width="2.73046875" customWidth="1"/>
  </cols>
  <sheetData>
    <row r="1" spans="1:16" x14ac:dyDescent="0.35">
      <c r="B1" s="142"/>
      <c r="C1" s="140" t="s">
        <v>3406</v>
      </c>
      <c r="D1" s="142"/>
      <c r="E1" s="142"/>
      <c r="F1" s="142"/>
      <c r="G1" s="142"/>
      <c r="H1" s="142"/>
      <c r="I1" s="142"/>
      <c r="J1" s="142"/>
      <c r="K1" s="142"/>
      <c r="L1" s="142"/>
      <c r="M1" s="142"/>
      <c r="N1" s="142"/>
      <c r="O1" s="142"/>
      <c r="P1" s="142"/>
    </row>
    <row r="2" spans="1:16" x14ac:dyDescent="0.35">
      <c r="B2" s="142"/>
      <c r="C2" s="142"/>
      <c r="D2" s="142"/>
      <c r="E2" s="142"/>
      <c r="F2" s="142"/>
      <c r="G2" s="142"/>
      <c r="H2" s="142"/>
      <c r="I2" s="142"/>
      <c r="J2" s="142"/>
      <c r="K2" s="142"/>
      <c r="L2" s="142"/>
      <c r="M2" s="142"/>
      <c r="N2" s="142"/>
      <c r="O2" s="142"/>
      <c r="P2" s="142"/>
    </row>
    <row r="3" spans="1:16" x14ac:dyDescent="0.35">
      <c r="B3" s="142"/>
      <c r="C3" s="142"/>
      <c r="D3" s="142"/>
      <c r="E3" s="957" t="s">
        <v>3407</v>
      </c>
      <c r="F3" s="144" t="str">
        <f>A12</f>
        <v>sw1</v>
      </c>
      <c r="G3" s="125">
        <f>TRUNC('Swiss Tax'!J16*divs_gross,0)</f>
        <v>0</v>
      </c>
      <c r="H3" s="142"/>
      <c r="I3" s="142"/>
      <c r="J3" s="142"/>
      <c r="K3" s="142"/>
      <c r="L3" s="142"/>
      <c r="M3" s="142"/>
      <c r="N3" s="142"/>
      <c r="O3" s="142"/>
      <c r="P3" s="96"/>
    </row>
    <row r="4" spans="1:16" x14ac:dyDescent="0.35">
      <c r="B4" s="142"/>
      <c r="C4" s="142"/>
      <c r="D4" s="142"/>
      <c r="E4" s="142"/>
      <c r="F4" s="142"/>
      <c r="G4" s="142"/>
      <c r="H4" s="142"/>
      <c r="I4" s="142"/>
      <c r="J4" s="142"/>
      <c r="K4" s="142"/>
      <c r="L4" s="142"/>
      <c r="M4" s="142"/>
      <c r="N4" s="142"/>
      <c r="O4" s="142"/>
      <c r="P4" s="96"/>
    </row>
    <row r="5" spans="1:16" x14ac:dyDescent="0.35">
      <c r="B5" s="142"/>
      <c r="C5" s="142"/>
      <c r="D5" s="142"/>
      <c r="E5" s="142"/>
      <c r="F5" s="142"/>
      <c r="G5" s="143" t="str">
        <f>"from "&amp;'tax it (c6)'!N68</f>
        <v xml:space="preserve">from </v>
      </c>
      <c r="H5" s="142"/>
      <c r="I5" s="142"/>
      <c r="J5" s="143" t="str">
        <f>"lower of "&amp;F3&amp;" and "&amp;F6</f>
        <v>lower of sw1 and sw2</v>
      </c>
      <c r="K5" s="141"/>
      <c r="L5" s="142"/>
      <c r="M5" s="963" t="str">
        <f>I6&amp;" @ "&amp;DivHR_rate*100&amp;"%"</f>
        <v>sw3 @ 32.5%</v>
      </c>
      <c r="N5" s="142"/>
      <c r="O5" s="142"/>
      <c r="P5" s="96"/>
    </row>
    <row r="6" spans="1:16" x14ac:dyDescent="0.35">
      <c r="B6" s="142"/>
      <c r="C6" s="142"/>
      <c r="D6" s="142"/>
      <c r="E6" s="440" t="s">
        <v>3408</v>
      </c>
      <c r="F6" s="144" t="str">
        <f>A13</f>
        <v>sw2</v>
      </c>
      <c r="G6" s="420">
        <f>'tax it (c6)'!O68</f>
        <v>0</v>
      </c>
      <c r="H6" s="142"/>
      <c r="I6" s="144" t="str">
        <f>A14</f>
        <v>sw3</v>
      </c>
      <c r="J6" s="959">
        <f>MIN(G3,G6)</f>
        <v>0</v>
      </c>
      <c r="K6" s="142"/>
      <c r="L6" s="144" t="str">
        <f>A15</f>
        <v>sw4</v>
      </c>
      <c r="M6" s="812">
        <f>TRUNC(J6*DivHR_rate,2)</f>
        <v>0</v>
      </c>
      <c r="N6" s="142"/>
      <c r="O6" s="142"/>
    </row>
    <row r="7" spans="1:16" x14ac:dyDescent="0.35">
      <c r="B7" s="142"/>
      <c r="C7" s="142"/>
      <c r="D7" s="142"/>
      <c r="E7" s="142"/>
      <c r="F7" s="142"/>
      <c r="G7" s="142"/>
      <c r="H7" s="142"/>
      <c r="I7" s="142"/>
      <c r="J7" s="142"/>
      <c r="K7" s="142"/>
      <c r="L7" s="142"/>
      <c r="M7" s="142"/>
      <c r="N7" s="142"/>
      <c r="O7" s="142"/>
    </row>
    <row r="8" spans="1:16" x14ac:dyDescent="0.35">
      <c r="B8" s="142"/>
      <c r="C8" s="142"/>
      <c r="D8" s="142"/>
      <c r="E8" s="142"/>
      <c r="F8" s="142"/>
      <c r="G8" s="143" t="str">
        <f>F3&amp;" minus "&amp;I6</f>
        <v>sw1 minus sw3</v>
      </c>
      <c r="H8" s="142"/>
      <c r="I8" s="142"/>
      <c r="J8" s="142"/>
      <c r="K8" s="142"/>
      <c r="L8" s="142"/>
      <c r="M8" s="142"/>
      <c r="N8" s="142"/>
      <c r="O8" s="142"/>
    </row>
    <row r="9" spans="1:16" x14ac:dyDescent="0.35">
      <c r="B9" s="142"/>
      <c r="C9" s="142"/>
      <c r="D9" s="142"/>
      <c r="E9" s="440" t="s">
        <v>3409</v>
      </c>
      <c r="F9" s="144" t="str">
        <f>A16</f>
        <v>sw5</v>
      </c>
      <c r="G9" s="959">
        <f>MAX(G3-J6,0)</f>
        <v>0</v>
      </c>
      <c r="H9" s="142"/>
      <c r="I9" s="142"/>
      <c r="J9" s="142"/>
      <c r="K9" s="142"/>
      <c r="L9" s="142"/>
      <c r="M9" s="142"/>
      <c r="N9" s="142"/>
      <c r="O9" s="142"/>
      <c r="P9" s="96"/>
    </row>
    <row r="10" spans="1:16" x14ac:dyDescent="0.35">
      <c r="B10" s="142"/>
      <c r="C10" s="142"/>
      <c r="D10" s="142"/>
      <c r="E10" s="142"/>
      <c r="F10" s="142"/>
      <c r="G10" s="142"/>
      <c r="H10" s="142"/>
      <c r="I10" s="142"/>
      <c r="J10" s="142"/>
      <c r="K10" s="142"/>
      <c r="L10" s="142"/>
      <c r="M10" s="142"/>
      <c r="N10" s="142"/>
      <c r="O10" s="142"/>
      <c r="P10" s="96"/>
    </row>
    <row r="11" spans="1:16" x14ac:dyDescent="0.35">
      <c r="B11" s="142"/>
      <c r="C11" s="142"/>
      <c r="D11" s="142"/>
      <c r="E11" s="142"/>
      <c r="F11" s="142"/>
      <c r="G11" s="143" t="str">
        <f>'CDR (c7)'!E8&amp;" minus "&amp;'CDR (c7)'!E12</f>
        <v>c7.2 minus c7.3</v>
      </c>
      <c r="H11" s="142"/>
      <c r="I11" s="142"/>
      <c r="J11" s="143" t="str">
        <f>"lower of "&amp;F9&amp;" and "&amp;F12</f>
        <v>lower of sw5 and sw6</v>
      </c>
      <c r="K11" s="142"/>
      <c r="L11" s="142"/>
      <c r="M11" s="963" t="str">
        <f>I12&amp;" @ "&amp;(DivHR_rate-SR_rate)*100&amp;"%"</f>
        <v>sw7 @ 32.5%</v>
      </c>
      <c r="N11" s="142"/>
      <c r="O11" s="142"/>
    </row>
    <row r="12" spans="1:16" x14ac:dyDescent="0.35">
      <c r="A12" s="142" t="s">
        <v>3410</v>
      </c>
      <c r="B12" s="142"/>
      <c r="C12" s="142"/>
      <c r="D12" s="142"/>
      <c r="E12" s="440" t="s">
        <v>3411</v>
      </c>
      <c r="F12" s="144" t="str">
        <f>A17</f>
        <v>sw6</v>
      </c>
      <c r="G12" s="959">
        <f>MAX('CDR (c7)'!F8-'CDR (c7)'!F12,0)</f>
        <v>0</v>
      </c>
      <c r="H12" s="142"/>
      <c r="I12" s="144" t="str">
        <f>A18</f>
        <v>sw7</v>
      </c>
      <c r="J12" s="959">
        <f>MIN(G9,G12)</f>
        <v>0</v>
      </c>
      <c r="K12" s="142"/>
      <c r="L12" s="144" t="str">
        <f>A19</f>
        <v>sw8</v>
      </c>
      <c r="M12" s="812">
        <f>TRUNC(J12*(DivHR_rate-SR_rate),2)</f>
        <v>0</v>
      </c>
      <c r="N12" s="142"/>
      <c r="O12" s="142"/>
    </row>
    <row r="13" spans="1:16" x14ac:dyDescent="0.35">
      <c r="A13" s="142" t="s">
        <v>3412</v>
      </c>
      <c r="B13" s="142"/>
      <c r="C13" s="142"/>
      <c r="D13" s="142"/>
      <c r="E13" s="142"/>
      <c r="F13" s="142"/>
      <c r="G13" s="142"/>
      <c r="H13" s="142"/>
      <c r="I13" s="142"/>
      <c r="J13" s="142"/>
      <c r="K13" s="142"/>
      <c r="M13" s="142"/>
      <c r="N13" s="142"/>
      <c r="O13" s="142"/>
      <c r="P13" s="142"/>
    </row>
    <row r="14" spans="1:16" x14ac:dyDescent="0.35">
      <c r="A14" s="142" t="s">
        <v>3413</v>
      </c>
      <c r="B14" s="142"/>
      <c r="C14" s="142"/>
      <c r="D14" s="142"/>
      <c r="E14" s="142"/>
      <c r="F14" s="142"/>
      <c r="G14" s="142"/>
      <c r="H14" s="142"/>
      <c r="I14" s="142"/>
      <c r="K14" s="142"/>
      <c r="L14" s="142"/>
      <c r="M14" s="143" t="str">
        <f>L6&amp;" + "&amp;L12</f>
        <v>sw4 + sw8</v>
      </c>
      <c r="N14" s="142"/>
      <c r="O14" s="142"/>
      <c r="P14" s="142"/>
    </row>
    <row r="15" spans="1:16" x14ac:dyDescent="0.35">
      <c r="A15" s="142" t="s">
        <v>3414</v>
      </c>
      <c r="B15" s="142"/>
      <c r="C15" s="142"/>
      <c r="D15" s="142"/>
      <c r="E15" s="142"/>
      <c r="F15" s="142"/>
      <c r="G15" s="142"/>
      <c r="H15" s="142"/>
      <c r="I15" s="142"/>
      <c r="J15" s="440" t="s">
        <v>3415</v>
      </c>
      <c r="K15" s="142"/>
      <c r="L15" s="144" t="str">
        <f>A20</f>
        <v>sw9</v>
      </c>
      <c r="M15" s="818">
        <f>M6+M12</f>
        <v>0</v>
      </c>
      <c r="N15" s="142"/>
      <c r="O15" s="142"/>
      <c r="P15" s="142"/>
    </row>
    <row r="16" spans="1:16" x14ac:dyDescent="0.35">
      <c r="A16" s="142" t="s">
        <v>3416</v>
      </c>
      <c r="B16" s="142"/>
      <c r="C16" s="142"/>
      <c r="D16" s="142"/>
      <c r="N16" s="142"/>
      <c r="O16" s="142"/>
      <c r="P16" s="142"/>
    </row>
    <row r="17" spans="1:16" x14ac:dyDescent="0.35">
      <c r="A17" s="142" t="s">
        <v>1751</v>
      </c>
      <c r="B17" s="142"/>
      <c r="E17" s="957" t="s">
        <v>1752</v>
      </c>
      <c r="F17" s="144" t="str">
        <f>A21</f>
        <v>sw10</v>
      </c>
      <c r="G17" s="125">
        <f>TRUNC('Swiss Tax'!J23,0)</f>
        <v>0</v>
      </c>
      <c r="N17" s="142"/>
    </row>
    <row r="18" spans="1:16" x14ac:dyDescent="0.35">
      <c r="A18" s="142" t="s">
        <v>1753</v>
      </c>
      <c r="B18" s="142"/>
      <c r="N18" s="142"/>
    </row>
    <row r="19" spans="1:16" x14ac:dyDescent="0.35">
      <c r="A19" s="142" t="s">
        <v>1754</v>
      </c>
      <c r="B19" s="142"/>
      <c r="G19" s="143" t="str">
        <f>F6&amp;" minus "&amp;I6</f>
        <v>sw2 minus sw3</v>
      </c>
      <c r="J19" s="143" t="str">
        <f>"lower of "&amp;F17&amp;" and "&amp;F20</f>
        <v>lower of sw10 and sw11</v>
      </c>
      <c r="M19" s="810" t="str">
        <f>I20&amp;" @ "&amp;DivAR_rate*100&amp;"%"</f>
        <v>sw12 @ 38.1%</v>
      </c>
      <c r="N19" s="142"/>
      <c r="O19" s="142"/>
    </row>
    <row r="20" spans="1:16" x14ac:dyDescent="0.35">
      <c r="A20" s="142" t="s">
        <v>1755</v>
      </c>
      <c r="B20" s="142"/>
      <c r="E20" s="440" t="s">
        <v>3408</v>
      </c>
      <c r="F20" s="144" t="str">
        <f>A22</f>
        <v>sw11</v>
      </c>
      <c r="G20" s="959">
        <f>MAX(G6-J6,0)</f>
        <v>0</v>
      </c>
      <c r="I20" s="144" t="str">
        <f>A23</f>
        <v>sw12</v>
      </c>
      <c r="J20" s="959">
        <f>MIN(G3,G20)</f>
        <v>0</v>
      </c>
      <c r="L20" s="144" t="str">
        <f>A24</f>
        <v>sw13</v>
      </c>
      <c r="M20" s="812">
        <f>TRUNC(J20*DivAR_rate,2)</f>
        <v>0</v>
      </c>
      <c r="N20" s="142"/>
      <c r="O20" s="142"/>
    </row>
    <row r="21" spans="1:16" x14ac:dyDescent="0.35">
      <c r="A21" s="142" t="s">
        <v>1756</v>
      </c>
      <c r="B21" s="142"/>
      <c r="N21" s="142"/>
      <c r="O21" s="142"/>
      <c r="P21" s="142"/>
    </row>
    <row r="22" spans="1:16" x14ac:dyDescent="0.35">
      <c r="A22" s="142" t="s">
        <v>1757</v>
      </c>
      <c r="B22" s="142"/>
      <c r="G22" s="143" t="str">
        <f>F17&amp;" minus "&amp;I20</f>
        <v>sw10 minus sw12</v>
      </c>
      <c r="O22" s="142"/>
      <c r="P22" s="142"/>
    </row>
    <row r="23" spans="1:16" x14ac:dyDescent="0.35">
      <c r="A23" s="142" t="s">
        <v>1758</v>
      </c>
      <c r="B23" s="142"/>
      <c r="E23" s="440" t="s">
        <v>3409</v>
      </c>
      <c r="F23" s="144" t="str">
        <f>A25</f>
        <v>sw14</v>
      </c>
      <c r="G23" s="959">
        <f>MAX(G17-J20,0)</f>
        <v>0</v>
      </c>
      <c r="O23" s="142"/>
      <c r="P23" s="142"/>
    </row>
    <row r="24" spans="1:16" x14ac:dyDescent="0.35">
      <c r="A24" s="142" t="s">
        <v>1759</v>
      </c>
      <c r="B24" s="142"/>
      <c r="O24" s="142"/>
      <c r="P24" s="142"/>
    </row>
    <row r="25" spans="1:16" x14ac:dyDescent="0.35">
      <c r="A25" s="142" t="s">
        <v>1760</v>
      </c>
      <c r="B25" s="142"/>
      <c r="G25" s="143" t="str">
        <f>F12&amp;" minus "&amp;I12</f>
        <v>sw6 minus sw7</v>
      </c>
      <c r="J25" s="143" t="str">
        <f>"lower of "&amp;F23&amp;" and "&amp;F26</f>
        <v>lower of sw14 and sw15</v>
      </c>
      <c r="M25" s="810" t="str">
        <f>I26&amp;" @ "&amp;DivHR_rate*100&amp;"%"</f>
        <v>sw16 @ 32.5%</v>
      </c>
      <c r="O25" s="142"/>
      <c r="P25" s="142"/>
    </row>
    <row r="26" spans="1:16" x14ac:dyDescent="0.35">
      <c r="A26" s="142" t="s">
        <v>1761</v>
      </c>
      <c r="B26" s="142"/>
      <c r="F26" s="144" t="str">
        <f>A26</f>
        <v>sw15</v>
      </c>
      <c r="G26" s="959">
        <f>MAX(G12-J12,0)</f>
        <v>0</v>
      </c>
      <c r="I26" s="144" t="str">
        <f>A27</f>
        <v>sw16</v>
      </c>
      <c r="J26" s="959">
        <f>MIN(G23,G26)</f>
        <v>0</v>
      </c>
      <c r="L26" s="144" t="str">
        <f>A28</f>
        <v>sw17</v>
      </c>
      <c r="M26" s="812">
        <f>TRUNC(J26*DivHR_rate,2)</f>
        <v>0</v>
      </c>
      <c r="O26" s="142"/>
      <c r="P26" s="142"/>
    </row>
    <row r="27" spans="1:16" x14ac:dyDescent="0.35">
      <c r="A27" s="142" t="s">
        <v>1762</v>
      </c>
      <c r="B27" s="142"/>
      <c r="O27" s="142"/>
      <c r="P27" s="142"/>
    </row>
    <row r="28" spans="1:16" x14ac:dyDescent="0.35">
      <c r="A28" s="142" t="s">
        <v>1763</v>
      </c>
      <c r="B28" s="142"/>
      <c r="E28" s="142"/>
      <c r="F28" s="142"/>
      <c r="G28" s="143" t="str">
        <f>F23&amp;" minus "&amp;I26</f>
        <v>sw14 minus sw16</v>
      </c>
      <c r="O28" s="142"/>
      <c r="P28" s="142"/>
    </row>
    <row r="29" spans="1:16" x14ac:dyDescent="0.35">
      <c r="A29" s="142" t="s">
        <v>1764</v>
      </c>
      <c r="B29" s="142"/>
      <c r="E29" s="440" t="s">
        <v>3409</v>
      </c>
      <c r="F29" s="144" t="str">
        <f>A29</f>
        <v>sw18</v>
      </c>
      <c r="G29" s="959">
        <f>MAX(G23-J26,0)</f>
        <v>0</v>
      </c>
      <c r="O29" s="142"/>
      <c r="P29" s="142"/>
    </row>
    <row r="30" spans="1:16" x14ac:dyDescent="0.35">
      <c r="A30" s="142" t="s">
        <v>1765</v>
      </c>
      <c r="B30" s="142"/>
      <c r="O30" s="142"/>
      <c r="P30" s="142"/>
    </row>
    <row r="31" spans="1:16" x14ac:dyDescent="0.35">
      <c r="A31" s="142" t="s">
        <v>1766</v>
      </c>
      <c r="B31" s="142"/>
      <c r="E31" s="142"/>
      <c r="F31" s="142"/>
      <c r="G31" s="143" t="str">
        <f>'tax it (c6)'!N24&amp;" + "&amp;'tax it (c6)'!N48</f>
        <v xml:space="preserve"> + c6.28</v>
      </c>
      <c r="H31" s="142"/>
      <c r="I31" s="142"/>
      <c r="J31" s="143" t="str">
        <f>"lower of "&amp;F29&amp;" and "&amp;F32</f>
        <v>lower of sw18 and sw19</v>
      </c>
      <c r="K31" s="142"/>
      <c r="L31" s="142"/>
      <c r="M31" s="810" t="str">
        <f>I32&amp;" @ "&amp;SR_rate*100&amp;"%"</f>
        <v>sw20 @ 0%</v>
      </c>
      <c r="O31" s="142"/>
      <c r="P31" s="142"/>
    </row>
    <row r="32" spans="1:16" x14ac:dyDescent="0.35">
      <c r="A32" s="142" t="s">
        <v>1767</v>
      </c>
      <c r="B32" s="142"/>
      <c r="E32" s="440" t="s">
        <v>1768</v>
      </c>
      <c r="F32" s="144" t="str">
        <f>A30</f>
        <v>sw19</v>
      </c>
      <c r="G32" s="959">
        <f>'tax it (c6)'!O24+'tax it (c6)'!O48</f>
        <v>0</v>
      </c>
      <c r="H32" s="142"/>
      <c r="I32" s="144" t="str">
        <f>A31</f>
        <v>sw20</v>
      </c>
      <c r="J32" s="959">
        <f>MIN(G29,G32)</f>
        <v>0</v>
      </c>
      <c r="K32" s="142"/>
      <c r="L32" s="144" t="str">
        <f>A32</f>
        <v>sw21</v>
      </c>
      <c r="M32" s="812">
        <f>TRUNC(J32*SR_rate,2)</f>
        <v>0</v>
      </c>
      <c r="O32" s="142"/>
      <c r="P32" s="142"/>
    </row>
    <row r="33" spans="1:16" x14ac:dyDescent="0.35">
      <c r="A33" s="142" t="s">
        <v>1769</v>
      </c>
      <c r="B33" s="142"/>
      <c r="O33" s="142"/>
      <c r="P33" s="142"/>
    </row>
    <row r="34" spans="1:16" x14ac:dyDescent="0.35">
      <c r="A34" s="142" t="s">
        <v>1770</v>
      </c>
      <c r="B34" s="142"/>
      <c r="M34" s="143" t="str">
        <f>L20&amp;" + "&amp;L26&amp;" + "&amp;L32</f>
        <v>sw13 + sw17 + sw21</v>
      </c>
      <c r="O34" s="142"/>
      <c r="P34" s="142"/>
    </row>
    <row r="35" spans="1:16" x14ac:dyDescent="0.35">
      <c r="A35" s="142" t="s">
        <v>1771</v>
      </c>
      <c r="B35" s="142"/>
      <c r="J35" s="440" t="s">
        <v>1772</v>
      </c>
      <c r="L35" s="144" t="str">
        <f>A33</f>
        <v>sw22</v>
      </c>
      <c r="M35" s="818">
        <f>M20+M26+M32</f>
        <v>0</v>
      </c>
      <c r="O35" s="142"/>
      <c r="P35" s="142"/>
    </row>
    <row r="36" spans="1:16" x14ac:dyDescent="0.35">
      <c r="A36" s="142" t="s">
        <v>1773</v>
      </c>
      <c r="B36" s="142"/>
      <c r="C36" s="142"/>
      <c r="D36" s="142"/>
      <c r="E36" s="142"/>
      <c r="F36" s="142"/>
      <c r="G36" s="142"/>
      <c r="H36" s="142"/>
      <c r="I36" s="142"/>
      <c r="J36" s="142"/>
      <c r="K36" s="142"/>
      <c r="L36" s="142"/>
      <c r="M36" s="142"/>
      <c r="N36" s="142"/>
      <c r="O36" s="142"/>
      <c r="P36" s="142"/>
    </row>
    <row r="37" spans="1:16" x14ac:dyDescent="0.35">
      <c r="A37" s="142" t="s">
        <v>1774</v>
      </c>
      <c r="B37" s="142"/>
      <c r="C37" s="142"/>
      <c r="D37" s="142"/>
      <c r="E37" s="957" t="s">
        <v>1775</v>
      </c>
      <c r="F37" s="144" t="str">
        <f>A34</f>
        <v>sw23</v>
      </c>
      <c r="G37" s="125">
        <f>TRUNC('Swiss Tax'!J9,0)</f>
        <v>0</v>
      </c>
      <c r="H37" s="142"/>
      <c r="I37" s="142"/>
      <c r="J37" s="142"/>
      <c r="K37" s="142"/>
      <c r="L37" s="142"/>
      <c r="M37" s="142"/>
      <c r="N37" s="142"/>
      <c r="O37" s="142"/>
      <c r="P37" s="142"/>
    </row>
    <row r="38" spans="1:16" x14ac:dyDescent="0.35">
      <c r="A38" s="142" t="s">
        <v>1776</v>
      </c>
      <c r="B38" s="142"/>
      <c r="C38" s="142"/>
      <c r="D38" s="142"/>
      <c r="E38" s="142"/>
      <c r="F38" s="142"/>
      <c r="G38" s="142"/>
      <c r="H38" s="142"/>
      <c r="I38" s="142"/>
      <c r="J38" s="142"/>
      <c r="K38" s="142"/>
      <c r="L38" s="142"/>
      <c r="M38" s="142"/>
      <c r="N38" s="142"/>
      <c r="O38" s="142"/>
      <c r="P38" s="142"/>
    </row>
    <row r="39" spans="1:16" x14ac:dyDescent="0.35">
      <c r="A39" s="142" t="s">
        <v>1777</v>
      </c>
      <c r="B39" s="142"/>
      <c r="C39" s="142"/>
      <c r="D39" s="142"/>
      <c r="E39" s="142"/>
      <c r="F39" s="142"/>
      <c r="G39" s="143" t="str">
        <f>"from "&amp;'tax it (c6)'!J68</f>
        <v xml:space="preserve">from </v>
      </c>
      <c r="H39" s="142"/>
      <c r="I39" s="142"/>
      <c r="J39" s="143" t="str">
        <f>"lower of "&amp;F37&amp;" and "&amp;F40</f>
        <v>lower of sw23 and sw24</v>
      </c>
      <c r="K39" s="142"/>
      <c r="L39" s="142"/>
      <c r="M39" s="810" t="str">
        <f>I40&amp;" @ "&amp;AHR_rate*100&amp;"%"</f>
        <v>sw25 @ 45%</v>
      </c>
      <c r="N39" s="142"/>
      <c r="O39" s="142"/>
      <c r="P39" s="142"/>
    </row>
    <row r="40" spans="1:16" x14ac:dyDescent="0.35">
      <c r="A40" s="142" t="s">
        <v>1778</v>
      </c>
      <c r="B40" s="142"/>
      <c r="C40" s="142"/>
      <c r="D40" s="142"/>
      <c r="E40" s="440" t="s">
        <v>1779</v>
      </c>
      <c r="F40" s="144" t="str">
        <f>A35</f>
        <v>sw24</v>
      </c>
      <c r="G40" s="420">
        <f>'tax it (c6)'!K68</f>
        <v>0</v>
      </c>
      <c r="H40" s="142"/>
      <c r="I40" s="144" t="str">
        <f>A36</f>
        <v>sw25</v>
      </c>
      <c r="J40" s="959">
        <f>MIN(G37,G40)</f>
        <v>0</v>
      </c>
      <c r="K40" s="142"/>
      <c r="L40" s="144" t="str">
        <f>A37</f>
        <v>sw26</v>
      </c>
      <c r="M40" s="812">
        <f>TRUNC(J40*AHR_rate,2)</f>
        <v>0</v>
      </c>
      <c r="N40" s="142"/>
      <c r="O40" s="142"/>
      <c r="P40" s="142"/>
    </row>
    <row r="41" spans="1:16" x14ac:dyDescent="0.35">
      <c r="A41" s="142" t="s">
        <v>1780</v>
      </c>
      <c r="B41" s="142"/>
      <c r="C41" s="142"/>
      <c r="D41" s="142"/>
      <c r="E41" s="142"/>
      <c r="F41" s="142"/>
      <c r="G41" s="142"/>
      <c r="H41" s="142"/>
      <c r="I41" s="142"/>
      <c r="J41" s="142"/>
      <c r="K41" s="142"/>
      <c r="L41" s="142"/>
      <c r="M41" s="142"/>
      <c r="N41" s="142"/>
      <c r="O41" s="142"/>
      <c r="P41" s="142"/>
    </row>
    <row r="42" spans="1:16" x14ac:dyDescent="0.35">
      <c r="A42" s="142" t="s">
        <v>1781</v>
      </c>
      <c r="B42" s="142"/>
      <c r="C42" s="142"/>
      <c r="D42" s="142"/>
      <c r="E42" s="142"/>
      <c r="F42" s="142"/>
      <c r="G42" s="143" t="str">
        <f>F37&amp;" minus "&amp;I40</f>
        <v>sw23 minus sw25</v>
      </c>
      <c r="H42" s="142"/>
      <c r="I42" s="142"/>
      <c r="J42" s="142"/>
      <c r="K42" s="142"/>
      <c r="L42" s="142"/>
      <c r="M42" s="142"/>
      <c r="N42" s="142"/>
      <c r="O42" s="142"/>
      <c r="P42" s="142"/>
    </row>
    <row r="43" spans="1:16" x14ac:dyDescent="0.35">
      <c r="A43" s="142" t="s">
        <v>1782</v>
      </c>
      <c r="B43" s="142"/>
      <c r="C43" s="142"/>
      <c r="D43" s="142"/>
      <c r="E43" s="440" t="s">
        <v>2251</v>
      </c>
      <c r="F43" s="144" t="str">
        <f>A38</f>
        <v>sw27</v>
      </c>
      <c r="G43" s="959">
        <f>MAX(G37-J40,0)</f>
        <v>0</v>
      </c>
      <c r="H43" s="142"/>
      <c r="I43" s="142"/>
      <c r="J43" s="142"/>
      <c r="K43" s="142"/>
      <c r="L43" s="142"/>
      <c r="M43" s="142"/>
      <c r="N43" s="142"/>
      <c r="O43" s="142"/>
      <c r="P43" s="142"/>
    </row>
    <row r="44" spans="1:16" x14ac:dyDescent="0.35">
      <c r="A44" s="142" t="s">
        <v>2252</v>
      </c>
      <c r="B44" s="142"/>
      <c r="C44" s="142"/>
      <c r="D44" s="142"/>
      <c r="E44" s="142"/>
      <c r="F44" s="142"/>
      <c r="G44" s="142"/>
      <c r="H44" s="142"/>
      <c r="I44" s="142"/>
      <c r="J44" s="142"/>
      <c r="K44" s="142"/>
      <c r="L44" s="142"/>
      <c r="M44" s="142"/>
      <c r="N44" s="142"/>
      <c r="O44" s="142"/>
      <c r="P44" s="142"/>
    </row>
    <row r="45" spans="1:16" x14ac:dyDescent="0.35">
      <c r="A45" s="142" t="s">
        <v>2253</v>
      </c>
      <c r="B45" s="142"/>
      <c r="C45" s="142"/>
      <c r="D45" s="142"/>
      <c r="E45" s="142"/>
      <c r="F45" s="142"/>
      <c r="G45" s="143" t="str">
        <f>"from "&amp;'tax it (c6)'!J61</f>
        <v>from c6.21</v>
      </c>
      <c r="H45" s="142"/>
      <c r="I45" s="142"/>
      <c r="J45" s="142"/>
      <c r="K45" s="142"/>
      <c r="L45" s="142"/>
      <c r="M45" s="142"/>
      <c r="N45" s="142"/>
      <c r="O45" s="142"/>
      <c r="P45" s="142"/>
    </row>
    <row r="46" spans="1:16" x14ac:dyDescent="0.35">
      <c r="A46" s="142" t="s">
        <v>2254</v>
      </c>
      <c r="B46" s="142"/>
      <c r="C46" s="142"/>
      <c r="D46" s="142"/>
      <c r="F46" s="144" t="str">
        <f>A39</f>
        <v>sw28</v>
      </c>
      <c r="G46" s="420">
        <f>'tax it (c6)'!K61</f>
        <v>0</v>
      </c>
      <c r="H46" s="142"/>
      <c r="I46" s="142"/>
      <c r="J46" s="142"/>
      <c r="K46" s="142"/>
      <c r="L46" s="142"/>
      <c r="M46" s="142"/>
      <c r="N46" s="142"/>
      <c r="O46" s="142"/>
      <c r="P46" s="142"/>
    </row>
    <row r="47" spans="1:16" x14ac:dyDescent="0.35">
      <c r="A47" s="142" t="s">
        <v>2255</v>
      </c>
      <c r="B47" s="142"/>
      <c r="C47" s="142"/>
      <c r="D47" s="142"/>
      <c r="E47" s="142"/>
      <c r="F47" s="142"/>
      <c r="G47" s="142"/>
      <c r="H47" s="142"/>
      <c r="I47" s="142"/>
      <c r="J47" s="142"/>
      <c r="K47" s="142"/>
      <c r="L47" s="142"/>
      <c r="M47" s="142"/>
      <c r="N47" s="142"/>
      <c r="O47" s="142"/>
      <c r="P47" s="142"/>
    </row>
    <row r="48" spans="1:16" x14ac:dyDescent="0.35">
      <c r="A48" s="142" t="s">
        <v>2256</v>
      </c>
      <c r="B48" s="142"/>
      <c r="C48" s="142"/>
      <c r="D48" s="142"/>
      <c r="E48" s="142"/>
      <c r="F48" s="142"/>
      <c r="G48" s="440" t="str">
        <f>'CDR (c7)'!E32&amp;" minus ("&amp;'tax it (c6)'!V61&amp;" + "&amp;'tax it (c6)'!R61&amp;" + "&amp;'tax it (c6)'!F61&amp;")"</f>
        <v>c7.7 minus (c6.55 + c6.43 + c6.9)</v>
      </c>
      <c r="H48" s="142"/>
      <c r="I48" s="142"/>
      <c r="J48" s="142"/>
      <c r="K48" s="142"/>
      <c r="L48" s="142"/>
      <c r="M48" s="142"/>
      <c r="N48" s="142"/>
      <c r="O48" s="142"/>
      <c r="P48" s="142"/>
    </row>
    <row r="49" spans="1:16" x14ac:dyDescent="0.35">
      <c r="A49" s="142" t="s">
        <v>2257</v>
      </c>
      <c r="B49" s="142"/>
      <c r="C49" s="142"/>
      <c r="D49" s="142"/>
      <c r="F49" s="144" t="str">
        <f>A40</f>
        <v>sw29</v>
      </c>
      <c r="G49" s="959">
        <f>MAX('CDR (c7)'!F32-('tax it (c6)'!W61+'tax it (c6)'!S61+'tax it (c6)'!G61),0)</f>
        <v>0</v>
      </c>
      <c r="H49" s="142"/>
      <c r="I49" s="142"/>
      <c r="J49" s="142"/>
      <c r="K49" s="142"/>
      <c r="L49" s="142"/>
      <c r="M49" s="142"/>
      <c r="N49" s="142"/>
      <c r="O49" s="142"/>
      <c r="P49" s="142"/>
    </row>
    <row r="50" spans="1:16" x14ac:dyDescent="0.35">
      <c r="A50" s="142" t="s">
        <v>2258</v>
      </c>
      <c r="B50" s="142"/>
      <c r="C50" s="142"/>
      <c r="D50" s="142"/>
      <c r="E50" s="142"/>
      <c r="G50" s="142"/>
      <c r="H50" s="142"/>
      <c r="I50" s="142"/>
      <c r="J50" s="142"/>
      <c r="K50" s="142"/>
      <c r="L50" s="142"/>
      <c r="M50" s="142"/>
      <c r="N50" s="142"/>
      <c r="O50" s="142"/>
      <c r="P50" s="142"/>
    </row>
    <row r="51" spans="1:16" x14ac:dyDescent="0.35">
      <c r="A51" s="142" t="s">
        <v>2259</v>
      </c>
      <c r="B51" s="142"/>
      <c r="C51" s="142"/>
      <c r="D51" s="142"/>
      <c r="E51" s="142"/>
      <c r="F51" s="142"/>
      <c r="G51" s="143" t="str">
        <f>F46&amp;" minus "&amp;F49</f>
        <v>sw28 minus sw29</v>
      </c>
      <c r="H51" s="142"/>
      <c r="I51" s="142"/>
      <c r="J51" s="142"/>
      <c r="K51" s="142"/>
      <c r="L51" s="142"/>
      <c r="M51" s="142"/>
      <c r="N51" s="142"/>
      <c r="O51" s="142"/>
      <c r="P51" s="142"/>
    </row>
    <row r="52" spans="1:16" x14ac:dyDescent="0.35">
      <c r="A52" s="142" t="s">
        <v>2260</v>
      </c>
      <c r="B52" s="142"/>
      <c r="C52" s="142"/>
      <c r="D52" s="142"/>
      <c r="E52" s="440" t="s">
        <v>2261</v>
      </c>
      <c r="F52" s="144" t="str">
        <f>A41</f>
        <v>sw30</v>
      </c>
      <c r="G52" s="144">
        <f>MAX(0,G46-G49)</f>
        <v>0</v>
      </c>
      <c r="H52" s="142"/>
      <c r="I52" s="142"/>
      <c r="J52" s="142"/>
      <c r="K52" s="142"/>
      <c r="L52" s="142"/>
      <c r="M52" s="142"/>
      <c r="N52" s="142"/>
      <c r="O52" s="142"/>
      <c r="P52" s="142"/>
    </row>
    <row r="53" spans="1:16" x14ac:dyDescent="0.35">
      <c r="A53" s="142" t="s">
        <v>2262</v>
      </c>
      <c r="B53" s="142"/>
      <c r="C53" s="142"/>
      <c r="D53" s="142"/>
      <c r="E53" s="142"/>
      <c r="F53" s="142"/>
      <c r="G53" s="142"/>
      <c r="H53" s="142"/>
      <c r="I53" s="142"/>
      <c r="J53" s="142"/>
      <c r="K53" s="142"/>
      <c r="L53" s="142"/>
      <c r="M53" s="142"/>
      <c r="N53" s="142"/>
      <c r="O53" s="142"/>
      <c r="P53" s="142"/>
    </row>
    <row r="54" spans="1:16" x14ac:dyDescent="0.35">
      <c r="A54" s="142" t="s">
        <v>2263</v>
      </c>
      <c r="B54" s="142"/>
      <c r="C54" s="142"/>
      <c r="D54" s="142"/>
      <c r="E54" s="142"/>
      <c r="F54" s="142"/>
      <c r="G54" s="143" t="str">
        <f>F43&amp;" minus "&amp;F49</f>
        <v>sw27 minus sw29</v>
      </c>
      <c r="H54" s="142"/>
      <c r="I54" s="142"/>
      <c r="J54" s="143" t="str">
        <f>"lower of "&amp;F52&amp;" and "&amp;F55</f>
        <v>lower of sw30 and sw31</v>
      </c>
      <c r="K54" s="142"/>
      <c r="L54" s="142"/>
      <c r="M54" s="810" t="str">
        <f>I55&amp;" @ "&amp;HR_rate*100&amp;"%"</f>
        <v>sw32 @ 40%</v>
      </c>
      <c r="N54" s="142"/>
      <c r="O54" s="142"/>
      <c r="P54" s="142"/>
    </row>
    <row r="55" spans="1:16" x14ac:dyDescent="0.35">
      <c r="B55" s="142"/>
      <c r="C55" s="142"/>
      <c r="D55" s="142"/>
      <c r="E55" s="142"/>
      <c r="F55" s="144" t="str">
        <f>A42</f>
        <v>sw31</v>
      </c>
      <c r="G55" s="959">
        <f>MAX(G43-G49,0)</f>
        <v>0</v>
      </c>
      <c r="H55" s="142"/>
      <c r="I55" s="144" t="str">
        <f>A43</f>
        <v>sw32</v>
      </c>
      <c r="J55" s="959">
        <f>MIN(G52,G55)</f>
        <v>0</v>
      </c>
      <c r="K55" s="142"/>
      <c r="L55" s="144" t="str">
        <f>A44</f>
        <v>sw33</v>
      </c>
      <c r="M55" s="812">
        <f>TRUNC(J55*HR_rate,2)</f>
        <v>0</v>
      </c>
      <c r="N55" s="142"/>
      <c r="O55" s="142"/>
      <c r="P55" s="142"/>
    </row>
    <row r="56" spans="1:16" x14ac:dyDescent="0.35">
      <c r="A56" s="142"/>
      <c r="B56" s="142"/>
      <c r="C56" s="142"/>
      <c r="D56" s="142"/>
      <c r="E56" s="142"/>
      <c r="F56" s="142"/>
      <c r="G56" s="142"/>
      <c r="H56" s="142"/>
      <c r="I56" s="142"/>
      <c r="J56" s="142"/>
      <c r="K56" s="142"/>
      <c r="L56" s="142"/>
      <c r="M56" s="142"/>
      <c r="N56" s="142"/>
      <c r="O56" s="142"/>
      <c r="P56" s="142"/>
    </row>
    <row r="57" spans="1:16" x14ac:dyDescent="0.35">
      <c r="B57" s="142"/>
      <c r="C57" s="142"/>
      <c r="D57" s="142"/>
      <c r="E57" s="142"/>
      <c r="F57" s="142"/>
      <c r="G57" s="143" t="str">
        <f>F43&amp;" minus "&amp;I55</f>
        <v>sw27 minus sw32</v>
      </c>
      <c r="H57" s="142"/>
      <c r="I57" s="142"/>
      <c r="J57" s="142"/>
      <c r="K57" s="142"/>
      <c r="L57" s="142"/>
      <c r="M57" s="142"/>
      <c r="N57" s="142"/>
      <c r="O57" s="142"/>
      <c r="P57" s="142"/>
    </row>
    <row r="58" spans="1:16" x14ac:dyDescent="0.35">
      <c r="B58" s="142"/>
      <c r="C58" s="142"/>
      <c r="D58" s="142"/>
      <c r="E58" s="440" t="s">
        <v>2251</v>
      </c>
      <c r="F58" s="144" t="str">
        <f>A45</f>
        <v>sw34</v>
      </c>
      <c r="G58" s="959">
        <f>MAX(G43-J55,0)</f>
        <v>0</v>
      </c>
      <c r="H58" s="142"/>
      <c r="I58" s="142"/>
      <c r="J58" s="142"/>
      <c r="K58" s="142"/>
      <c r="L58" s="142"/>
      <c r="M58" s="142"/>
      <c r="N58" s="142"/>
      <c r="O58" s="142"/>
      <c r="P58" s="142"/>
    </row>
    <row r="59" spans="1:16" x14ac:dyDescent="0.35">
      <c r="B59" s="142"/>
      <c r="C59" s="142"/>
      <c r="D59" s="142"/>
      <c r="E59" s="142"/>
      <c r="F59" s="142"/>
      <c r="G59" s="142"/>
      <c r="H59" s="142"/>
      <c r="I59" s="142"/>
      <c r="J59" s="142"/>
      <c r="K59" s="142"/>
      <c r="L59" s="142"/>
      <c r="M59" s="142"/>
      <c r="N59" s="142"/>
      <c r="O59" s="142"/>
      <c r="P59" s="142"/>
    </row>
    <row r="60" spans="1:16" x14ac:dyDescent="0.35">
      <c r="B60" s="142"/>
      <c r="C60" s="142"/>
      <c r="D60" s="142"/>
      <c r="E60" s="142"/>
      <c r="F60" s="142"/>
      <c r="G60" s="143" t="str">
        <f>'tax it (c6)'!J48&amp;" + "&amp;F49</f>
        <v>c6.18 + sw29</v>
      </c>
      <c r="H60" s="142"/>
      <c r="I60" s="142"/>
      <c r="J60" s="143" t="str">
        <f>"lower of "&amp;F58&amp;" and "&amp;F61</f>
        <v>lower of sw34 and sw35</v>
      </c>
      <c r="K60" s="142"/>
      <c r="L60" s="142"/>
      <c r="M60" s="810" t="str">
        <f>I61&amp;" @ "&amp;BR_rate*100&amp;"%"</f>
        <v>sw36 @ 20%</v>
      </c>
      <c r="N60" s="142"/>
      <c r="O60" s="142"/>
      <c r="P60" s="142"/>
    </row>
    <row r="61" spans="1:16" x14ac:dyDescent="0.35">
      <c r="C61" s="142"/>
      <c r="D61" s="142"/>
      <c r="E61" s="440" t="s">
        <v>2264</v>
      </c>
      <c r="F61" s="144" t="str">
        <f>A46</f>
        <v>sw35</v>
      </c>
      <c r="G61" s="420">
        <f>'tax it (c6)'!K48+G49</f>
        <v>0</v>
      </c>
      <c r="H61" s="142"/>
      <c r="I61" s="144" t="str">
        <f>A47</f>
        <v>sw36</v>
      </c>
      <c r="J61" s="959">
        <f>MIN(G58,G61)</f>
        <v>0</v>
      </c>
      <c r="K61" s="142"/>
      <c r="L61" s="144" t="str">
        <f>A48</f>
        <v>sw37</v>
      </c>
      <c r="M61" s="812">
        <f>TRUNC(J61*BR_rate,2)</f>
        <v>0</v>
      </c>
      <c r="N61" s="142"/>
    </row>
    <row r="62" spans="1:16" x14ac:dyDescent="0.35">
      <c r="C62" s="142"/>
      <c r="D62" s="142"/>
      <c r="E62" s="142"/>
      <c r="F62" s="142"/>
      <c r="G62" s="142"/>
      <c r="H62" s="142"/>
      <c r="I62" s="142"/>
      <c r="J62" s="142"/>
      <c r="K62" s="142"/>
      <c r="L62" s="142"/>
      <c r="M62" s="142"/>
      <c r="N62" s="142"/>
    </row>
    <row r="63" spans="1:16" x14ac:dyDescent="0.35">
      <c r="C63" s="142"/>
      <c r="D63" s="142"/>
      <c r="E63" s="142"/>
      <c r="F63" s="142"/>
      <c r="G63" s="143" t="str">
        <f>F58&amp;" minus "&amp;I61</f>
        <v>sw34 minus sw36</v>
      </c>
      <c r="H63" s="142"/>
      <c r="I63" s="142"/>
      <c r="J63" s="142"/>
      <c r="K63" s="142"/>
      <c r="L63" s="142"/>
      <c r="M63" s="142"/>
      <c r="N63" s="142"/>
    </row>
    <row r="64" spans="1:16" x14ac:dyDescent="0.35">
      <c r="C64" s="142"/>
      <c r="D64" s="142"/>
      <c r="E64" s="440" t="s">
        <v>2251</v>
      </c>
      <c r="F64" s="144" t="str">
        <f>A49</f>
        <v>sw38</v>
      </c>
      <c r="G64" s="959">
        <f>MAX(G58-J61,0)</f>
        <v>0</v>
      </c>
      <c r="H64" s="142"/>
      <c r="I64" s="142"/>
      <c r="J64" s="142"/>
      <c r="K64" s="142"/>
      <c r="L64" s="142"/>
      <c r="M64" s="142"/>
      <c r="N64" s="142"/>
    </row>
    <row r="65" spans="3:14" x14ac:dyDescent="0.35">
      <c r="C65" s="142"/>
      <c r="D65" s="142"/>
      <c r="E65" s="142"/>
      <c r="F65" s="142"/>
      <c r="G65" s="142"/>
      <c r="H65" s="142"/>
      <c r="I65" s="142"/>
      <c r="J65" s="142"/>
      <c r="K65" s="142"/>
      <c r="L65" s="142"/>
      <c r="M65" s="142"/>
      <c r="N65" s="142"/>
    </row>
    <row r="66" spans="3:14" x14ac:dyDescent="0.35">
      <c r="C66" s="142"/>
      <c r="D66" s="142"/>
      <c r="E66" s="142"/>
      <c r="F66" s="142"/>
      <c r="G66" s="143" t="str">
        <f>"from "&amp;'tax it (c6)'!J27</f>
        <v>from c6.14</v>
      </c>
      <c r="H66" s="142"/>
      <c r="I66" s="142"/>
      <c r="J66" s="143" t="str">
        <f>"lower of "&amp;F64&amp;" and "&amp;F67</f>
        <v>lower of sw38 and sw39</v>
      </c>
      <c r="K66" s="142"/>
      <c r="L66" s="142"/>
      <c r="M66" s="810" t="str">
        <f>I67&amp;" @ "&amp;SR_rate*100&amp;"%"</f>
        <v>sw40 @ 0%</v>
      </c>
      <c r="N66" s="142"/>
    </row>
    <row r="67" spans="3:14" x14ac:dyDescent="0.35">
      <c r="C67" s="142"/>
      <c r="D67" s="142"/>
      <c r="E67" s="440" t="s">
        <v>2265</v>
      </c>
      <c r="F67" s="144" t="str">
        <f>A50</f>
        <v>sw39</v>
      </c>
      <c r="G67" s="420">
        <f>'tax it (c6)'!K27</f>
        <v>0</v>
      </c>
      <c r="H67" s="142"/>
      <c r="I67" s="144" t="str">
        <f>A51</f>
        <v>sw40</v>
      </c>
      <c r="J67" s="959">
        <f>MIN(G64,G67)</f>
        <v>0</v>
      </c>
      <c r="K67" s="142"/>
      <c r="L67" s="144" t="str">
        <f>A52</f>
        <v>sw41</v>
      </c>
      <c r="M67" s="812">
        <f>TRUNC(J67*SR_rate,2)</f>
        <v>0</v>
      </c>
      <c r="N67" s="142"/>
    </row>
    <row r="68" spans="3:14" x14ac:dyDescent="0.35">
      <c r="C68" s="142"/>
      <c r="D68" s="142"/>
      <c r="E68" s="142"/>
      <c r="F68" s="142"/>
      <c r="G68" s="142"/>
      <c r="H68" s="142"/>
      <c r="I68" s="142"/>
      <c r="J68" s="142"/>
      <c r="K68" s="142"/>
      <c r="L68" s="142"/>
      <c r="M68" s="142"/>
      <c r="N68" s="142"/>
    </row>
    <row r="69" spans="3:14" x14ac:dyDescent="0.35">
      <c r="C69" s="142"/>
      <c r="D69" s="142"/>
      <c r="E69" s="142"/>
      <c r="F69" s="142"/>
      <c r="G69" s="142"/>
      <c r="H69" s="142"/>
      <c r="I69" s="142"/>
      <c r="J69" s="142"/>
      <c r="K69" s="142"/>
      <c r="L69" s="142"/>
      <c r="M69" s="143" t="str">
        <f>L40&amp;" + "&amp;L55&amp;" + "&amp;L61&amp;" + "&amp;L67</f>
        <v>sw26 + sw33 + sw37 + sw41</v>
      </c>
      <c r="N69" s="142"/>
    </row>
    <row r="70" spans="3:14" x14ac:dyDescent="0.35">
      <c r="C70" s="142"/>
      <c r="D70" s="142"/>
      <c r="E70" s="142"/>
      <c r="F70" s="142"/>
      <c r="G70" s="142"/>
      <c r="H70" s="142"/>
      <c r="I70" s="142"/>
      <c r="J70" s="440" t="s">
        <v>2266</v>
      </c>
      <c r="K70" s="142"/>
      <c r="L70" s="144" t="str">
        <f>A53</f>
        <v>sw42</v>
      </c>
      <c r="M70" s="818">
        <f>M40+M55+M61+M67</f>
        <v>0</v>
      </c>
      <c r="N70" s="142"/>
    </row>
    <row r="71" spans="3:14" x14ac:dyDescent="0.35">
      <c r="C71" s="142"/>
      <c r="D71" s="142"/>
      <c r="E71" s="142"/>
      <c r="F71" s="142"/>
      <c r="G71" s="142"/>
      <c r="H71" s="142"/>
      <c r="I71" s="142"/>
      <c r="J71" s="142"/>
      <c r="K71" s="142"/>
      <c r="L71" s="142"/>
      <c r="M71" s="142"/>
      <c r="N71" s="142"/>
    </row>
    <row r="72" spans="3:14" x14ac:dyDescent="0.35">
      <c r="C72" s="142"/>
      <c r="D72" s="142"/>
      <c r="E72" s="142"/>
      <c r="F72" s="142"/>
      <c r="G72" s="142"/>
      <c r="H72" s="142"/>
      <c r="I72" s="142"/>
      <c r="J72" s="142"/>
      <c r="K72" s="142"/>
      <c r="L72" s="142"/>
      <c r="M72" s="143" t="str">
        <f>L15&amp;" + "&amp;L35&amp;" + "&amp;L70</f>
        <v>sw9 + sw22 + sw42</v>
      </c>
      <c r="N72" s="142"/>
    </row>
    <row r="73" spans="3:14" x14ac:dyDescent="0.35">
      <c r="C73" s="142"/>
      <c r="D73" s="142"/>
      <c r="E73" s="142"/>
      <c r="F73" s="142"/>
      <c r="G73" s="142"/>
      <c r="H73" s="142"/>
      <c r="I73" s="142"/>
      <c r="J73" s="440" t="s">
        <v>2267</v>
      </c>
      <c r="K73" s="142"/>
      <c r="L73" s="144" t="str">
        <f>A54</f>
        <v>sw43</v>
      </c>
      <c r="M73" s="144">
        <f>M15+M35+M70</f>
        <v>0</v>
      </c>
      <c r="N73" s="142"/>
    </row>
    <row r="74" spans="3:14" x14ac:dyDescent="0.35">
      <c r="C74" s="142"/>
      <c r="D74" s="142"/>
      <c r="E74" s="142"/>
      <c r="F74" s="142"/>
      <c r="G74" s="142"/>
      <c r="H74" s="142"/>
      <c r="I74" s="142"/>
      <c r="J74" s="142"/>
      <c r="K74" s="142"/>
      <c r="L74" s="142"/>
      <c r="M74" s="142" t="str">
        <f>"Add to "&amp;'Tax adj (c9)'!L101</f>
        <v>Add to c9.31</v>
      </c>
      <c r="N74" s="142"/>
    </row>
    <row r="75" spans="3:14" x14ac:dyDescent="0.35">
      <c r="C75" s="142"/>
      <c r="D75" s="142"/>
      <c r="E75" s="142"/>
      <c r="F75" s="142"/>
      <c r="G75" s="142"/>
      <c r="H75" s="142"/>
      <c r="I75" s="142"/>
      <c r="J75" s="142"/>
      <c r="K75" s="142"/>
      <c r="L75" s="142"/>
      <c r="M75" s="142"/>
      <c r="N75" s="142"/>
    </row>
    <row r="76" spans="3:14" x14ac:dyDescent="0.35">
      <c r="C76" s="142"/>
      <c r="D76" s="142"/>
      <c r="E76" s="142"/>
      <c r="F76" s="142"/>
      <c r="G76" s="142"/>
      <c r="H76" s="142"/>
      <c r="I76" s="142"/>
      <c r="J76" s="142"/>
      <c r="K76" s="142"/>
      <c r="L76" s="142"/>
      <c r="M76" s="142"/>
      <c r="N76" s="142"/>
    </row>
    <row r="77" spans="3:14" x14ac:dyDescent="0.35">
      <c r="C77" s="142"/>
      <c r="D77" s="142"/>
      <c r="E77" s="142"/>
      <c r="F77" s="142"/>
      <c r="G77" s="142"/>
      <c r="H77" s="142"/>
      <c r="I77" s="142"/>
      <c r="J77" s="142"/>
      <c r="K77" s="142"/>
      <c r="L77" s="142"/>
      <c r="M77" s="142"/>
      <c r="N77" s="142"/>
    </row>
  </sheetData>
  <phoneticPr fontId="68" type="noConversion"/>
  <pageMargins left="0.19685" right="0.19685" top="0.19685" bottom="0.19685" header="0" footer="0"/>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1407</vt:i4>
      </vt:variant>
    </vt:vector>
  </HeadingPairs>
  <TitlesOfParts>
    <vt:vector size="1495" baseType="lpstr">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Taxable Income</vt:lpstr>
      <vt:lpstr>Income types</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930_template</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_AIL3</vt:lpstr>
      <vt:lpstr>_AIL4</vt:lpstr>
      <vt:lpstr>_AIL5</vt:lpstr>
      <vt:lpstr>_AIL6</vt:lpstr>
      <vt:lpstr>_AIL7</vt:lpstr>
      <vt:lpstr>_AIL8</vt:lpstr>
      <vt:lpstr>_AIL9</vt:lpstr>
      <vt:lpstr>_AOI1</vt:lpstr>
      <vt:lpstr>_AOI10</vt:lpstr>
      <vt:lpstr>_AOI11</vt:lpstr>
      <vt:lpstr>_AOI12</vt:lpstr>
      <vt:lpstr>_AOI13</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_CGT51</vt:lpstr>
      <vt:lpstr>_CGT52</vt:lpstr>
      <vt:lpstr>_CGT53</vt:lpstr>
      <vt:lpstr>_CGT54</vt:lpstr>
      <vt:lpstr>_CGT6</vt:lpstr>
      <vt:lpstr>_CGT7</vt:lpstr>
      <vt:lpstr>_CGT8</vt:lpstr>
      <vt:lpstr>_CGT9</vt:lpstr>
      <vt:lpstr>_CL1</vt:lpstr>
      <vt:lpstr>_CL2</vt:lpstr>
      <vt:lpstr>_CL2wkamt</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_FOR1</vt:lpstr>
      <vt:lpstr>_FOR10</vt:lpstr>
      <vt:lpstr>_FOR10D</vt:lpstr>
      <vt:lpstr>_FOR11</vt:lpstr>
      <vt:lpstr>_FOR11F_1</vt:lpstr>
      <vt:lpstr>_FOR12</vt:lpstr>
      <vt:lpstr>_FOR13</vt:lpstr>
      <vt:lpstr>_FOR13.1</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_FOR23</vt:lpstr>
      <vt:lpstr>_FOR24</vt:lpstr>
      <vt:lpstr>_FOR24A</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_FOR8</vt:lpstr>
      <vt:lpstr>_FOR8D_1</vt:lpstr>
      <vt:lpstr>_FOR9</vt:lpstr>
      <vt:lpstr>_FOR9F_1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_FSE71</vt:lpstr>
      <vt:lpstr>_FSE72</vt:lpstr>
      <vt:lpstr>_FSE73</vt:lpstr>
      <vt:lpstr>_FSE74</vt:lpstr>
      <vt:lpstr>_FSE75</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_PRO1</vt:lpstr>
      <vt:lpstr>_PRO10</vt:lpstr>
      <vt:lpstr>_PRO10.2</vt:lpstr>
      <vt:lpstr>_PRO11</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box_18_3_1</vt:lpstr>
      <vt:lpstr>box_18_3_2</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Child_Benefit_tax_charge</vt:lpstr>
      <vt:lpstr>CITR</vt:lpstr>
      <vt:lpstr>CITR_rate</vt:lpstr>
      <vt:lpstr>claim_to_reduce</vt:lpstr>
      <vt:lpstr>Class1_PT</vt:lpstr>
      <vt:lpstr>Class1_UEL</vt:lpstr>
      <vt:lpstr>coded_in_later_year</vt:lpstr>
      <vt:lpstr>coded_out_limit</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vt:lpstr>
      <vt:lpstr>ER_CGT_rate</vt:lpstr>
      <vt:lpstr>ER_rate_CGT</vt:lpstr>
      <vt:lpstr>Exps_Emp</vt:lpstr>
      <vt:lpstr>extended_BR</vt:lpstr>
      <vt:lpstr>extended_BR_fmt</vt:lpstr>
      <vt:lpstr>extended_BR_STp</vt:lpstr>
      <vt:lpstr>FIN</vt:lpstr>
      <vt:lpstr>FOR</vt:lpstr>
      <vt:lpstr>FOR_3D_1</vt:lpstr>
      <vt:lpstr>FOR_43</vt:lpstr>
      <vt:lpstr>FOR_44</vt:lpstr>
      <vt:lpstr>FOR_45</vt:lpstr>
      <vt:lpstr>FOR_IND</vt:lpstr>
      <vt:lpstr>FOR_RANGE</vt:lpstr>
      <vt:lpstr>foreign_dividends</vt:lpstr>
      <vt:lpstr>FPS</vt:lpstr>
      <vt:lpstr>FPS_RANGE</vt:lpstr>
      <vt:lpstr>FSE</vt:lpstr>
      <vt:lpstr>FSE_RANGE</vt:lpstr>
      <vt:lpstr>FTCR</vt:lpstr>
      <vt:lpstr>FTCR_CLAIM</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HDR_gross</vt:lpstr>
      <vt:lpstr>HDR_gross_F</vt:lpstr>
      <vt:lpstr>Higher_rate_CGT</vt:lpstr>
      <vt:lpstr>Higher_rate_CGT_RP_CI</vt:lpstr>
      <vt:lpstr>HR_band</vt:lpstr>
      <vt:lpstr>HR_case</vt:lpstr>
      <vt:lpstr>HR_case_MAT</vt:lpstr>
      <vt:lpstr>HR_case_PSA</vt:lpstr>
      <vt:lpstr>HR_gross</vt:lpstr>
      <vt:lpstr>HR_gross_F</vt:lpstr>
      <vt:lpstr>HR_limit_fmt</vt:lpstr>
      <vt:lpstr>HR_rate</vt:lpstr>
      <vt:lpstr>hr_tax_charge_on_CBC</vt:lpstr>
      <vt:lpstr>HR_threshold</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income_E</vt:lpstr>
      <vt:lpstr>Income_Excluded</vt:lpstr>
      <vt:lpstr>income_F</vt:lpstr>
      <vt:lpstr>income_Foreign</vt:lpstr>
      <vt:lpstr>income_IFP</vt:lpstr>
      <vt:lpstr>income_Other</vt:lpstr>
      <vt:lpstr>income_Pensions</vt:lpstr>
      <vt:lpstr>income_Savings_taxfree</vt:lpstr>
      <vt:lpstr>income_Shares</vt:lpstr>
      <vt:lpstr>income_Total</vt:lpstr>
      <vt:lpstr>income_Trust</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next_year</vt:lpstr>
      <vt:lpstr>NI1_IND</vt:lpstr>
      <vt:lpstr>NI1_RANGE</vt:lpstr>
      <vt:lpstr>NI2_IND</vt:lpstr>
      <vt:lpstr>NI2_RANGE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Older_spouse</vt:lpstr>
      <vt:lpstr>OTC_rate</vt:lpstr>
      <vt:lpstr>Over_75</vt:lpstr>
      <vt:lpstr>P_A</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POA_limit</vt:lpstr>
      <vt:lpstr>ppr_extender</vt:lpstr>
      <vt:lpstr>ppr_extender_fmt</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RBC_Additional_ch</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SELECTOR_IND</vt:lpstr>
      <vt:lpstr>SHR_band</vt:lpstr>
      <vt:lpstr>SHR_rate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SSR_higher_rate</vt:lpstr>
      <vt:lpstr>SSR_lower_band</vt:lpstr>
      <vt:lpstr>SSR_lower_rate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tax_on_pay_AHR</vt:lpstr>
      <vt:lpstr>tax_on_pay_BR</vt:lpstr>
      <vt:lpstr>tax_on_pay_HR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Taxpayer_Reference</vt:lpstr>
      <vt:lpstr>TCR_IND</vt:lpstr>
      <vt:lpstr>TCR_RANGE</vt:lpstr>
      <vt:lpstr>to_be_coded</vt:lpstr>
      <vt:lpstr>total_all_gains</vt:lpstr>
      <vt:lpstr>total_CG_due</vt:lpstr>
      <vt:lpstr>Total_CGT_tax</vt:lpstr>
      <vt:lpstr>Total_IT_CG_class4_due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TSR_due</vt:lpstr>
      <vt:lpstr>UK_allowance_claim</vt:lpstr>
      <vt:lpstr>UK_FTCR</vt:lpstr>
      <vt:lpstr>unpaid_tax_bf</vt:lpstr>
      <vt:lpstr>unpaid_tax_in_code</vt:lpstr>
      <vt:lpstr>Upayts_surcharge</vt:lpstr>
      <vt:lpstr>Upper_CGT_rate</vt:lpstr>
      <vt:lpstr>upper_CGT_rate_RP_CI</vt:lpstr>
      <vt:lpstr>VCT</vt:lpstr>
      <vt:lpstr>VCT_rate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Khan, Abid (CDIO Digital Services)</cp:lastModifiedBy>
  <cp:lastPrinted>2017-12-06T17:50:57Z</cp:lastPrinted>
  <dcterms:created xsi:type="dcterms:W3CDTF">1999-02-09T10:37:27Z</dcterms:created>
  <dcterms:modified xsi:type="dcterms:W3CDTF">2017-12-19T16:07:39Z</dcterms:modified>
</cp:coreProperties>
</file>