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zhaw.sharepoint.com/sites/TeamMicroalgae-Project-Apropos/Freigegebene Dokumente/Project - Apropos/Experiments/2024-05-14 - Viridiella - TL-PBR/"/>
    </mc:Choice>
  </mc:AlternateContent>
  <xr:revisionPtr revIDLastSave="546" documentId="8_{0C2BCEB4-6A8C-F446-9336-228BE888C6CD}" xr6:coauthVersionLast="47" xr6:coauthVersionMax="47" xr10:uidLastSave="{5476906F-1DD3-F542-B931-D3BE68214C6F}"/>
  <bookViews>
    <workbookView xWindow="140" yWindow="660" windowWidth="28500" windowHeight="17200" xr2:uid="{0B6FC417-9799-3D40-8923-80F2FF8657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9" i="1" l="1"/>
  <c r="AA9" i="1"/>
  <c r="AA8" i="1"/>
  <c r="Y8" i="1" l="1"/>
  <c r="Y9" i="1"/>
  <c r="Y10" i="1"/>
  <c r="Y11" i="1"/>
  <c r="Y12" i="1"/>
  <c r="Y2" i="1"/>
  <c r="Y3" i="1"/>
  <c r="Y4" i="1"/>
  <c r="Y5" i="1"/>
  <c r="Y6" i="1"/>
  <c r="Y7" i="1"/>
  <c r="U17" i="1"/>
  <c r="X9" i="1"/>
  <c r="X10" i="1"/>
  <c r="X11" i="1"/>
  <c r="X12" i="1"/>
  <c r="X8" i="1"/>
  <c r="V9" i="1"/>
  <c r="V10" i="1"/>
  <c r="V11" i="1"/>
  <c r="V12" i="1"/>
  <c r="V8" i="1"/>
  <c r="Q9" i="1"/>
  <c r="Q10" i="1"/>
  <c r="Q11" i="1"/>
  <c r="Q12" i="1"/>
  <c r="W12" i="1" s="1"/>
  <c r="Q8" i="1"/>
  <c r="W8" i="1" s="1"/>
  <c r="W9" i="1"/>
  <c r="W10" i="1"/>
  <c r="W11" i="1"/>
  <c r="N5" i="1"/>
  <c r="N6" i="1" s="1"/>
  <c r="N7" i="1" s="1"/>
  <c r="N8" i="1" s="1"/>
  <c r="N9" i="1" l="1"/>
  <c r="N10" i="1" s="1"/>
  <c r="N11" i="1" s="1"/>
  <c r="N12" i="1" s="1"/>
  <c r="K13" i="1" l="1"/>
  <c r="K12" i="1"/>
  <c r="T12" i="1" s="1"/>
  <c r="U12" i="1" s="1"/>
  <c r="F12" i="1"/>
  <c r="K11" i="1"/>
  <c r="T11" i="1" s="1"/>
  <c r="U11" i="1" s="1"/>
  <c r="F11" i="1"/>
  <c r="F10" i="1"/>
  <c r="F9" i="1" l="1"/>
  <c r="F8" i="1" l="1"/>
  <c r="F7" i="1"/>
  <c r="F6" i="1"/>
  <c r="K5" i="1"/>
  <c r="K6" i="1"/>
  <c r="K7" i="1"/>
  <c r="K8" i="1"/>
  <c r="T8" i="1" s="1"/>
  <c r="U8" i="1" s="1"/>
  <c r="K9" i="1"/>
  <c r="T9" i="1" s="1"/>
  <c r="U9" i="1" s="1"/>
  <c r="K10" i="1"/>
  <c r="T10" i="1" s="1"/>
  <c r="U10" i="1" s="1"/>
  <c r="U16" i="1" l="1"/>
  <c r="F5" i="1"/>
  <c r="K4" i="1"/>
  <c r="F4" i="1"/>
  <c r="K3" i="1"/>
  <c r="F3" i="1"/>
  <c r="K2" i="1"/>
  <c r="F2" i="1"/>
  <c r="G8" i="1" s="1"/>
  <c r="G3" i="1" l="1"/>
  <c r="G4" i="1"/>
  <c r="G12" i="1"/>
  <c r="G10" i="1"/>
  <c r="G11" i="1"/>
  <c r="G9" i="1"/>
  <c r="G6" i="1"/>
  <c r="G5" i="1"/>
  <c r="G7" i="1"/>
  <c r="G2" i="1"/>
</calcChain>
</file>

<file path=xl/sharedStrings.xml><?xml version="1.0" encoding="utf-8"?>
<sst xmlns="http://schemas.openxmlformats.org/spreadsheetml/2006/main" count="61" uniqueCount="40">
  <si>
    <t>Reaktor</t>
  </si>
  <si>
    <t>Datum</t>
  </si>
  <si>
    <t>Uhrzeit</t>
  </si>
  <si>
    <t>Person</t>
  </si>
  <si>
    <t>Notiz</t>
  </si>
  <si>
    <t>Datum und Uhrzeit</t>
  </si>
  <si>
    <t>Tage</t>
  </si>
  <si>
    <t>TM: Probevolumen (ml)</t>
  </si>
  <si>
    <t>TM: Einwaage (g)</t>
  </si>
  <si>
    <t>End Result (%)</t>
  </si>
  <si>
    <t>Trockenmasse (g/l)</t>
  </si>
  <si>
    <t>open thin-layer</t>
  </si>
  <si>
    <t>refa</t>
  </si>
  <si>
    <t>300 ml Probe entnommen, Reaktor gereinigt</t>
  </si>
  <si>
    <t>200 ml Probe entnommen, Reaktor gereinigt</t>
  </si>
  <si>
    <t>Experiment gestartet, DM3A hinzugefügt</t>
  </si>
  <si>
    <t>Reaktor gereinigt, 100 ml Probe entnommen</t>
  </si>
  <si>
    <t>100 ml Probe entnommen, DM6A hinzugefügt</t>
  </si>
  <si>
    <t>Reaktor gereinigt, 100 ml Probe entnommen für TM, 300 ml Probe entnommen für CHN und danach DM4.3A hinzugefügt.</t>
  </si>
  <si>
    <t>Ntot im Medium (mg/L)</t>
  </si>
  <si>
    <t>pfia</t>
  </si>
  <si>
    <t>Reaktor gereinigt, 50 ml Probe entnommen für TM, 300 ml Probe entnommen für CHN</t>
  </si>
  <si>
    <t>Reaktor gereinigt, 50 ml Probe entnommen für TM, 300 ml Probe entnommen für CHN, DM6A hinzugefügt</t>
  </si>
  <si>
    <t>Ernte,  50 ml Probe entnommen für TM, 300 ml Probe entnommen für CHN</t>
  </si>
  <si>
    <t>Dünger total (TM g/L)</t>
  </si>
  <si>
    <t>Nach der Durchlaufzentrifuge (Abwasser)</t>
  </si>
  <si>
    <t>Zentrifugiert</t>
  </si>
  <si>
    <t>%N (CHN-Analyse)</t>
  </si>
  <si>
    <t>NN4-N im Medium (mg/L)</t>
  </si>
  <si>
    <t>N hinzugefügt (g)</t>
  </si>
  <si>
    <t>N total hinzugefügt (g)</t>
  </si>
  <si>
    <t>Volumen der Kultur (L)</t>
  </si>
  <si>
    <t>N in den Algen (g)</t>
  </si>
  <si>
    <t>N in Algen und Medium (g)</t>
  </si>
  <si>
    <t>N recovered (%)</t>
  </si>
  <si>
    <t>Average</t>
  </si>
  <si>
    <t>N im Medium (%)</t>
  </si>
  <si>
    <t>N in Algae (%)</t>
  </si>
  <si>
    <t>N lost (%)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</si>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</sst>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22" fontId="0" fillId="0" borderId="0" xfId="0" applyNumberFormat="1"/>
    <xf numFmtId="2" fontId="0" fillId="0" borderId="0" xfId="0" applyNumberForma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  <xf numFmtId="9" fontId="0" fillId="0" borderId="0" xfId="1" applyFont="1"/>
    <xf numFmtId="0" fontId="0" fillId="0" borderId="0" xfId="1" applyNumberFormat="1" applyFont="1"/>
    <xf numFmtId="164" fontId="0" fillId="0" borderId="0" xfId="1" applyNumberFormat="1" applyFont="1" applyFill="1"/>
    <xf numFmtId="2" fontId="0" fillId="0" borderId="0" xfId="1" applyNumberFormat="1" applyFont="1" applyFill="1"/>
    <xf numFmtId="2" fontId="0" fillId="0" borderId="0" xfId="1" applyNumberFormat="1" applyFont="1"/>
    <xf numFmtId="9" fontId="0" fillId="0" borderId="0" xfId="0" applyNumberFormat="1"/>
    <xf numFmtId="2" fontId="0" fillId="0" borderId="0" xfId="0" applyNumberFormat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% of nitrogen in  medium or algae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A5C-D64B-BF76-A86B09F9FEF5}"/>
              </c:ext>
            </c:extLst>
          </c:dPt>
          <c:errBars>
            <c:errBarType val="both"/>
            <c:errValType val="cust"/>
            <c:noEndCap val="0"/>
            <c:plus>
              <c:numRef>
                <c:f>Sheet1!$U$17</c:f>
                <c:numCache>
                  <c:formatCode>General</c:formatCode>
                  <c:ptCount val="1"/>
                  <c:pt idx="0">
                    <c:v>5.2925566572494254E-2</c:v>
                  </c:pt>
                </c:numCache>
              </c:numRef>
            </c:plus>
            <c:minus>
              <c:numRef>
                <c:f>Sheet1!$U$17</c:f>
                <c:numCache>
                  <c:formatCode>General</c:formatCode>
                  <c:ptCount val="1"/>
                  <c:pt idx="0">
                    <c:v>5.2925566572494254E-2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Sheet1!$U$16</c:f>
              <c:numCache>
                <c:formatCode>0.0%</c:formatCode>
                <c:ptCount val="1"/>
                <c:pt idx="0">
                  <c:v>1.0146497136801638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C-D64B-BF76-A86B09F9F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9634672"/>
        <c:axId val="228944959"/>
      </c:barChart>
      <c:catAx>
        <c:axId val="1729634672"/>
        <c:scaling>
          <c:orientation val="minMax"/>
        </c:scaling>
        <c:delete val="1"/>
        <c:axPos val="b"/>
        <c:majorTickMark val="none"/>
        <c:minorTickMark val="none"/>
        <c:tickLblPos val="nextTo"/>
        <c:crossAx val="228944959"/>
        <c:crosses val="autoZero"/>
        <c:auto val="1"/>
        <c:lblAlgn val="ctr"/>
        <c:lblOffset val="100"/>
        <c:noMultiLvlLbl val="0"/>
      </c:catAx>
      <c:valAx>
        <c:axId val="228944959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2963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282222</xdr:colOff>
      <xdr:row>15</xdr:row>
      <xdr:rowOff>84665</xdr:rowOff>
    </xdr:from>
    <xdr:to>
      <xdr:col>12</xdr:col>
      <xdr:colOff>550333</xdr:colOff>
      <xdr:row>38</xdr:row>
      <xdr:rowOff>169333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20DA7C-3D0A-A6AB-C20A-05B8033EF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B62E-05F9-9047-A012-9662CF1FE511}">
  <dimension ref="A1:AB25"/>
  <sheetViews>
    <sheetView tabSelected="1" topLeftCell="E1" zoomScale="90" zoomScaleNormal="90" workbookViewId="0">
      <pane ySplit="1" topLeftCell="A2" activePane="bottomLeft" state="frozen"/>
      <selection pane="bottomLeft" activeCell="U16" sqref="U16:U17"/>
    </sheetView>
  </sheetViews>
  <sheetFormatPr baseColWidth="10" defaultColWidth="11" defaultRowHeight="15.75" customHeight="1" x14ac:dyDescent="0.2"/>
  <cols>
    <col min="1" max="1" width="13.1640625" customWidth="1"/>
    <col min="2" max="2" width="11.6640625" customWidth="1"/>
    <col min="3" max="3" width="8.1640625" customWidth="1"/>
    <col min="4" max="4" width="7.33203125" customWidth="1"/>
    <col min="5" max="5" width="94.1640625" customWidth="1"/>
    <col min="6" max="6" width="1.83203125" customWidth="1"/>
    <col min="7" max="7" width="8.5" customWidth="1"/>
    <col min="8" max="8" width="6.83203125" customWidth="1"/>
    <col min="9" max="9" width="7.1640625" customWidth="1"/>
    <col min="10" max="10" width="5.6640625" customWidth="1"/>
    <col min="11" max="11" width="6.83203125" customWidth="1"/>
    <col min="12" max="19" width="9.83203125" customWidth="1"/>
    <col min="20" max="20" width="11.83203125" customWidth="1"/>
    <col min="21" max="21" width="9.83203125" customWidth="1"/>
    <col min="22" max="22" width="13.5" bestFit="1" customWidth="1"/>
  </cols>
  <sheetData>
    <row r="1" spans="1:28" s="5" customFormat="1" ht="4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24</v>
      </c>
      <c r="M1" s="3" t="s">
        <v>29</v>
      </c>
      <c r="N1" s="3" t="s">
        <v>30</v>
      </c>
      <c r="O1" s="3" t="s">
        <v>27</v>
      </c>
      <c r="P1" s="3" t="s">
        <v>31</v>
      </c>
      <c r="Q1" s="3" t="s">
        <v>32</v>
      </c>
      <c r="R1" s="3" t="s">
        <v>28</v>
      </c>
      <c r="S1" s="3" t="s">
        <v>19</v>
      </c>
      <c r="T1" s="3" t="s">
        <v>33</v>
      </c>
      <c r="U1" s="3" t="s">
        <v>34</v>
      </c>
      <c r="V1" s="3" t="s">
        <v>36</v>
      </c>
      <c r="W1" s="3" t="s">
        <v>37</v>
      </c>
      <c r="X1" s="3" t="s">
        <v>38</v>
      </c>
    </row>
    <row r="2" spans="1:28" ht="16" x14ac:dyDescent="0.2">
      <c r="A2" t="s">
        <v>11</v>
      </c>
      <c r="B2" s="7">
        <v>45426</v>
      </c>
      <c r="C2" s="8">
        <v>0.64583333333333337</v>
      </c>
      <c r="D2" s="6" t="s">
        <v>12</v>
      </c>
      <c r="E2" s="6" t="s">
        <v>15</v>
      </c>
      <c r="F2" s="1">
        <f t="shared" ref="F2:F12" si="0">B2+C2</f>
        <v>45426.645833333336</v>
      </c>
      <c r="G2" s="2">
        <f t="shared" ref="G2:G12" si="1">F2-$F$2</f>
        <v>0</v>
      </c>
      <c r="H2" s="6">
        <v>200</v>
      </c>
      <c r="I2" s="6">
        <v>13.875</v>
      </c>
      <c r="J2" s="6"/>
      <c r="K2">
        <f>IFERROR(J2/(H2/I2)*10,"")</f>
        <v>0</v>
      </c>
      <c r="L2">
        <v>3</v>
      </c>
      <c r="M2">
        <v>51.31</v>
      </c>
      <c r="N2">
        <v>51.31</v>
      </c>
      <c r="O2" s="11"/>
      <c r="P2" s="12">
        <v>220</v>
      </c>
      <c r="Q2" s="2"/>
      <c r="R2" s="13"/>
      <c r="S2" s="2"/>
      <c r="T2" s="2"/>
      <c r="U2" s="9"/>
      <c r="W2" s="9"/>
      <c r="Y2">
        <f t="shared" ref="Y2:Y12" si="2">K2*P2</f>
        <v>0</v>
      </c>
    </row>
    <row r="3" spans="1:28" ht="16" x14ac:dyDescent="0.2">
      <c r="A3" t="s">
        <v>11</v>
      </c>
      <c r="B3" s="7">
        <v>45429</v>
      </c>
      <c r="C3" s="8">
        <v>0.41666666666666669</v>
      </c>
      <c r="D3" s="6" t="s">
        <v>12</v>
      </c>
      <c r="E3" s="6" t="s">
        <v>13</v>
      </c>
      <c r="F3" s="1">
        <f t="shared" si="0"/>
        <v>45429.416666666664</v>
      </c>
      <c r="G3" s="2">
        <f t="shared" si="1"/>
        <v>2.7708333333284827</v>
      </c>
      <c r="H3" s="6">
        <v>300</v>
      </c>
      <c r="I3" s="6">
        <v>15.807</v>
      </c>
      <c r="J3" s="6">
        <v>0.71</v>
      </c>
      <c r="K3">
        <f>IFERROR(J3/(H3/I3)*10,"")</f>
        <v>0.37409899999999996</v>
      </c>
      <c r="N3">
        <v>51.31</v>
      </c>
      <c r="O3" s="11"/>
      <c r="P3" s="12">
        <v>220</v>
      </c>
      <c r="Q3" s="2"/>
      <c r="R3" s="13"/>
      <c r="S3" s="2"/>
      <c r="T3" s="2"/>
      <c r="U3" s="9"/>
      <c r="W3" s="9"/>
      <c r="Y3">
        <f t="shared" si="2"/>
        <v>82.301779999999994</v>
      </c>
    </row>
    <row r="4" spans="1:28" ht="16" x14ac:dyDescent="0.2">
      <c r="A4" t="s">
        <v>11</v>
      </c>
      <c r="B4" s="7">
        <v>45433</v>
      </c>
      <c r="C4" s="8">
        <v>0.54166666666666663</v>
      </c>
      <c r="D4" s="6" t="s">
        <v>12</v>
      </c>
      <c r="E4" s="6" t="s">
        <v>14</v>
      </c>
      <c r="F4" s="1">
        <f t="shared" si="0"/>
        <v>45433.541666666664</v>
      </c>
      <c r="G4" s="2">
        <f t="shared" si="1"/>
        <v>6.8958333333284827</v>
      </c>
      <c r="H4" s="6">
        <v>200</v>
      </c>
      <c r="I4" s="6">
        <v>25.75</v>
      </c>
      <c r="J4" s="6">
        <v>1.1499999999999999</v>
      </c>
      <c r="K4">
        <f>IFERROR(J4/(H4/I4)*10,"")</f>
        <v>1.4806249999999999</v>
      </c>
      <c r="N4">
        <v>51.31</v>
      </c>
      <c r="O4" s="11"/>
      <c r="P4" s="12">
        <v>220</v>
      </c>
      <c r="Q4" s="2"/>
      <c r="R4" s="13"/>
      <c r="S4" s="2"/>
      <c r="T4" s="2"/>
      <c r="U4" s="9"/>
      <c r="W4" s="9"/>
      <c r="Y4">
        <f t="shared" si="2"/>
        <v>325.73749999999995</v>
      </c>
    </row>
    <row r="5" spans="1:28" ht="16" x14ac:dyDescent="0.2">
      <c r="A5" t="s">
        <v>11</v>
      </c>
      <c r="B5" s="7">
        <v>45434</v>
      </c>
      <c r="C5" s="8">
        <v>0.54166666666666663</v>
      </c>
      <c r="D5" s="6" t="s">
        <v>12</v>
      </c>
      <c r="E5" s="6" t="s">
        <v>17</v>
      </c>
      <c r="F5" s="1">
        <f t="shared" si="0"/>
        <v>45434.541666666664</v>
      </c>
      <c r="G5" s="2">
        <f t="shared" si="1"/>
        <v>7.8958333333284827</v>
      </c>
      <c r="H5" s="6">
        <v>100</v>
      </c>
      <c r="I5" s="6">
        <v>14.430999999999999</v>
      </c>
      <c r="J5" s="6">
        <v>1.5</v>
      </c>
      <c r="K5">
        <f t="shared" ref="K5:K13" si="3">IFERROR(J5/(H5/I5)*10,"")</f>
        <v>2.16465</v>
      </c>
      <c r="L5">
        <v>9</v>
      </c>
      <c r="M5">
        <v>102.61</v>
      </c>
      <c r="N5">
        <f>N2+M5</f>
        <v>153.92000000000002</v>
      </c>
      <c r="O5" s="11"/>
      <c r="P5" s="12">
        <v>220</v>
      </c>
      <c r="Q5" s="2"/>
      <c r="R5" s="13"/>
      <c r="S5" s="2"/>
      <c r="T5" s="2"/>
      <c r="U5" s="9"/>
      <c r="W5" s="9"/>
      <c r="Y5">
        <f t="shared" si="2"/>
        <v>476.22300000000001</v>
      </c>
    </row>
    <row r="6" spans="1:28" ht="15.75" customHeight="1" x14ac:dyDescent="0.2">
      <c r="A6" t="s">
        <v>11</v>
      </c>
      <c r="B6" s="7">
        <v>45436</v>
      </c>
      <c r="C6" s="8">
        <v>0.33333333333333331</v>
      </c>
      <c r="D6" s="6" t="s">
        <v>12</v>
      </c>
      <c r="E6" s="6" t="s">
        <v>16</v>
      </c>
      <c r="F6" s="1">
        <f t="shared" si="0"/>
        <v>45436.333333333336</v>
      </c>
      <c r="G6" s="2">
        <f t="shared" si="1"/>
        <v>9.6875</v>
      </c>
      <c r="H6" s="6">
        <v>100</v>
      </c>
      <c r="I6" s="6">
        <v>27.667999999999999</v>
      </c>
      <c r="J6" s="6">
        <v>1.1200000000000001</v>
      </c>
      <c r="K6">
        <f t="shared" si="3"/>
        <v>3.0988160000000002</v>
      </c>
      <c r="N6">
        <f>N5</f>
        <v>153.92000000000002</v>
      </c>
      <c r="O6" s="11"/>
      <c r="P6" s="12">
        <v>220</v>
      </c>
      <c r="Q6" s="2"/>
      <c r="R6" s="13"/>
      <c r="S6" s="2"/>
      <c r="T6" s="2"/>
      <c r="U6" s="9"/>
      <c r="W6" s="9"/>
      <c r="Y6">
        <f t="shared" si="2"/>
        <v>681.73952000000008</v>
      </c>
    </row>
    <row r="7" spans="1:28" ht="15" customHeight="1" x14ac:dyDescent="0.2">
      <c r="A7" t="s">
        <v>11</v>
      </c>
      <c r="B7" s="7">
        <v>45440</v>
      </c>
      <c r="C7" s="8">
        <v>0.35416666666666669</v>
      </c>
      <c r="D7" s="6" t="s">
        <v>12</v>
      </c>
      <c r="E7" s="6" t="s">
        <v>16</v>
      </c>
      <c r="F7" s="1">
        <f t="shared" si="0"/>
        <v>45440.354166666664</v>
      </c>
      <c r="G7" s="2">
        <f t="shared" si="1"/>
        <v>13.708333333328483</v>
      </c>
      <c r="H7" s="6">
        <v>100</v>
      </c>
      <c r="I7" s="6">
        <v>20.356999999999999</v>
      </c>
      <c r="J7" s="6">
        <v>3.63</v>
      </c>
      <c r="K7">
        <f t="shared" si="3"/>
        <v>7.3895909999999994</v>
      </c>
      <c r="N7">
        <f>N6</f>
        <v>153.92000000000002</v>
      </c>
      <c r="O7" s="11"/>
      <c r="P7" s="12">
        <v>220</v>
      </c>
      <c r="Q7" s="2"/>
      <c r="R7" s="13"/>
      <c r="S7" s="2"/>
      <c r="T7" s="2"/>
      <c r="U7" s="9"/>
      <c r="W7" s="9"/>
      <c r="Y7">
        <f>K7*P7</f>
        <v>1625.7100199999998</v>
      </c>
    </row>
    <row r="8" spans="1:28" ht="15.75" customHeight="1" x14ac:dyDescent="0.2">
      <c r="A8" t="s">
        <v>11</v>
      </c>
      <c r="B8" s="7">
        <v>45441</v>
      </c>
      <c r="C8" s="8">
        <v>0.625</v>
      </c>
      <c r="D8" s="6" t="s">
        <v>12</v>
      </c>
      <c r="E8" s="6" t="s">
        <v>18</v>
      </c>
      <c r="F8" s="1">
        <f t="shared" si="0"/>
        <v>45441.625</v>
      </c>
      <c r="G8" s="2">
        <f t="shared" si="1"/>
        <v>14.979166666664241</v>
      </c>
      <c r="H8" s="6">
        <v>100</v>
      </c>
      <c r="I8" s="6">
        <v>24.72</v>
      </c>
      <c r="J8" s="6">
        <v>3.4</v>
      </c>
      <c r="K8">
        <f t="shared" si="3"/>
        <v>8.4047999999999981</v>
      </c>
      <c r="L8">
        <v>13.3</v>
      </c>
      <c r="M8">
        <v>73.540000000000006</v>
      </c>
      <c r="N8">
        <f>N7+M8</f>
        <v>227.46000000000004</v>
      </c>
      <c r="O8" s="11">
        <v>7.0699999999999999E-2</v>
      </c>
      <c r="P8" s="12">
        <v>220</v>
      </c>
      <c r="Q8" s="2">
        <f>K8*O8*P8</f>
        <v>130.72825919999997</v>
      </c>
      <c r="R8" s="13">
        <v>8.5999999999999993E-2</v>
      </c>
      <c r="S8" s="2">
        <v>6.05</v>
      </c>
      <c r="T8" s="2">
        <f>S8/1000*220+Q8</f>
        <v>132.05925919999996</v>
      </c>
      <c r="U8" s="9">
        <f>T8/N7</f>
        <v>0.85797335758835724</v>
      </c>
      <c r="V8" s="9">
        <f>R8*220/1000/N7</f>
        <v>1.2292099792099789E-4</v>
      </c>
      <c r="W8" s="9">
        <f>Q8/N7</f>
        <v>0.84932600831600802</v>
      </c>
      <c r="X8" s="14">
        <f>1-V8-W8</f>
        <v>0.15055107068607099</v>
      </c>
      <c r="Y8">
        <f t="shared" si="2"/>
        <v>1849.0559999999996</v>
      </c>
      <c r="Z8">
        <v>0.51580000000000004</v>
      </c>
      <c r="AA8">
        <f>Z8*Y8</f>
        <v>953.74308479999991</v>
      </c>
    </row>
    <row r="9" spans="1:28" ht="15.75" customHeight="1" x14ac:dyDescent="0.2">
      <c r="A9" t="s">
        <v>11</v>
      </c>
      <c r="B9" s="7">
        <v>45443</v>
      </c>
      <c r="C9" s="8">
        <v>0.41666666666666669</v>
      </c>
      <c r="D9" s="6" t="s">
        <v>20</v>
      </c>
      <c r="E9" s="6" t="s">
        <v>22</v>
      </c>
      <c r="F9" s="1">
        <f t="shared" si="0"/>
        <v>45443.416666666664</v>
      </c>
      <c r="G9" s="2">
        <f t="shared" si="1"/>
        <v>16.770833333328483</v>
      </c>
      <c r="H9" s="6">
        <v>50</v>
      </c>
      <c r="I9" s="6">
        <v>21.21</v>
      </c>
      <c r="J9" s="6">
        <v>2.76</v>
      </c>
      <c r="K9">
        <f t="shared" si="3"/>
        <v>11.707919999999998</v>
      </c>
      <c r="L9">
        <v>19.3</v>
      </c>
      <c r="M9" s="10">
        <v>102.61</v>
      </c>
      <c r="N9">
        <f>N8+M9</f>
        <v>330.07000000000005</v>
      </c>
      <c r="O9" s="11">
        <v>8.4199999999999997E-2</v>
      </c>
      <c r="P9" s="12">
        <v>220</v>
      </c>
      <c r="Q9" s="2">
        <f t="shared" ref="Q9:Q12" si="4">K9*O9*P9</f>
        <v>216.87751007999995</v>
      </c>
      <c r="R9" s="13">
        <v>127</v>
      </c>
      <c r="S9" s="13">
        <v>132.15</v>
      </c>
      <c r="T9" s="2">
        <f>S9/1000*220+Q9</f>
        <v>245.95051007999996</v>
      </c>
      <c r="U9" s="9">
        <f>T9/N8</f>
        <v>1.0812912603534683</v>
      </c>
      <c r="V9" s="9">
        <f t="shared" ref="V9:V12" si="5">R9*220/1000/N8</f>
        <v>0.12283478413787038</v>
      </c>
      <c r="W9" s="9">
        <f t="shared" ref="W9:W12" si="6">Q9/N8</f>
        <v>0.95347538063835358</v>
      </c>
      <c r="X9" s="14">
        <f t="shared" ref="X9:X12" si="7">1-V9-W9</f>
        <v>-7.6310164776223988E-2</v>
      </c>
      <c r="Y9">
        <f t="shared" si="2"/>
        <v>2575.7423999999996</v>
      </c>
      <c r="Z9">
        <v>0.51139999999999997</v>
      </c>
      <c r="AA9">
        <f>Z9*Y9</f>
        <v>1317.2346633599998</v>
      </c>
      <c r="AB9">
        <f>AA9-AA8</f>
        <v>363.49157855999988</v>
      </c>
    </row>
    <row r="10" spans="1:28" ht="15.75" customHeight="1" x14ac:dyDescent="0.2">
      <c r="A10" t="s">
        <v>11</v>
      </c>
      <c r="B10" s="7">
        <v>45446</v>
      </c>
      <c r="C10" s="8">
        <v>0.45833333333333331</v>
      </c>
      <c r="D10" s="6" t="s">
        <v>20</v>
      </c>
      <c r="E10" s="6" t="s">
        <v>21</v>
      </c>
      <c r="F10" s="1">
        <f t="shared" si="0"/>
        <v>45446.458333333336</v>
      </c>
      <c r="G10" s="2">
        <f t="shared" si="1"/>
        <v>19.8125</v>
      </c>
      <c r="H10" s="6">
        <v>50</v>
      </c>
      <c r="I10" s="6">
        <v>24.321999999999999</v>
      </c>
      <c r="J10" s="6">
        <v>3.11</v>
      </c>
      <c r="K10">
        <f t="shared" si="3"/>
        <v>15.128284000000001</v>
      </c>
      <c r="N10">
        <f>N9</f>
        <v>330.07000000000005</v>
      </c>
      <c r="O10" s="11">
        <v>8.3799999999999999E-2</v>
      </c>
      <c r="P10" s="12">
        <v>220</v>
      </c>
      <c r="Q10" s="2">
        <f t="shared" si="4"/>
        <v>278.90504382400002</v>
      </c>
      <c r="R10" s="13">
        <v>567</v>
      </c>
      <c r="S10" s="2">
        <v>453.3</v>
      </c>
      <c r="T10" s="2">
        <f>S10/1000*220+Q10</f>
        <v>378.63104382400002</v>
      </c>
      <c r="U10" s="9">
        <f>T10/N9</f>
        <v>1.1471234702457054</v>
      </c>
      <c r="V10" s="9">
        <f t="shared" si="5"/>
        <v>0.37791983518647554</v>
      </c>
      <c r="W10" s="9">
        <f t="shared" si="6"/>
        <v>0.8449875596812797</v>
      </c>
      <c r="X10" s="14">
        <f t="shared" si="7"/>
        <v>-0.22290739486775524</v>
      </c>
      <c r="Y10">
        <f t="shared" si="2"/>
        <v>3328.2224800000004</v>
      </c>
    </row>
    <row r="11" spans="1:28" ht="15" customHeight="1" x14ac:dyDescent="0.2">
      <c r="A11" t="s">
        <v>11</v>
      </c>
      <c r="B11" s="7">
        <v>45448</v>
      </c>
      <c r="C11" s="8">
        <v>0.45833333333333331</v>
      </c>
      <c r="D11" s="6" t="s">
        <v>20</v>
      </c>
      <c r="E11" s="6" t="s">
        <v>21</v>
      </c>
      <c r="F11" s="1">
        <f t="shared" si="0"/>
        <v>45448.458333333336</v>
      </c>
      <c r="G11" s="2">
        <f t="shared" si="1"/>
        <v>21.8125</v>
      </c>
      <c r="H11" s="6">
        <v>50</v>
      </c>
      <c r="I11" s="6">
        <v>25.530999999999999</v>
      </c>
      <c r="J11" s="6">
        <v>3.02</v>
      </c>
      <c r="K11">
        <f t="shared" si="3"/>
        <v>15.420724</v>
      </c>
      <c r="L11" s="2"/>
      <c r="N11">
        <f>N10</f>
        <v>330.07000000000005</v>
      </c>
      <c r="O11" s="11">
        <v>8.2600000000000007E-2</v>
      </c>
      <c r="P11" s="12">
        <v>220</v>
      </c>
      <c r="Q11" s="2">
        <f t="shared" si="4"/>
        <v>280.22539652800003</v>
      </c>
      <c r="R11" s="13">
        <v>343</v>
      </c>
      <c r="S11" s="2">
        <v>315</v>
      </c>
      <c r="T11" s="2">
        <f>S11/1000*220+Q11</f>
        <v>349.52539652800004</v>
      </c>
      <c r="U11" s="9">
        <f>T11/N10</f>
        <v>1.058943243942194</v>
      </c>
      <c r="V11" s="9">
        <f t="shared" si="5"/>
        <v>0.22861817190292963</v>
      </c>
      <c r="W11" s="9">
        <f t="shared" si="6"/>
        <v>0.84898777994970764</v>
      </c>
      <c r="X11" s="14">
        <f t="shared" si="7"/>
        <v>-7.76059518526373E-2</v>
      </c>
      <c r="Y11">
        <f t="shared" si="2"/>
        <v>3392.5592799999999</v>
      </c>
    </row>
    <row r="12" spans="1:28" ht="15.75" customHeight="1" x14ac:dyDescent="0.2">
      <c r="A12" t="s">
        <v>11</v>
      </c>
      <c r="B12" s="7">
        <v>45450</v>
      </c>
      <c r="C12" s="8">
        <v>0.33333333333333331</v>
      </c>
      <c r="D12" s="6" t="s">
        <v>12</v>
      </c>
      <c r="E12" s="6" t="s">
        <v>23</v>
      </c>
      <c r="F12" s="1">
        <f t="shared" si="0"/>
        <v>45450.333333333336</v>
      </c>
      <c r="G12" s="2">
        <f t="shared" si="1"/>
        <v>23.6875</v>
      </c>
      <c r="H12" s="6">
        <v>50</v>
      </c>
      <c r="I12" s="6">
        <v>19.902000000000001</v>
      </c>
      <c r="J12" s="6">
        <v>3.61</v>
      </c>
      <c r="K12">
        <f t="shared" si="3"/>
        <v>14.369243999999998</v>
      </c>
      <c r="N12">
        <f>N11</f>
        <v>330.07000000000005</v>
      </c>
      <c r="O12" s="11">
        <v>8.3199999999999996E-2</v>
      </c>
      <c r="P12" s="12">
        <v>220</v>
      </c>
      <c r="Q12" s="2">
        <f t="shared" si="4"/>
        <v>263.01464217599994</v>
      </c>
      <c r="R12" s="13">
        <v>201.3</v>
      </c>
      <c r="S12" s="2">
        <v>196.65</v>
      </c>
      <c r="T12" s="2">
        <f>S12/1000*220+Q12</f>
        <v>306.27764217599997</v>
      </c>
      <c r="U12" s="9">
        <f>T12/N11</f>
        <v>0.92791723627109379</v>
      </c>
      <c r="V12" s="9">
        <f t="shared" si="5"/>
        <v>0.13417153937043655</v>
      </c>
      <c r="W12" s="9">
        <f t="shared" si="6"/>
        <v>0.7968450394643557</v>
      </c>
      <c r="X12" s="14">
        <f t="shared" si="7"/>
        <v>6.8983421165207726E-2</v>
      </c>
      <c r="Y12">
        <f t="shared" si="2"/>
        <v>3161.2336799999998</v>
      </c>
    </row>
    <row r="13" spans="1:28" ht="15.75" customHeight="1" x14ac:dyDescent="0.2">
      <c r="B13" s="7"/>
      <c r="C13" s="8"/>
      <c r="D13" s="6"/>
      <c r="E13" s="6" t="s">
        <v>25</v>
      </c>
      <c r="F13" s="1"/>
      <c r="G13" s="2"/>
      <c r="H13" s="6">
        <v>100</v>
      </c>
      <c r="I13" s="6">
        <v>18.5</v>
      </c>
      <c r="J13" s="6">
        <v>0.82</v>
      </c>
      <c r="K13">
        <f t="shared" si="3"/>
        <v>1.5169999999999999</v>
      </c>
      <c r="O13" s="11"/>
      <c r="P13" s="12"/>
      <c r="Q13" s="2"/>
      <c r="R13" s="13"/>
      <c r="S13" s="2"/>
      <c r="T13" s="2"/>
      <c r="U13" s="9"/>
      <c r="W13" s="9"/>
    </row>
    <row r="14" spans="1:28" ht="15.75" customHeight="1" x14ac:dyDescent="0.2">
      <c r="B14" s="7"/>
      <c r="C14" s="8"/>
      <c r="D14" s="6"/>
      <c r="E14" s="6" t="s">
        <v>26</v>
      </c>
      <c r="F14" s="1"/>
      <c r="G14" s="2"/>
      <c r="H14" s="6"/>
      <c r="I14" s="6"/>
      <c r="J14" s="6"/>
      <c r="K14">
        <v>275.3</v>
      </c>
      <c r="O14" s="11">
        <v>8.2650000000000001E-2</v>
      </c>
      <c r="P14" s="12"/>
      <c r="Q14" s="2"/>
      <c r="R14" s="13"/>
      <c r="S14" s="2"/>
      <c r="W14" s="9"/>
      <c r="X14" s="14"/>
    </row>
    <row r="15" spans="1:28" ht="15.75" customHeight="1" x14ac:dyDescent="0.2">
      <c r="P15" s="2"/>
      <c r="Q15" s="2"/>
      <c r="R15" s="2"/>
      <c r="S15" s="2"/>
      <c r="T15" s="2"/>
    </row>
    <row r="16" spans="1:28" ht="15.75" customHeight="1" x14ac:dyDescent="0.2">
      <c r="P16" s="2"/>
      <c r="Q16" s="2"/>
      <c r="R16" s="2"/>
      <c r="S16" s="2"/>
      <c r="T16" s="15" t="s">
        <v>35</v>
      </c>
      <c r="U16" s="16">
        <f>AVERAGE(U8:U12)</f>
        <v>1.0146497136801638</v>
      </c>
    </row>
    <row r="17" spans="16:21" ht="15.75" customHeight="1" x14ac:dyDescent="0.2">
      <c r="P17" s="2"/>
      <c r="Q17" s="2"/>
      <c r="R17" s="2"/>
      <c r="S17" s="2"/>
      <c r="T17" s="2" t="s">
        <v>39</v>
      </c>
      <c r="U17" s="16">
        <f>STDEV(U8:U12)/SQRT(COUNT(U8:U12))</f>
        <v>5.2925566572494254E-2</v>
      </c>
    </row>
    <row r="18" spans="16:21" ht="15.75" customHeight="1" x14ac:dyDescent="0.2">
      <c r="P18" s="2"/>
      <c r="Q18" s="2"/>
      <c r="R18" s="2"/>
      <c r="S18" s="2"/>
      <c r="T18" s="2"/>
    </row>
    <row r="19" spans="16:21" ht="15.75" customHeight="1" x14ac:dyDescent="0.2">
      <c r="P19" s="2"/>
      <c r="Q19" s="2"/>
      <c r="R19" s="2"/>
      <c r="S19" s="2"/>
      <c r="T19" s="2"/>
    </row>
    <row r="20" spans="16:21" ht="15.75" customHeight="1" x14ac:dyDescent="0.2">
      <c r="P20" s="2"/>
      <c r="Q20" s="2"/>
      <c r="R20" s="2"/>
      <c r="S20" s="2"/>
      <c r="T20" s="2"/>
    </row>
    <row r="21" spans="16:21" ht="15.75" customHeight="1" x14ac:dyDescent="0.2">
      <c r="P21" s="2"/>
      <c r="Q21" s="2"/>
      <c r="R21" s="2"/>
      <c r="S21" s="2"/>
      <c r="T21" s="2"/>
    </row>
    <row r="22" spans="16:21" ht="15.75" customHeight="1" x14ac:dyDescent="0.2">
      <c r="P22" s="2"/>
      <c r="Q22" s="2"/>
      <c r="R22" s="2"/>
      <c r="S22" s="2"/>
      <c r="T22" s="2"/>
    </row>
    <row r="23" spans="16:21" ht="15.75" customHeight="1" x14ac:dyDescent="0.2">
      <c r="P23" s="2"/>
      <c r="Q23" s="2"/>
      <c r="R23" s="2"/>
      <c r="S23" s="2"/>
      <c r="T23" s="2"/>
    </row>
    <row r="24" spans="16:21" ht="15.75" customHeight="1" x14ac:dyDescent="0.2">
      <c r="P24" s="2"/>
      <c r="Q24" s="2"/>
      <c r="R24" s="2"/>
      <c r="S24" s="2"/>
      <c r="T24" s="2"/>
    </row>
    <row r="25" spans="16:21" ht="15.75" customHeight="1" x14ac:dyDescent="0.2">
      <c r="P25" s="2"/>
      <c r="Q25" s="2"/>
      <c r="R25" s="2"/>
      <c r="S25" s="2"/>
      <c r="T25" s="2"/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9cc249-ff44-44bd-9245-9acaabead0fc">
      <Terms xmlns="http://schemas.microsoft.com/office/infopath/2007/PartnerControls"/>
    </lcf76f155ced4ddcb4097134ff3c332f>
    <TaxCatchAll xmlns="68628b2f-7e15-4bb9-b45d-9b408bd3f43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F5472B98498441B4A1BAC358ABA960" ma:contentTypeVersion="17" ma:contentTypeDescription="Create a new document." ma:contentTypeScope="" ma:versionID="c5c6942076dafa28a472519dde4cde90">
  <xsd:schema xmlns:xsd="http://www.w3.org/2001/XMLSchema" xmlns:xs="http://www.w3.org/2001/XMLSchema" xmlns:p="http://schemas.microsoft.com/office/2006/metadata/properties" xmlns:ns2="669cc249-ff44-44bd-9245-9acaabead0fc" xmlns:ns3="68628b2f-7e15-4bb9-b45d-9b408bd3f434" xmlns:ns4="a93a847e-07ec-43eb-a88c-b18616081de6" targetNamespace="http://schemas.microsoft.com/office/2006/metadata/properties" ma:root="true" ma:fieldsID="e3631b6a4c924a12b86ef256018ca725" ns2:_="" ns3:_="" ns4:_="">
    <xsd:import namespace="669cc249-ff44-44bd-9245-9acaabead0fc"/>
    <xsd:import namespace="68628b2f-7e15-4bb9-b45d-9b408bd3f434"/>
    <xsd:import namespace="a93a847e-07ec-43eb-a88c-b18616081d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cc249-ff44-44bd-9245-9acaabead0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28b2f-7e15-4bb9-b45d-9b408bd3f43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b3fef38-8b2c-4616-b252-96f984329c4a}" ma:internalName="TaxCatchAll" ma:showField="CatchAllData" ma:web="a93a847e-07ec-43eb-a88c-b18616081d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a847e-07ec-43eb-a88c-b18616081d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64144E-3C8A-4C20-832A-4B1A2A083348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b43ade5e-c30f-4a68-ad86-cc220bb32f9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BE17A34-9D2C-47AF-A811-FD8FE44065F8}"/>
</file>

<file path=customXml/itemProps3.xml><?xml version="1.0" encoding="utf-8"?>
<ds:datastoreItem xmlns:ds="http://schemas.openxmlformats.org/officeDocument/2006/customXml" ds:itemID="{6BD22675-0944-493D-8B5B-BFB796B86D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Refardt Dominik (refa)</dc:creator>
  <cp:keywords/>
  <dc:description/>
  <cp:lastModifiedBy>Refardt Dominik (refa)</cp:lastModifiedBy>
  <cp:revision/>
  <dcterms:created xsi:type="dcterms:W3CDTF">2024-04-23T14:34:35Z</dcterms:created>
  <dcterms:modified xsi:type="dcterms:W3CDTF">2025-01-27T10:48:09Z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2024-04-23T14:39:20Z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1910c4c7-4902-4ecf-a28d-12738de80387</vt:lpwstr>
  </property>
  <property fmtid="{D5CDD505-2E9C-101B-9397-08002B2CF9AE}" pid="8" name="MSIP_Label_10d9bad3-6dac-4e9a-89a3-89f3b8d247b2_ContentBits">
    <vt:lpwstr>0</vt:lpwstr>
  </property>
  <property fmtid="{D5CDD505-2E9C-101B-9397-08002B2CF9AE}" pid="9" name="ContentTypeId">
    <vt:lpwstr>0x0101000DF5472B98498441B4A1BAC358ABA960</vt:lpwstr>
  </property>
  <property fmtid="{D5CDD505-2E9C-101B-9397-08002B2CF9AE}" pid="10" name="Order">
    <vt:r8>213000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  <property fmtid="{D5CDD505-2E9C-101B-9397-08002B2CF9AE}" pid="17" name="_ExtendedDescription">
    <vt:lpwstr/>
  </property>
  <property fmtid="{D5CDD505-2E9C-101B-9397-08002B2CF9AE}" pid="18" name="TriggerFlowInfo">
    <vt:lpwstr/>
  </property>
  <property fmtid="{D5CDD505-2E9C-101B-9397-08002B2CF9AE}" pid="19" name="MediaServiceImageTags">
    <vt:lpwstr/>
  </property>
</Properties>
</file>