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egz\switchdrive\regz_shared\EEE\p3_20250306\"/>
    </mc:Choice>
  </mc:AlternateContent>
  <xr:revisionPtr revIDLastSave="0" documentId="13_ncr:1_{A950ECEC-ED90-4592-92F4-636DA9E0E536}" xr6:coauthVersionLast="47" xr6:coauthVersionMax="47" xr10:uidLastSave="{00000000-0000-0000-0000-000000000000}"/>
  <bookViews>
    <workbookView xWindow="-67320" yWindow="9975" windowWidth="29040" windowHeight="15720" activeTab="1" xr2:uid="{F9BC2E41-9DE3-4141-91CE-B8011F384D6A}"/>
  </bookViews>
  <sheets>
    <sheet name="Dryweight_CHN" sheetId="1" r:id="rId1"/>
    <sheet name="CHN" sheetId="8" r:id="rId2"/>
    <sheet name="NH4" sheetId="3" r:id="rId3"/>
    <sheet name="Ntotal" sheetId="6" r:id="rId4"/>
    <sheet name="FinalResult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9" i="7"/>
  <c r="F23" i="6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D14" i="1"/>
  <c r="D13" i="1"/>
  <c r="D12" i="1"/>
  <c r="D11" i="1"/>
  <c r="D10" i="1"/>
  <c r="D9" i="1"/>
  <c r="D8" i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D7" i="1"/>
  <c r="D5" i="1"/>
  <c r="D6" i="1"/>
  <c r="D4" i="1"/>
  <c r="D3" i="1"/>
  <c r="D2" i="1"/>
  <c r="F11" i="6"/>
  <c r="E11" i="7" s="1"/>
  <c r="E23" i="7"/>
  <c r="F22" i="6"/>
  <c r="E22" i="7" s="1"/>
  <c r="F21" i="6"/>
  <c r="E21" i="7" s="1"/>
  <c r="F20" i="6"/>
  <c r="E20" i="7" s="1"/>
  <c r="F19" i="6"/>
  <c r="E19" i="7" s="1"/>
  <c r="F18" i="6"/>
  <c r="E18" i="7" s="1"/>
  <c r="F17" i="6"/>
  <c r="E17" i="7" s="1"/>
  <c r="F16" i="6"/>
  <c r="E16" i="7" s="1"/>
  <c r="F15" i="6"/>
  <c r="E15" i="7" s="1"/>
  <c r="F14" i="6"/>
  <c r="E14" i="7" s="1"/>
  <c r="F13" i="6"/>
  <c r="E13" i="7" s="1"/>
  <c r="F12" i="6"/>
  <c r="E12" i="7" s="1"/>
  <c r="F10" i="6"/>
  <c r="E10" i="7" s="1"/>
  <c r="F9" i="6"/>
  <c r="E9" i="7" s="1"/>
  <c r="F8" i="6"/>
  <c r="E8" i="7" s="1"/>
  <c r="F7" i="6"/>
  <c r="E7" i="7" s="1"/>
  <c r="F6" i="6"/>
  <c r="E6" i="7" s="1"/>
  <c r="F5" i="6"/>
  <c r="E5" i="7" s="1"/>
  <c r="F4" i="6"/>
  <c r="E4" i="7" s="1"/>
  <c r="F3" i="6"/>
  <c r="E3" i="7" s="1"/>
  <c r="E2" i="7"/>
  <c r="H2" i="3"/>
  <c r="H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4" i="3"/>
  <c r="F4" i="3"/>
  <c r="D4" i="7" s="1"/>
  <c r="F4" i="7" l="1"/>
  <c r="F23" i="3"/>
  <c r="D23" i="7" s="1"/>
  <c r="F23" i="7" s="1"/>
  <c r="F3" i="3"/>
  <c r="D3" i="7" s="1"/>
  <c r="F3" i="7" s="1"/>
  <c r="F5" i="3"/>
  <c r="D5" i="7" s="1"/>
  <c r="F5" i="7" s="1"/>
  <c r="F6" i="3"/>
  <c r="D6" i="7" s="1"/>
  <c r="F6" i="7" s="1"/>
  <c r="F7" i="3"/>
  <c r="D7" i="7" s="1"/>
  <c r="F7" i="7" s="1"/>
  <c r="F8" i="3"/>
  <c r="D8" i="7" s="1"/>
  <c r="F8" i="7" s="1"/>
  <c r="F9" i="3"/>
  <c r="D9" i="7" s="1"/>
  <c r="F10" i="3"/>
  <c r="D10" i="7" s="1"/>
  <c r="F10" i="7" s="1"/>
  <c r="F11" i="3"/>
  <c r="D11" i="7" s="1"/>
  <c r="F11" i="7" s="1"/>
  <c r="F12" i="3"/>
  <c r="D12" i="7" s="1"/>
  <c r="F12" i="7" s="1"/>
  <c r="F13" i="3"/>
  <c r="D13" i="7" s="1"/>
  <c r="F13" i="7" s="1"/>
  <c r="F14" i="3"/>
  <c r="D14" i="7" s="1"/>
  <c r="F14" i="7" s="1"/>
  <c r="F15" i="3"/>
  <c r="D15" i="7" s="1"/>
  <c r="F15" i="7" s="1"/>
  <c r="F16" i="3"/>
  <c r="D16" i="7" s="1"/>
  <c r="F16" i="7" s="1"/>
  <c r="F17" i="3"/>
  <c r="D17" i="7" s="1"/>
  <c r="F17" i="7" s="1"/>
  <c r="F18" i="3"/>
  <c r="D18" i="7" s="1"/>
  <c r="F18" i="7" s="1"/>
  <c r="F19" i="3"/>
  <c r="D19" i="7" s="1"/>
  <c r="F19" i="7" s="1"/>
  <c r="F20" i="3"/>
  <c r="D20" i="7" s="1"/>
  <c r="F20" i="7" s="1"/>
  <c r="F21" i="3"/>
  <c r="D21" i="7" s="1"/>
  <c r="F21" i="7" s="1"/>
  <c r="F22" i="3"/>
  <c r="D22" i="7" s="1"/>
  <c r="F22" i="7" s="1"/>
  <c r="F2" i="3"/>
  <c r="F2" i="7" s="1"/>
</calcChain>
</file>

<file path=xl/sharedStrings.xml><?xml version="1.0" encoding="utf-8"?>
<sst xmlns="http://schemas.openxmlformats.org/spreadsheetml/2006/main" count="189" uniqueCount="67">
  <si>
    <t>Experiment</t>
  </si>
  <si>
    <t>Date</t>
  </si>
  <si>
    <t>Code</t>
  </si>
  <si>
    <t>Weight Wet (g)</t>
  </si>
  <si>
    <t>Weight Dry (g)</t>
  </si>
  <si>
    <t>%</t>
  </si>
  <si>
    <t>Weight Alu (g)</t>
  </si>
  <si>
    <t>Viridiella</t>
  </si>
  <si>
    <t>A</t>
  </si>
  <si>
    <t>B</t>
  </si>
  <si>
    <t>C</t>
  </si>
  <si>
    <t>D</t>
  </si>
  <si>
    <t>E</t>
  </si>
  <si>
    <t>Viridiella (zentrifugiert)</t>
  </si>
  <si>
    <t>F</t>
  </si>
  <si>
    <t>Chlamydomonas</t>
  </si>
  <si>
    <t>Chlamydomonas (zentrifugiert)</t>
  </si>
  <si>
    <t xml:space="preserve">Nr. </t>
  </si>
  <si>
    <t>Gewicht  [mg]</t>
  </si>
  <si>
    <t xml:space="preserve">Name  </t>
  </si>
  <si>
    <t xml:space="preserve">Methode  </t>
  </si>
  <si>
    <t>N  Fl‰che</t>
  </si>
  <si>
    <t>C  Fl‰che</t>
  </si>
  <si>
    <t>H  Fl‰che</t>
  </si>
  <si>
    <t>N  [%]</t>
  </si>
  <si>
    <t>C  [%]</t>
  </si>
  <si>
    <t>H  [%]</t>
  </si>
  <si>
    <t>N  Faktor</t>
  </si>
  <si>
    <t>C  Faktor</t>
  </si>
  <si>
    <t>H  Faktor</t>
  </si>
  <si>
    <t>N  Blind</t>
  </si>
  <si>
    <t>C  Blind</t>
  </si>
  <si>
    <t>H  Blind</t>
  </si>
  <si>
    <t xml:space="preserve">Memo  </t>
  </si>
  <si>
    <t xml:space="preserve">Info  </t>
  </si>
  <si>
    <t xml:space="preserve">Datum       Zeit  </t>
  </si>
  <si>
    <t>10mg120s</t>
  </si>
  <si>
    <t>Verdünnung</t>
  </si>
  <si>
    <t>NH4+-N (mg/L)</t>
  </si>
  <si>
    <t>in Probe NH4+-N (mg/L)</t>
  </si>
  <si>
    <t>NH4+ (mg/L)</t>
  </si>
  <si>
    <t>in Probe NH4+ (mg/L)</t>
  </si>
  <si>
    <t>A(1)</t>
  </si>
  <si>
    <t>A(2)</t>
  </si>
  <si>
    <t>B(1)</t>
  </si>
  <si>
    <t>B(2)</t>
  </si>
  <si>
    <t>C(1)</t>
  </si>
  <si>
    <t>C(2)</t>
  </si>
  <si>
    <t>D(1)</t>
  </si>
  <si>
    <t>D(2)</t>
  </si>
  <si>
    <t>E(1)</t>
  </si>
  <si>
    <t>E(2)</t>
  </si>
  <si>
    <t>1(1)</t>
  </si>
  <si>
    <t>1(2)</t>
  </si>
  <si>
    <t>2(1)</t>
  </si>
  <si>
    <t>2(2)</t>
  </si>
  <si>
    <t>3(1)</t>
  </si>
  <si>
    <t>3(2)</t>
  </si>
  <si>
    <t>4(1)</t>
  </si>
  <si>
    <t>4(2)</t>
  </si>
  <si>
    <t>5(1)</t>
  </si>
  <si>
    <t>5(2)</t>
  </si>
  <si>
    <t>6(1)</t>
  </si>
  <si>
    <t>6(2)</t>
  </si>
  <si>
    <t>Ntot (mg/L)</t>
  </si>
  <si>
    <t>in Probe Ntot (mg/L)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</si>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</sst>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22" fontId="0" fillId="0" borderId="0" xfId="0" applyNumberFormat="1"/>
    <xf numFmtId="14" fontId="0" fillId="0" borderId="0" xfId="0" applyNumberFormat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right"/>
    </xf>
    <xf numFmtId="0" fontId="0" fillId="3" borderId="0" xfId="0" applyFill="1"/>
    <xf numFmtId="14" fontId="0" fillId="3" borderId="0" xfId="0" applyNumberFormat="1" applyFill="1"/>
    <xf numFmtId="0" fontId="0" fillId="3" borderId="1" xfId="0" applyFill="1" applyBorder="1" applyAlignment="1">
      <alignment horizontal="right"/>
    </xf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right"/>
    </xf>
    <xf numFmtId="0" fontId="0" fillId="3" borderId="2" xfId="0" applyFill="1" applyBorder="1"/>
    <xf numFmtId="14" fontId="0" fillId="3" borderId="2" xfId="0" applyNumberFormat="1" applyFill="1" applyBorder="1"/>
    <xf numFmtId="0" fontId="0" fillId="3" borderId="2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0" xfId="0" applyFill="1"/>
    <xf numFmtId="2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97B5-1DF2-6F4C-B5C4-B5BE33313292}">
  <dimension ref="A1:H14"/>
  <sheetViews>
    <sheetView zoomScale="148" zoomScaleNormal="148" workbookViewId="0">
      <selection activeCell="H15" sqref="H15"/>
    </sheetView>
  </sheetViews>
  <sheetFormatPr baseColWidth="10" defaultColWidth="11" defaultRowHeight="15.6" x14ac:dyDescent="0.6"/>
  <cols>
    <col min="1" max="1" width="26.34765625" customWidth="1"/>
    <col min="4" max="4" width="15.59765625" customWidth="1"/>
    <col min="5" max="5" width="20.09765625" customWidth="1"/>
    <col min="8" max="8" width="14.59765625" customWidth="1"/>
  </cols>
  <sheetData>
    <row r="1" spans="1:8" x14ac:dyDescent="0.6">
      <c r="A1" s="24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H1" s="24" t="s">
        <v>6</v>
      </c>
    </row>
    <row r="2" spans="1:8" x14ac:dyDescent="0.6">
      <c r="A2" t="s">
        <v>7</v>
      </c>
      <c r="B2" s="5">
        <v>45441</v>
      </c>
      <c r="C2" s="1" t="s">
        <v>8</v>
      </c>
      <c r="D2" s="1">
        <f>10.09-$H$2</f>
        <v>7.49</v>
      </c>
      <c r="E2" s="1">
        <f>4.3-$H$2</f>
        <v>1.6999999999999997</v>
      </c>
      <c r="F2" s="29">
        <f>(E2/D2)*100</f>
        <v>22.696929238985309</v>
      </c>
      <c r="H2" s="6">
        <v>2.6</v>
      </c>
    </row>
    <row r="3" spans="1:8" x14ac:dyDescent="0.6">
      <c r="A3" t="s">
        <v>7</v>
      </c>
      <c r="B3" s="5">
        <v>45443</v>
      </c>
      <c r="C3" s="1" t="s">
        <v>9</v>
      </c>
      <c r="D3" s="1">
        <f>9.85-$H$2</f>
        <v>7.25</v>
      </c>
      <c r="E3" s="1">
        <f>4.41-$H$2</f>
        <v>1.81</v>
      </c>
      <c r="F3" s="29">
        <f t="shared" ref="F3:F7" si="0">(E3/D3)*100</f>
        <v>24.965517241379313</v>
      </c>
    </row>
    <row r="4" spans="1:8" x14ac:dyDescent="0.6">
      <c r="A4" t="s">
        <v>7</v>
      </c>
      <c r="B4" s="5">
        <v>45446</v>
      </c>
      <c r="C4" s="1" t="s">
        <v>10</v>
      </c>
      <c r="D4" s="1">
        <f>10.31-$H$2</f>
        <v>7.7100000000000009</v>
      </c>
      <c r="E4" s="1">
        <f>4.53-$H$2</f>
        <v>1.9300000000000002</v>
      </c>
      <c r="F4" s="29">
        <f t="shared" si="0"/>
        <v>25.03242542153048</v>
      </c>
    </row>
    <row r="5" spans="1:8" x14ac:dyDescent="0.6">
      <c r="A5" t="s">
        <v>7</v>
      </c>
      <c r="B5" s="5">
        <v>45448</v>
      </c>
      <c r="C5" s="1" t="s">
        <v>11</v>
      </c>
      <c r="D5" s="1">
        <f>12.88-$H$2</f>
        <v>10.280000000000001</v>
      </c>
      <c r="E5" s="1">
        <f>5.11-$H$2</f>
        <v>2.5100000000000002</v>
      </c>
      <c r="F5" s="29">
        <f t="shared" si="0"/>
        <v>24.41634241245136</v>
      </c>
    </row>
    <row r="6" spans="1:8" x14ac:dyDescent="0.6">
      <c r="A6" t="s">
        <v>7</v>
      </c>
      <c r="B6" s="5">
        <v>45450</v>
      </c>
      <c r="C6" s="1" t="s">
        <v>12</v>
      </c>
      <c r="D6" s="1">
        <f>10.27-$H$2</f>
        <v>7.67</v>
      </c>
      <c r="E6" s="1">
        <f>4.5-$H$2</f>
        <v>1.9</v>
      </c>
      <c r="F6" s="29">
        <f t="shared" si="0"/>
        <v>24.771838331160364</v>
      </c>
    </row>
    <row r="7" spans="1:8" ht="15.9" thickBot="1" x14ac:dyDescent="0.65">
      <c r="A7" t="s">
        <v>13</v>
      </c>
      <c r="B7" s="5">
        <v>45450</v>
      </c>
      <c r="C7" s="1" t="s">
        <v>14</v>
      </c>
      <c r="D7" s="1">
        <f>12.47-$H$2</f>
        <v>9.870000000000001</v>
      </c>
      <c r="E7" s="1">
        <f>5.25-$H$2</f>
        <v>2.65</v>
      </c>
      <c r="F7" s="29">
        <f t="shared" si="0"/>
        <v>26.849037487335359</v>
      </c>
    </row>
    <row r="8" spans="1:8" ht="15.9" thickTop="1" x14ac:dyDescent="0.6">
      <c r="A8" s="26" t="s">
        <v>15</v>
      </c>
      <c r="B8" s="27">
        <v>45455</v>
      </c>
      <c r="C8" s="28">
        <v>1</v>
      </c>
      <c r="D8" s="28">
        <f>4.4-$H$2</f>
        <v>1.8000000000000003</v>
      </c>
      <c r="E8" s="28">
        <f>2.96-$H$2</f>
        <v>0.35999999999999988</v>
      </c>
      <c r="F8" s="18">
        <f>(E8/D8)*100</f>
        <v>19.999999999999989</v>
      </c>
    </row>
    <row r="9" spans="1:8" x14ac:dyDescent="0.6">
      <c r="A9" t="s">
        <v>15</v>
      </c>
      <c r="B9" s="5">
        <v>45457</v>
      </c>
      <c r="C9" s="1">
        <v>2</v>
      </c>
      <c r="D9" s="1">
        <f>4.74-$H$2</f>
        <v>2.14</v>
      </c>
      <c r="E9" s="1">
        <f>3.03-$H$2</f>
        <v>0.42999999999999972</v>
      </c>
      <c r="F9" s="29">
        <f>(E9/D9)*100</f>
        <v>20.09345794392522</v>
      </c>
    </row>
    <row r="10" spans="1:8" x14ac:dyDescent="0.6">
      <c r="A10" t="s">
        <v>15</v>
      </c>
      <c r="B10" s="5">
        <v>45460</v>
      </c>
      <c r="C10" s="1">
        <v>3</v>
      </c>
      <c r="D10" s="1">
        <f>5.41-$H$2</f>
        <v>2.81</v>
      </c>
      <c r="E10" s="1">
        <f>3.2-$H$2</f>
        <v>0.60000000000000009</v>
      </c>
      <c r="F10" s="29">
        <f t="shared" ref="F10:F14" si="1">(E10/D10)*100</f>
        <v>21.352313167259791</v>
      </c>
    </row>
    <row r="11" spans="1:8" x14ac:dyDescent="0.6">
      <c r="A11" t="s">
        <v>15</v>
      </c>
      <c r="B11" s="5">
        <v>45462</v>
      </c>
      <c r="C11" s="1">
        <v>4</v>
      </c>
      <c r="D11" s="1">
        <f>4.97-$H$2</f>
        <v>2.3699999999999997</v>
      </c>
      <c r="E11" s="1">
        <f>3.06-$H$2</f>
        <v>0.45999999999999996</v>
      </c>
      <c r="F11" s="29">
        <f t="shared" si="1"/>
        <v>19.409282700421944</v>
      </c>
    </row>
    <row r="12" spans="1:8" x14ac:dyDescent="0.6">
      <c r="A12" t="s">
        <v>15</v>
      </c>
      <c r="B12" s="5">
        <v>45467</v>
      </c>
      <c r="C12" s="1">
        <v>5</v>
      </c>
      <c r="D12" s="1">
        <f>4.88-$H$2</f>
        <v>2.2799999999999998</v>
      </c>
      <c r="E12" s="1">
        <f>3.04-$H$2</f>
        <v>0.43999999999999995</v>
      </c>
      <c r="F12" s="29">
        <f t="shared" si="1"/>
        <v>19.298245614035086</v>
      </c>
    </row>
    <row r="13" spans="1:8" x14ac:dyDescent="0.6">
      <c r="A13" t="s">
        <v>15</v>
      </c>
      <c r="B13" s="5">
        <v>45475</v>
      </c>
      <c r="C13" s="1">
        <v>6</v>
      </c>
      <c r="D13" s="1">
        <f>6.08-$H$2</f>
        <v>3.48</v>
      </c>
      <c r="E13" s="1">
        <f>3.17-$H$2</f>
        <v>0.56999999999999984</v>
      </c>
      <c r="F13" s="29">
        <f t="shared" si="1"/>
        <v>16.379310344827584</v>
      </c>
    </row>
    <row r="14" spans="1:8" x14ac:dyDescent="0.6">
      <c r="A14" t="s">
        <v>16</v>
      </c>
      <c r="B14" s="5">
        <v>45476</v>
      </c>
      <c r="C14" s="1">
        <v>6</v>
      </c>
      <c r="D14" s="1">
        <f>9.66-$H$2</f>
        <v>7.0600000000000005</v>
      </c>
      <c r="E14" s="1">
        <f>4.06-$H$2</f>
        <v>1.4599999999999995</v>
      </c>
      <c r="F14" s="29">
        <f t="shared" si="1"/>
        <v>20.6798866855524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28D7-CC19-C646-8E14-359A74820733}">
  <dimension ref="A1:S13"/>
  <sheetViews>
    <sheetView tabSelected="1" zoomScale="121" zoomScaleNormal="121" workbookViewId="0">
      <selection activeCell="C1" sqref="C1"/>
    </sheetView>
  </sheetViews>
  <sheetFormatPr baseColWidth="10" defaultColWidth="11" defaultRowHeight="15.6" x14ac:dyDescent="0.6"/>
  <cols>
    <col min="19" max="19" width="24" customWidth="1"/>
  </cols>
  <sheetData>
    <row r="1" spans="1:19" x14ac:dyDescent="0.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s="6" t="s">
        <v>24</v>
      </c>
      <c r="I1" s="6" t="s">
        <v>25</v>
      </c>
      <c r="J1" s="6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 x14ac:dyDescent="0.6">
      <c r="A2">
        <v>76</v>
      </c>
      <c r="B2">
        <v>10.86</v>
      </c>
      <c r="C2" t="s">
        <v>8</v>
      </c>
      <c r="D2" t="s">
        <v>36</v>
      </c>
      <c r="E2">
        <v>27564</v>
      </c>
      <c r="F2">
        <v>141639</v>
      </c>
      <c r="G2">
        <v>70716</v>
      </c>
      <c r="H2" s="7">
        <v>7.07</v>
      </c>
      <c r="I2" s="7">
        <v>51.56</v>
      </c>
      <c r="J2" s="7">
        <v>7.4109999999999996</v>
      </c>
      <c r="K2">
        <v>0.97170000000000001</v>
      </c>
      <c r="L2">
        <v>0.97560000000000002</v>
      </c>
      <c r="M2">
        <v>0.99160000000000004</v>
      </c>
      <c r="N2">
        <v>0</v>
      </c>
      <c r="O2">
        <v>0</v>
      </c>
      <c r="P2">
        <v>0</v>
      </c>
      <c r="S2" s="4">
        <v>45574.727442129632</v>
      </c>
    </row>
    <row r="3" spans="1:19" x14ac:dyDescent="0.6">
      <c r="A3">
        <v>77</v>
      </c>
      <c r="B3">
        <v>10.210000000000001</v>
      </c>
      <c r="C3" t="s">
        <v>8</v>
      </c>
      <c r="D3" t="s">
        <v>36</v>
      </c>
      <c r="E3">
        <v>25918</v>
      </c>
      <c r="F3">
        <v>133285</v>
      </c>
      <c r="G3">
        <v>66408</v>
      </c>
      <c r="H3" s="7">
        <v>7.07</v>
      </c>
      <c r="I3" s="7">
        <v>51.6</v>
      </c>
      <c r="J3" s="7">
        <v>7.4109999999999996</v>
      </c>
      <c r="K3">
        <v>0.97170000000000001</v>
      </c>
      <c r="L3">
        <v>0.97560000000000002</v>
      </c>
      <c r="M3">
        <v>0.99160000000000004</v>
      </c>
      <c r="N3">
        <v>0</v>
      </c>
      <c r="O3">
        <v>0</v>
      </c>
      <c r="P3">
        <v>0</v>
      </c>
      <c r="S3" s="4">
        <v>45574.734490740739</v>
      </c>
    </row>
    <row r="4" spans="1:19" s="2" customFormat="1" x14ac:dyDescent="0.6">
      <c r="A4" s="2">
        <v>78</v>
      </c>
      <c r="B4" s="2">
        <v>9.85</v>
      </c>
      <c r="C4" s="2" t="s">
        <v>9</v>
      </c>
      <c r="D4" s="2" t="s">
        <v>36</v>
      </c>
      <c r="E4" s="2">
        <v>29980</v>
      </c>
      <c r="F4" s="2">
        <v>127269</v>
      </c>
      <c r="G4" s="2">
        <v>64186</v>
      </c>
      <c r="H4" s="7">
        <v>8.4700000000000006</v>
      </c>
      <c r="I4" s="7">
        <v>51.06</v>
      </c>
      <c r="J4" s="7">
        <v>7.43</v>
      </c>
      <c r="K4" s="2">
        <v>0.97170000000000001</v>
      </c>
      <c r="L4" s="2">
        <v>0.97560000000000002</v>
      </c>
      <c r="M4" s="2">
        <v>0.99160000000000004</v>
      </c>
      <c r="N4" s="2">
        <v>0</v>
      </c>
      <c r="O4" s="2">
        <v>0</v>
      </c>
      <c r="P4" s="2">
        <v>0</v>
      </c>
      <c r="S4" s="35">
        <v>45574.741574074076</v>
      </c>
    </row>
    <row r="5" spans="1:19" s="2" customFormat="1" x14ac:dyDescent="0.6">
      <c r="A5" s="2">
        <v>79</v>
      </c>
      <c r="B5" s="2">
        <v>10.35</v>
      </c>
      <c r="C5" s="2" t="s">
        <v>9</v>
      </c>
      <c r="D5" s="2" t="s">
        <v>36</v>
      </c>
      <c r="E5" s="2">
        <v>31143</v>
      </c>
      <c r="F5" s="2">
        <v>134117</v>
      </c>
      <c r="G5" s="2">
        <v>67145</v>
      </c>
      <c r="H5" s="7">
        <v>8.3699999999999992</v>
      </c>
      <c r="I5" s="7">
        <v>51.22</v>
      </c>
      <c r="J5" s="7">
        <v>7.391</v>
      </c>
      <c r="K5" s="2">
        <v>0.97170000000000001</v>
      </c>
      <c r="L5" s="2">
        <v>0.97560000000000002</v>
      </c>
      <c r="M5" s="2">
        <v>0.99160000000000004</v>
      </c>
      <c r="N5" s="2">
        <v>0</v>
      </c>
      <c r="O5" s="2">
        <v>0</v>
      </c>
      <c r="P5" s="2">
        <v>0</v>
      </c>
      <c r="S5" s="35">
        <v>45574.748680555553</v>
      </c>
    </row>
    <row r="6" spans="1:19" x14ac:dyDescent="0.6">
      <c r="A6">
        <v>80</v>
      </c>
      <c r="B6">
        <v>9.9</v>
      </c>
      <c r="C6" t="s">
        <v>10</v>
      </c>
      <c r="D6" t="s">
        <v>36</v>
      </c>
      <c r="E6">
        <v>29783</v>
      </c>
      <c r="F6">
        <v>128312</v>
      </c>
      <c r="G6">
        <v>64660</v>
      </c>
      <c r="H6" s="7">
        <v>8.3699999999999992</v>
      </c>
      <c r="I6" s="7">
        <v>51.22</v>
      </c>
      <c r="J6" s="7">
        <v>7.4459999999999997</v>
      </c>
      <c r="K6">
        <v>0.97170000000000001</v>
      </c>
      <c r="L6">
        <v>0.97560000000000002</v>
      </c>
      <c r="M6">
        <v>0.99160000000000004</v>
      </c>
      <c r="N6">
        <v>0</v>
      </c>
      <c r="O6">
        <v>0</v>
      </c>
      <c r="P6">
        <v>0</v>
      </c>
      <c r="S6" s="4">
        <v>45574.755787037036</v>
      </c>
    </row>
    <row r="7" spans="1:19" x14ac:dyDescent="0.6">
      <c r="A7">
        <v>81</v>
      </c>
      <c r="B7">
        <v>10.59</v>
      </c>
      <c r="C7" t="s">
        <v>10</v>
      </c>
      <c r="D7" t="s">
        <v>36</v>
      </c>
      <c r="E7">
        <v>31955</v>
      </c>
      <c r="F7">
        <v>137483</v>
      </c>
      <c r="G7">
        <v>69677</v>
      </c>
      <c r="H7" s="7">
        <v>8.39</v>
      </c>
      <c r="I7" s="7">
        <v>51.32</v>
      </c>
      <c r="J7" s="7">
        <v>7.4909999999999997</v>
      </c>
      <c r="K7">
        <v>0.97170000000000001</v>
      </c>
      <c r="L7">
        <v>0.97560000000000002</v>
      </c>
      <c r="M7">
        <v>0.99160000000000004</v>
      </c>
      <c r="N7">
        <v>0</v>
      </c>
      <c r="O7">
        <v>0</v>
      </c>
      <c r="P7">
        <v>0</v>
      </c>
      <c r="S7" s="4">
        <v>45574.762928240743</v>
      </c>
    </row>
    <row r="8" spans="1:19" s="2" customFormat="1" x14ac:dyDescent="0.6">
      <c r="A8" s="2">
        <v>82</v>
      </c>
      <c r="B8" s="2">
        <v>10.3</v>
      </c>
      <c r="C8" s="2" t="s">
        <v>11</v>
      </c>
      <c r="D8" s="2" t="s">
        <v>36</v>
      </c>
      <c r="E8" s="2">
        <v>30704</v>
      </c>
      <c r="F8" s="2">
        <v>133389</v>
      </c>
      <c r="G8" s="2">
        <v>67202</v>
      </c>
      <c r="H8" s="7">
        <v>8.2899999999999991</v>
      </c>
      <c r="I8" s="7">
        <v>51.19</v>
      </c>
      <c r="J8" s="7">
        <v>7.4329999999999998</v>
      </c>
      <c r="K8" s="2">
        <v>0.97170000000000001</v>
      </c>
      <c r="L8" s="2">
        <v>0.97560000000000002</v>
      </c>
      <c r="M8" s="2">
        <v>0.99160000000000004</v>
      </c>
      <c r="N8" s="2">
        <v>0</v>
      </c>
      <c r="O8" s="2">
        <v>0</v>
      </c>
      <c r="P8" s="2">
        <v>0</v>
      </c>
      <c r="S8" s="35">
        <v>45574.770046296297</v>
      </c>
    </row>
    <row r="9" spans="1:19" s="2" customFormat="1" x14ac:dyDescent="0.6">
      <c r="A9" s="2">
        <v>83</v>
      </c>
      <c r="B9" s="2">
        <v>10.42</v>
      </c>
      <c r="C9" s="2" t="s">
        <v>11</v>
      </c>
      <c r="D9" s="2" t="s">
        <v>36</v>
      </c>
      <c r="E9" s="2">
        <v>30841</v>
      </c>
      <c r="F9" s="2">
        <v>134185</v>
      </c>
      <c r="G9" s="2">
        <v>68066</v>
      </c>
      <c r="H9" s="7">
        <v>8.23</v>
      </c>
      <c r="I9" s="7">
        <v>50.9</v>
      </c>
      <c r="J9" s="7">
        <v>7.44</v>
      </c>
      <c r="K9" s="2">
        <v>0.97170000000000001</v>
      </c>
      <c r="L9" s="2">
        <v>0.97560000000000002</v>
      </c>
      <c r="M9" s="2">
        <v>0.99160000000000004</v>
      </c>
      <c r="N9" s="2">
        <v>0</v>
      </c>
      <c r="O9" s="2">
        <v>0</v>
      </c>
      <c r="P9" s="2">
        <v>0</v>
      </c>
      <c r="S9" s="35">
        <v>45574.777199074073</v>
      </c>
    </row>
    <row r="10" spans="1:19" x14ac:dyDescent="0.6">
      <c r="A10">
        <v>84</v>
      </c>
      <c r="B10">
        <v>10</v>
      </c>
      <c r="C10" t="s">
        <v>12</v>
      </c>
      <c r="D10" t="s">
        <v>36</v>
      </c>
      <c r="E10">
        <v>30007</v>
      </c>
      <c r="F10">
        <v>130390</v>
      </c>
      <c r="G10">
        <v>65575</v>
      </c>
      <c r="H10" s="7">
        <v>8.35</v>
      </c>
      <c r="I10" s="7">
        <v>51.53</v>
      </c>
      <c r="J10" s="7">
        <v>7.4740000000000002</v>
      </c>
      <c r="K10">
        <v>0.97170000000000001</v>
      </c>
      <c r="L10">
        <v>0.97560000000000002</v>
      </c>
      <c r="M10">
        <v>0.99160000000000004</v>
      </c>
      <c r="N10">
        <v>0</v>
      </c>
      <c r="O10">
        <v>0</v>
      </c>
      <c r="P10">
        <v>0</v>
      </c>
      <c r="S10" s="4">
        <v>45574.784270833334</v>
      </c>
    </row>
    <row r="11" spans="1:19" x14ac:dyDescent="0.6">
      <c r="A11">
        <v>85</v>
      </c>
      <c r="B11">
        <v>9.86</v>
      </c>
      <c r="C11" t="s">
        <v>12</v>
      </c>
      <c r="D11" t="s">
        <v>36</v>
      </c>
      <c r="E11">
        <v>29371</v>
      </c>
      <c r="F11">
        <v>127644</v>
      </c>
      <c r="G11">
        <v>63991</v>
      </c>
      <c r="H11" s="7">
        <v>8.2899999999999991</v>
      </c>
      <c r="I11" s="7">
        <v>51.16</v>
      </c>
      <c r="J11" s="7">
        <v>7.4</v>
      </c>
      <c r="K11">
        <v>0.97170000000000001</v>
      </c>
      <c r="L11">
        <v>0.97560000000000002</v>
      </c>
      <c r="M11">
        <v>0.99160000000000004</v>
      </c>
      <c r="N11">
        <v>0</v>
      </c>
      <c r="O11">
        <v>0</v>
      </c>
      <c r="P11">
        <v>0</v>
      </c>
      <c r="S11" s="4">
        <v>45574.791307870371</v>
      </c>
    </row>
    <row r="12" spans="1:19" s="2" customFormat="1" x14ac:dyDescent="0.6">
      <c r="A12" s="2">
        <v>86</v>
      </c>
      <c r="B12" s="2">
        <v>10.3</v>
      </c>
      <c r="C12" s="2" t="s">
        <v>14</v>
      </c>
      <c r="D12" s="2" t="s">
        <v>36</v>
      </c>
      <c r="E12" s="2">
        <v>30855</v>
      </c>
      <c r="F12" s="2">
        <v>134348</v>
      </c>
      <c r="G12" s="2">
        <v>67350</v>
      </c>
      <c r="H12" s="7">
        <v>8.33</v>
      </c>
      <c r="I12" s="7">
        <v>51.56</v>
      </c>
      <c r="J12" s="7">
        <v>7.4489999999999998</v>
      </c>
      <c r="K12" s="2">
        <v>0.97170000000000001</v>
      </c>
      <c r="L12" s="2">
        <v>0.97560000000000002</v>
      </c>
      <c r="M12" s="2">
        <v>0.99160000000000004</v>
      </c>
      <c r="N12" s="2">
        <v>0</v>
      </c>
      <c r="O12" s="2">
        <v>0</v>
      </c>
      <c r="P12" s="2">
        <v>0</v>
      </c>
      <c r="S12" s="35">
        <v>45574.798391203702</v>
      </c>
    </row>
    <row r="13" spans="1:19" s="2" customFormat="1" x14ac:dyDescent="0.6">
      <c r="A13" s="2">
        <v>87</v>
      </c>
      <c r="B13" s="2">
        <v>10.64</v>
      </c>
      <c r="C13" s="2" t="s">
        <v>14</v>
      </c>
      <c r="D13" s="2" t="s">
        <v>36</v>
      </c>
      <c r="E13" s="2">
        <v>31376</v>
      </c>
      <c r="F13" s="2">
        <v>136628</v>
      </c>
      <c r="G13" s="2">
        <v>68715</v>
      </c>
      <c r="H13" s="7">
        <v>8.1999999999999993</v>
      </c>
      <c r="I13" s="7">
        <v>50.76</v>
      </c>
      <c r="J13" s="7">
        <v>7.3540000000000001</v>
      </c>
      <c r="K13" s="2">
        <v>0.97170000000000001</v>
      </c>
      <c r="L13" s="2">
        <v>0.97560000000000002</v>
      </c>
      <c r="M13" s="2">
        <v>0.99160000000000004</v>
      </c>
      <c r="N13" s="2">
        <v>0</v>
      </c>
      <c r="O13" s="2">
        <v>0</v>
      </c>
      <c r="P13" s="2">
        <v>0</v>
      </c>
      <c r="S13" s="35">
        <v>45574.805509259262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23C1-A014-5C47-BEBF-4A968C5D9738}">
  <dimension ref="A1:H23"/>
  <sheetViews>
    <sheetView zoomScale="143" zoomScaleNormal="143" workbookViewId="0">
      <selection activeCell="H1" sqref="H1:H1048576"/>
    </sheetView>
  </sheetViews>
  <sheetFormatPr baseColWidth="10" defaultColWidth="11" defaultRowHeight="15.6" x14ac:dyDescent="0.6"/>
  <cols>
    <col min="1" max="1" width="19.34765625" customWidth="1"/>
    <col min="3" max="3" width="10.84765625" style="1"/>
    <col min="4" max="4" width="12.59765625" style="1" customWidth="1"/>
    <col min="5" max="5" width="15.09765625" style="1" customWidth="1"/>
    <col min="6" max="6" width="22.5" style="1" customWidth="1"/>
    <col min="7" max="7" width="14.5" customWidth="1"/>
    <col min="8" max="8" width="21.09765625" customWidth="1"/>
  </cols>
  <sheetData>
    <row r="1" spans="1:8" x14ac:dyDescent="0.6">
      <c r="A1" s="24" t="s">
        <v>0</v>
      </c>
      <c r="B1" s="24" t="s">
        <v>1</v>
      </c>
      <c r="C1" s="25" t="s">
        <v>2</v>
      </c>
      <c r="D1" s="25" t="s">
        <v>37</v>
      </c>
      <c r="E1" s="25" t="s">
        <v>38</v>
      </c>
      <c r="F1" s="25" t="s">
        <v>39</v>
      </c>
      <c r="G1" s="24" t="s">
        <v>40</v>
      </c>
      <c r="H1" s="25" t="s">
        <v>41</v>
      </c>
    </row>
    <row r="2" spans="1:8" x14ac:dyDescent="0.6">
      <c r="A2" s="7" t="s">
        <v>7</v>
      </c>
      <c r="B2" s="8">
        <v>45441</v>
      </c>
      <c r="C2" s="9" t="s">
        <v>42</v>
      </c>
      <c r="D2" s="9">
        <v>2</v>
      </c>
      <c r="E2" s="9">
        <v>4.2000000000000003E-2</v>
      </c>
      <c r="F2" s="19">
        <f>E2*D2</f>
        <v>8.4000000000000005E-2</v>
      </c>
      <c r="G2" s="9">
        <v>5.7000000000000002E-2</v>
      </c>
      <c r="H2" s="19">
        <f t="shared" ref="H2:H3" si="0">G2*D2</f>
        <v>0.114</v>
      </c>
    </row>
    <row r="3" spans="1:8" x14ac:dyDescent="0.6">
      <c r="A3" s="7"/>
      <c r="B3" s="8"/>
      <c r="C3" s="9" t="s">
        <v>43</v>
      </c>
      <c r="D3" s="9">
        <v>2</v>
      </c>
      <c r="E3" s="9">
        <v>4.3999999999999997E-2</v>
      </c>
      <c r="F3" s="19">
        <f t="shared" ref="F3:F23" si="1">E3*D3</f>
        <v>8.7999999999999995E-2</v>
      </c>
      <c r="G3" s="9">
        <v>5.3999999999999999E-2</v>
      </c>
      <c r="H3" s="19">
        <f t="shared" si="0"/>
        <v>0.108</v>
      </c>
    </row>
    <row r="4" spans="1:8" x14ac:dyDescent="0.6">
      <c r="A4" s="10" t="s">
        <v>7</v>
      </c>
      <c r="B4" s="11">
        <v>45443</v>
      </c>
      <c r="C4" s="3" t="s">
        <v>44</v>
      </c>
      <c r="D4" s="3">
        <v>200</v>
      </c>
      <c r="E4" s="3">
        <v>0.63400000000000001</v>
      </c>
      <c r="F4" s="20">
        <f>E4*D4</f>
        <v>126.8</v>
      </c>
      <c r="G4" s="3">
        <v>0.81599999999999995</v>
      </c>
      <c r="H4" s="20">
        <f>G4*D4</f>
        <v>163.19999999999999</v>
      </c>
    </row>
    <row r="5" spans="1:8" x14ac:dyDescent="0.6">
      <c r="A5" s="10"/>
      <c r="B5" s="11"/>
      <c r="C5" s="3" t="s">
        <v>45</v>
      </c>
      <c r="D5" s="3">
        <v>200</v>
      </c>
      <c r="E5" s="3">
        <v>0.63600000000000001</v>
      </c>
      <c r="F5" s="20">
        <f t="shared" si="1"/>
        <v>127.2</v>
      </c>
      <c r="G5" s="10">
        <v>0.81899999999999995</v>
      </c>
      <c r="H5" s="20">
        <f t="shared" ref="H5:H23" si="2">G5*D5</f>
        <v>163.79999999999998</v>
      </c>
    </row>
    <row r="6" spans="1:8" x14ac:dyDescent="0.6">
      <c r="A6" s="7" t="s">
        <v>7</v>
      </c>
      <c r="B6" s="8">
        <v>45446</v>
      </c>
      <c r="C6" s="9" t="s">
        <v>46</v>
      </c>
      <c r="D6" s="9">
        <v>300</v>
      </c>
      <c r="E6" s="9">
        <v>1.89</v>
      </c>
      <c r="F6" s="19">
        <f t="shared" si="1"/>
        <v>567</v>
      </c>
      <c r="G6" s="7">
        <v>2.4300000000000002</v>
      </c>
      <c r="H6" s="19">
        <f t="shared" si="2"/>
        <v>729</v>
      </c>
    </row>
    <row r="7" spans="1:8" x14ac:dyDescent="0.6">
      <c r="A7" s="7"/>
      <c r="B7" s="8"/>
      <c r="C7" s="9" t="s">
        <v>47</v>
      </c>
      <c r="D7" s="9">
        <v>300</v>
      </c>
      <c r="E7" s="9">
        <v>1.89</v>
      </c>
      <c r="F7" s="19">
        <f t="shared" si="1"/>
        <v>567</v>
      </c>
      <c r="G7" s="7">
        <v>2.4300000000000002</v>
      </c>
      <c r="H7" s="19">
        <f t="shared" si="2"/>
        <v>729</v>
      </c>
    </row>
    <row r="8" spans="1:8" ht="17.100000000000001" customHeight="1" x14ac:dyDescent="0.6">
      <c r="A8" s="10" t="s">
        <v>7</v>
      </c>
      <c r="B8" s="11">
        <v>45448</v>
      </c>
      <c r="C8" s="3" t="s">
        <v>48</v>
      </c>
      <c r="D8" s="3">
        <v>200</v>
      </c>
      <c r="E8" s="3">
        <v>1.81</v>
      </c>
      <c r="F8" s="20">
        <f t="shared" si="1"/>
        <v>362</v>
      </c>
      <c r="G8" s="3">
        <v>2.33</v>
      </c>
      <c r="H8" s="20">
        <f t="shared" si="2"/>
        <v>466</v>
      </c>
    </row>
    <row r="9" spans="1:8" ht="17.100000000000001" customHeight="1" x14ac:dyDescent="0.6">
      <c r="A9" s="10"/>
      <c r="B9" s="11"/>
      <c r="C9" s="3" t="s">
        <v>49</v>
      </c>
      <c r="D9" s="3">
        <v>200</v>
      </c>
      <c r="E9" s="3">
        <v>1.62</v>
      </c>
      <c r="F9" s="20">
        <f t="shared" si="1"/>
        <v>324</v>
      </c>
      <c r="G9" s="10">
        <v>2.08</v>
      </c>
      <c r="H9" s="20">
        <f t="shared" si="2"/>
        <v>416</v>
      </c>
    </row>
    <row r="10" spans="1:8" x14ac:dyDescent="0.6">
      <c r="A10" s="7" t="s">
        <v>7</v>
      </c>
      <c r="B10" s="8">
        <v>45450</v>
      </c>
      <c r="C10" s="9" t="s">
        <v>50</v>
      </c>
      <c r="D10" s="9">
        <v>200</v>
      </c>
      <c r="E10" s="9">
        <v>1.02</v>
      </c>
      <c r="F10" s="19">
        <f t="shared" si="1"/>
        <v>204</v>
      </c>
      <c r="G10" s="9">
        <v>1.31</v>
      </c>
      <c r="H10" s="19">
        <f t="shared" si="2"/>
        <v>262</v>
      </c>
    </row>
    <row r="11" spans="1:8" s="30" customFormat="1" ht="15.9" thickBot="1" x14ac:dyDescent="0.65">
      <c r="A11" s="13"/>
      <c r="B11" s="14"/>
      <c r="C11" s="15" t="s">
        <v>51</v>
      </c>
      <c r="D11" s="15">
        <v>200</v>
      </c>
      <c r="E11" s="15">
        <v>0.99299999999999999</v>
      </c>
      <c r="F11" s="21">
        <f t="shared" si="1"/>
        <v>198.6</v>
      </c>
      <c r="G11" s="13">
        <v>1.28</v>
      </c>
      <c r="H11" s="21">
        <f t="shared" si="2"/>
        <v>256</v>
      </c>
    </row>
    <row r="12" spans="1:8" s="26" customFormat="1" ht="15.9" thickTop="1" x14ac:dyDescent="0.6">
      <c r="A12" s="16" t="s">
        <v>15</v>
      </c>
      <c r="B12" s="17">
        <v>45455</v>
      </c>
      <c r="C12" s="18" t="s">
        <v>52</v>
      </c>
      <c r="D12" s="18">
        <v>200</v>
      </c>
      <c r="E12" s="18">
        <v>1.65</v>
      </c>
      <c r="F12" s="22">
        <f t="shared" si="1"/>
        <v>330</v>
      </c>
      <c r="G12" s="18">
        <v>2.12</v>
      </c>
      <c r="H12" s="22">
        <f t="shared" si="2"/>
        <v>424</v>
      </c>
    </row>
    <row r="13" spans="1:8" x14ac:dyDescent="0.6">
      <c r="A13" s="10"/>
      <c r="B13" s="11"/>
      <c r="C13" s="3" t="s">
        <v>53</v>
      </c>
      <c r="D13" s="3">
        <v>200</v>
      </c>
      <c r="E13" s="3">
        <v>1.63</v>
      </c>
      <c r="F13" s="20">
        <f t="shared" si="1"/>
        <v>326</v>
      </c>
      <c r="G13" s="10">
        <v>2.09</v>
      </c>
      <c r="H13" s="20">
        <f t="shared" si="2"/>
        <v>418</v>
      </c>
    </row>
    <row r="14" spans="1:8" x14ac:dyDescent="0.6">
      <c r="A14" s="7" t="s">
        <v>15</v>
      </c>
      <c r="B14" s="8">
        <v>45457</v>
      </c>
      <c r="C14" s="9" t="s">
        <v>54</v>
      </c>
      <c r="D14" s="9">
        <v>200</v>
      </c>
      <c r="E14" s="9">
        <v>0.374</v>
      </c>
      <c r="F14" s="19">
        <f t="shared" si="1"/>
        <v>74.8</v>
      </c>
      <c r="G14" s="9">
        <v>0.48099999999999998</v>
      </c>
      <c r="H14" s="19">
        <f t="shared" si="2"/>
        <v>96.2</v>
      </c>
    </row>
    <row r="15" spans="1:8" x14ac:dyDescent="0.6">
      <c r="A15" s="7"/>
      <c r="B15" s="8"/>
      <c r="C15" s="9" t="s">
        <v>55</v>
      </c>
      <c r="D15" s="9">
        <v>200</v>
      </c>
      <c r="E15" s="9">
        <v>0.372</v>
      </c>
      <c r="F15" s="19">
        <f t="shared" si="1"/>
        <v>74.400000000000006</v>
      </c>
      <c r="G15" s="7">
        <v>0.47899999999999998</v>
      </c>
      <c r="H15" s="19">
        <f t="shared" si="2"/>
        <v>95.8</v>
      </c>
    </row>
    <row r="16" spans="1:8" x14ac:dyDescent="0.6">
      <c r="A16" s="10" t="s">
        <v>15</v>
      </c>
      <c r="B16" s="11">
        <v>45460</v>
      </c>
      <c r="C16" s="3" t="s">
        <v>56</v>
      </c>
      <c r="D16" s="3">
        <v>300</v>
      </c>
      <c r="E16" s="3">
        <v>1.41</v>
      </c>
      <c r="F16" s="20">
        <f t="shared" si="1"/>
        <v>423</v>
      </c>
      <c r="G16" s="3">
        <v>1.82</v>
      </c>
      <c r="H16" s="20">
        <f t="shared" si="2"/>
        <v>546</v>
      </c>
    </row>
    <row r="17" spans="1:8" x14ac:dyDescent="0.6">
      <c r="A17" s="10"/>
      <c r="B17" s="11"/>
      <c r="C17" s="3" t="s">
        <v>57</v>
      </c>
      <c r="D17" s="3">
        <v>300</v>
      </c>
      <c r="E17" s="3">
        <v>1.36</v>
      </c>
      <c r="F17" s="20">
        <f t="shared" si="1"/>
        <v>408.00000000000006</v>
      </c>
      <c r="G17" s="10">
        <v>1.75</v>
      </c>
      <c r="H17" s="20">
        <f t="shared" si="2"/>
        <v>525</v>
      </c>
    </row>
    <row r="18" spans="1:8" x14ac:dyDescent="0.6">
      <c r="A18" s="7" t="s">
        <v>15</v>
      </c>
      <c r="B18" s="8">
        <v>45462</v>
      </c>
      <c r="C18" s="9" t="s">
        <v>58</v>
      </c>
      <c r="D18" s="9">
        <v>300</v>
      </c>
      <c r="E18" s="9">
        <v>1.42</v>
      </c>
      <c r="F18" s="19">
        <f t="shared" si="1"/>
        <v>426</v>
      </c>
      <c r="G18" s="9">
        <v>1.83</v>
      </c>
      <c r="H18" s="19">
        <f t="shared" si="2"/>
        <v>549</v>
      </c>
    </row>
    <row r="19" spans="1:8" x14ac:dyDescent="0.6">
      <c r="A19" s="7"/>
      <c r="B19" s="8"/>
      <c r="C19" s="9" t="s">
        <v>59</v>
      </c>
      <c r="D19" s="9">
        <v>300</v>
      </c>
      <c r="E19" s="9">
        <v>1.39</v>
      </c>
      <c r="F19" s="19">
        <f t="shared" si="1"/>
        <v>416.99999999999994</v>
      </c>
      <c r="G19" s="7">
        <v>1.79</v>
      </c>
      <c r="H19" s="19">
        <f t="shared" si="2"/>
        <v>537</v>
      </c>
    </row>
    <row r="20" spans="1:8" x14ac:dyDescent="0.6">
      <c r="A20" s="10" t="s">
        <v>15</v>
      </c>
      <c r="B20" s="11">
        <v>45467</v>
      </c>
      <c r="C20" s="3" t="s">
        <v>60</v>
      </c>
      <c r="D20" s="3">
        <v>200</v>
      </c>
      <c r="E20" s="3">
        <v>1.87</v>
      </c>
      <c r="F20" s="20">
        <f t="shared" si="1"/>
        <v>374</v>
      </c>
      <c r="G20" s="3">
        <v>2.41</v>
      </c>
      <c r="H20" s="20">
        <f t="shared" si="2"/>
        <v>482</v>
      </c>
    </row>
    <row r="21" spans="1:8" x14ac:dyDescent="0.6">
      <c r="A21" s="10"/>
      <c r="B21" s="11"/>
      <c r="C21" s="3" t="s">
        <v>61</v>
      </c>
      <c r="D21" s="3">
        <v>200</v>
      </c>
      <c r="E21" s="3">
        <v>1.86</v>
      </c>
      <c r="F21" s="20">
        <f t="shared" si="1"/>
        <v>372</v>
      </c>
      <c r="G21" s="10">
        <v>2.39</v>
      </c>
      <c r="H21" s="20">
        <f t="shared" si="2"/>
        <v>478</v>
      </c>
    </row>
    <row r="22" spans="1:8" x14ac:dyDescent="0.6">
      <c r="A22" s="7" t="s">
        <v>15</v>
      </c>
      <c r="B22" s="8">
        <v>45475</v>
      </c>
      <c r="C22" s="9" t="s">
        <v>62</v>
      </c>
      <c r="D22" s="9">
        <v>200</v>
      </c>
      <c r="E22" s="9">
        <v>2.2200000000000002</v>
      </c>
      <c r="F22" s="19">
        <f t="shared" si="1"/>
        <v>444.00000000000006</v>
      </c>
      <c r="G22" s="9">
        <v>2.85</v>
      </c>
      <c r="H22" s="19">
        <f t="shared" si="2"/>
        <v>570</v>
      </c>
    </row>
    <row r="23" spans="1:8" ht="15.9" thickBot="1" x14ac:dyDescent="0.65">
      <c r="A23" s="7"/>
      <c r="B23" s="8"/>
      <c r="C23" s="9" t="s">
        <v>63</v>
      </c>
      <c r="D23" s="9">
        <v>200</v>
      </c>
      <c r="E23" s="9">
        <v>2.29</v>
      </c>
      <c r="F23" s="23">
        <f t="shared" si="1"/>
        <v>458</v>
      </c>
      <c r="G23" s="7">
        <v>2.95</v>
      </c>
      <c r="H23" s="23">
        <f t="shared" si="2"/>
        <v>590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8D83-20BB-2749-B0F8-598105BF7EDD}">
  <dimension ref="A1:F23"/>
  <sheetViews>
    <sheetView zoomScale="136" zoomScaleNormal="136" workbookViewId="0">
      <selection activeCell="E2" sqref="E2"/>
    </sheetView>
  </sheetViews>
  <sheetFormatPr baseColWidth="10" defaultColWidth="11" defaultRowHeight="15.6" x14ac:dyDescent="0.6"/>
  <cols>
    <col min="1" max="1" width="19.34765625" customWidth="1"/>
    <col min="3" max="3" width="10.84765625" style="1"/>
    <col min="4" max="4" width="12.59765625" style="1" customWidth="1"/>
    <col min="5" max="5" width="15.09765625" style="1" customWidth="1"/>
    <col min="6" max="6" width="22.5" style="1" customWidth="1"/>
  </cols>
  <sheetData>
    <row r="1" spans="1:6" x14ac:dyDescent="0.6">
      <c r="A1" s="24" t="s">
        <v>0</v>
      </c>
      <c r="B1" s="24" t="s">
        <v>1</v>
      </c>
      <c r="C1" s="25" t="s">
        <v>2</v>
      </c>
      <c r="D1" s="25" t="s">
        <v>37</v>
      </c>
      <c r="E1" s="25" t="s">
        <v>64</v>
      </c>
      <c r="F1" s="25" t="s">
        <v>65</v>
      </c>
    </row>
    <row r="2" spans="1:6" x14ac:dyDescent="0.6">
      <c r="A2" s="7" t="s">
        <v>7</v>
      </c>
      <c r="B2" s="8">
        <v>45441</v>
      </c>
      <c r="C2" s="9" t="s">
        <v>42</v>
      </c>
      <c r="D2" s="9">
        <v>1</v>
      </c>
      <c r="E2" s="9">
        <v>6.12</v>
      </c>
      <c r="F2" s="19">
        <f>E2*D2</f>
        <v>6.12</v>
      </c>
    </row>
    <row r="3" spans="1:6" x14ac:dyDescent="0.6">
      <c r="A3" s="7"/>
      <c r="B3" s="8"/>
      <c r="C3" s="9" t="s">
        <v>43</v>
      </c>
      <c r="D3" s="9">
        <v>1</v>
      </c>
      <c r="E3" s="9">
        <v>5.98</v>
      </c>
      <c r="F3" s="19">
        <f t="shared" ref="F3:F22" si="0">E3*D3</f>
        <v>5.98</v>
      </c>
    </row>
    <row r="4" spans="1:6" x14ac:dyDescent="0.6">
      <c r="A4" s="10" t="s">
        <v>7</v>
      </c>
      <c r="B4" s="11">
        <v>45443</v>
      </c>
      <c r="C4" s="3" t="s">
        <v>44</v>
      </c>
      <c r="D4" s="3">
        <v>30</v>
      </c>
      <c r="E4" s="3">
        <v>4.3</v>
      </c>
      <c r="F4" s="20">
        <f>E4*D4</f>
        <v>129</v>
      </c>
    </row>
    <row r="5" spans="1:6" x14ac:dyDescent="0.6">
      <c r="A5" s="10"/>
      <c r="B5" s="11"/>
      <c r="C5" s="3" t="s">
        <v>45</v>
      </c>
      <c r="D5" s="3">
        <v>30</v>
      </c>
      <c r="E5" s="3">
        <v>4.51</v>
      </c>
      <c r="F5" s="20">
        <f t="shared" si="0"/>
        <v>135.29999999999998</v>
      </c>
    </row>
    <row r="6" spans="1:6" x14ac:dyDescent="0.6">
      <c r="A6" s="7" t="s">
        <v>7</v>
      </c>
      <c r="B6" s="8">
        <v>45446</v>
      </c>
      <c r="C6" s="9" t="s">
        <v>46</v>
      </c>
      <c r="D6" s="9">
        <v>60</v>
      </c>
      <c r="E6" s="9">
        <v>7.51</v>
      </c>
      <c r="F6" s="19">
        <f t="shared" si="0"/>
        <v>450.59999999999997</v>
      </c>
    </row>
    <row r="7" spans="1:6" x14ac:dyDescent="0.6">
      <c r="A7" s="7"/>
      <c r="B7" s="8"/>
      <c r="C7" s="9" t="s">
        <v>47</v>
      </c>
      <c r="D7" s="9">
        <v>60</v>
      </c>
      <c r="E7" s="9">
        <v>7.6</v>
      </c>
      <c r="F7" s="19">
        <f t="shared" si="0"/>
        <v>456</v>
      </c>
    </row>
    <row r="8" spans="1:6" ht="17.100000000000001" customHeight="1" x14ac:dyDescent="0.6">
      <c r="A8" s="10" t="s">
        <v>7</v>
      </c>
      <c r="B8" s="11">
        <v>45448</v>
      </c>
      <c r="C8" s="3" t="s">
        <v>48</v>
      </c>
      <c r="D8" s="3">
        <v>30</v>
      </c>
      <c r="E8" s="3">
        <v>10.8</v>
      </c>
      <c r="F8" s="20">
        <f t="shared" si="0"/>
        <v>324</v>
      </c>
    </row>
    <row r="9" spans="1:6" ht="17.100000000000001" customHeight="1" x14ac:dyDescent="0.6">
      <c r="A9" s="10"/>
      <c r="B9" s="11"/>
      <c r="C9" s="3" t="s">
        <v>49</v>
      </c>
      <c r="D9" s="3">
        <v>30</v>
      </c>
      <c r="E9" s="3">
        <v>10.199999999999999</v>
      </c>
      <c r="F9" s="20">
        <f t="shared" si="0"/>
        <v>306</v>
      </c>
    </row>
    <row r="10" spans="1:6" x14ac:dyDescent="0.6">
      <c r="A10" s="7" t="s">
        <v>7</v>
      </c>
      <c r="B10" s="8">
        <v>45450</v>
      </c>
      <c r="C10" s="9" t="s">
        <v>50</v>
      </c>
      <c r="D10" s="9">
        <v>30</v>
      </c>
      <c r="E10" s="9">
        <v>6.63</v>
      </c>
      <c r="F10" s="19">
        <f t="shared" si="0"/>
        <v>198.9</v>
      </c>
    </row>
    <row r="11" spans="1:6" s="30" customFormat="1" ht="15.9" thickBot="1" x14ac:dyDescent="0.65">
      <c r="A11" s="13"/>
      <c r="B11" s="14"/>
      <c r="C11" s="15" t="s">
        <v>51</v>
      </c>
      <c r="D11" s="15">
        <v>30</v>
      </c>
      <c r="E11" s="15">
        <v>6.48</v>
      </c>
      <c r="F11" s="21">
        <f>E11*D11</f>
        <v>194.4</v>
      </c>
    </row>
    <row r="12" spans="1:6" s="26" customFormat="1" ht="15.9" thickTop="1" x14ac:dyDescent="0.6">
      <c r="A12" s="16" t="s">
        <v>15</v>
      </c>
      <c r="B12" s="17">
        <v>45455</v>
      </c>
      <c r="C12" s="18" t="s">
        <v>52</v>
      </c>
      <c r="D12" s="18">
        <v>30</v>
      </c>
      <c r="E12" s="18">
        <v>9.77</v>
      </c>
      <c r="F12" s="22">
        <f t="shared" si="0"/>
        <v>293.09999999999997</v>
      </c>
    </row>
    <row r="13" spans="1:6" x14ac:dyDescent="0.6">
      <c r="A13" s="10"/>
      <c r="B13" s="11"/>
      <c r="C13" s="3" t="s">
        <v>53</v>
      </c>
      <c r="D13" s="3">
        <v>30</v>
      </c>
      <c r="E13" s="3">
        <v>10.199999999999999</v>
      </c>
      <c r="F13" s="20">
        <f t="shared" si="0"/>
        <v>306</v>
      </c>
    </row>
    <row r="14" spans="1:6" x14ac:dyDescent="0.6">
      <c r="A14" s="7" t="s">
        <v>15</v>
      </c>
      <c r="B14" s="8">
        <v>45457</v>
      </c>
      <c r="C14" s="9" t="s">
        <v>54</v>
      </c>
      <c r="D14" s="9">
        <v>30</v>
      </c>
      <c r="E14" s="9">
        <v>2.89</v>
      </c>
      <c r="F14" s="19">
        <f t="shared" si="0"/>
        <v>86.7</v>
      </c>
    </row>
    <row r="15" spans="1:6" x14ac:dyDescent="0.6">
      <c r="A15" s="7"/>
      <c r="B15" s="8"/>
      <c r="C15" s="9" t="s">
        <v>55</v>
      </c>
      <c r="D15" s="9">
        <v>30</v>
      </c>
      <c r="E15" s="9">
        <v>2.86</v>
      </c>
      <c r="F15" s="19">
        <f t="shared" si="0"/>
        <v>85.8</v>
      </c>
    </row>
    <row r="16" spans="1:6" x14ac:dyDescent="0.6">
      <c r="A16" s="10" t="s">
        <v>15</v>
      </c>
      <c r="B16" s="11">
        <v>45460</v>
      </c>
      <c r="C16" s="3" t="s">
        <v>56</v>
      </c>
      <c r="D16" s="3">
        <v>30</v>
      </c>
      <c r="E16" s="3">
        <v>14.9</v>
      </c>
      <c r="F16" s="20">
        <f t="shared" si="0"/>
        <v>447</v>
      </c>
    </row>
    <row r="17" spans="1:6" x14ac:dyDescent="0.6">
      <c r="A17" s="10"/>
      <c r="B17" s="11"/>
      <c r="C17" s="3" t="s">
        <v>57</v>
      </c>
      <c r="D17" s="3">
        <v>30</v>
      </c>
      <c r="E17" s="3">
        <v>14.2</v>
      </c>
      <c r="F17" s="20">
        <f t="shared" si="0"/>
        <v>426</v>
      </c>
    </row>
    <row r="18" spans="1:6" x14ac:dyDescent="0.6">
      <c r="A18" s="7" t="s">
        <v>15</v>
      </c>
      <c r="B18" s="8">
        <v>45462</v>
      </c>
      <c r="C18" s="9" t="s">
        <v>58</v>
      </c>
      <c r="D18" s="9">
        <v>30</v>
      </c>
      <c r="E18" s="9">
        <v>14.5</v>
      </c>
      <c r="F18" s="19">
        <f t="shared" si="0"/>
        <v>435</v>
      </c>
    </row>
    <row r="19" spans="1:6" x14ac:dyDescent="0.6">
      <c r="A19" s="7"/>
      <c r="B19" s="8"/>
      <c r="C19" s="9" t="s">
        <v>59</v>
      </c>
      <c r="D19" s="9">
        <v>30</v>
      </c>
      <c r="E19" s="9">
        <v>14.4</v>
      </c>
      <c r="F19" s="19">
        <f t="shared" si="0"/>
        <v>432</v>
      </c>
    </row>
    <row r="20" spans="1:6" x14ac:dyDescent="0.6">
      <c r="A20" s="10" t="s">
        <v>15</v>
      </c>
      <c r="B20" s="11">
        <v>45467</v>
      </c>
      <c r="C20" s="3" t="s">
        <v>60</v>
      </c>
      <c r="D20" s="3">
        <v>30</v>
      </c>
      <c r="E20" s="3">
        <v>12.3</v>
      </c>
      <c r="F20" s="20">
        <f t="shared" si="0"/>
        <v>369</v>
      </c>
    </row>
    <row r="21" spans="1:6" x14ac:dyDescent="0.6">
      <c r="A21" s="10"/>
      <c r="B21" s="11"/>
      <c r="C21" s="3" t="s">
        <v>61</v>
      </c>
      <c r="D21" s="3">
        <v>30</v>
      </c>
      <c r="E21" s="3">
        <v>12.5</v>
      </c>
      <c r="F21" s="20">
        <f t="shared" si="0"/>
        <v>375</v>
      </c>
    </row>
    <row r="22" spans="1:6" x14ac:dyDescent="0.6">
      <c r="A22" s="7" t="s">
        <v>15</v>
      </c>
      <c r="B22" s="8">
        <v>45475</v>
      </c>
      <c r="C22" s="9" t="s">
        <v>62</v>
      </c>
      <c r="D22" s="9">
        <v>30</v>
      </c>
      <c r="E22" s="9">
        <v>14</v>
      </c>
      <c r="F22" s="19">
        <f t="shared" si="0"/>
        <v>420</v>
      </c>
    </row>
    <row r="23" spans="1:6" ht="15.9" thickBot="1" x14ac:dyDescent="0.65">
      <c r="A23" s="7"/>
      <c r="B23" s="8"/>
      <c r="C23" s="9" t="s">
        <v>63</v>
      </c>
      <c r="D23" s="9">
        <v>30</v>
      </c>
      <c r="E23" s="9">
        <v>14</v>
      </c>
      <c r="F23" s="23">
        <f>E23*D23</f>
        <v>420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8F40-6BB2-3C48-B0C5-1EDED3F35B02}">
  <dimension ref="A1:H23"/>
  <sheetViews>
    <sheetView zoomScale="128" zoomScaleNormal="128" workbookViewId="0">
      <selection activeCell="E2" sqref="E2"/>
    </sheetView>
  </sheetViews>
  <sheetFormatPr baseColWidth="10" defaultColWidth="11" defaultRowHeight="15.6" x14ac:dyDescent="0.6"/>
  <cols>
    <col min="1" max="1" width="16.5" customWidth="1"/>
    <col min="4" max="4" width="21.84765625" customWidth="1"/>
    <col min="5" max="5" width="20.59765625" customWidth="1"/>
  </cols>
  <sheetData>
    <row r="1" spans="1:8" x14ac:dyDescent="0.6">
      <c r="A1" s="24" t="s">
        <v>0</v>
      </c>
      <c r="B1" s="24" t="s">
        <v>1</v>
      </c>
      <c r="C1" s="25" t="s">
        <v>2</v>
      </c>
      <c r="D1" s="24" t="s">
        <v>38</v>
      </c>
      <c r="E1" s="24" t="s">
        <v>64</v>
      </c>
      <c r="H1" s="24" t="s">
        <v>38</v>
      </c>
    </row>
    <row r="2" spans="1:8" x14ac:dyDescent="0.6">
      <c r="A2" t="s">
        <v>7</v>
      </c>
      <c r="B2" s="5">
        <v>45441</v>
      </c>
      <c r="C2" s="1" t="s">
        <v>42</v>
      </c>
      <c r="D2" s="3" t="s">
        <v>66</v>
      </c>
      <c r="E2" s="9">
        <f>Ntotal!F2</f>
        <v>6.12</v>
      </c>
      <c r="F2" t="e">
        <f>E2-D2</f>
        <v>#VALUE!</v>
      </c>
    </row>
    <row r="3" spans="1:8" x14ac:dyDescent="0.6">
      <c r="B3" s="5"/>
      <c r="C3" s="1" t="s">
        <v>43</v>
      </c>
      <c r="D3" s="3">
        <f>'NH4'!F3</f>
        <v>8.7999999999999995E-2</v>
      </c>
      <c r="E3" s="9">
        <f>Ntotal!F3</f>
        <v>5.98</v>
      </c>
      <c r="F3">
        <f>E3-D3</f>
        <v>5.8920000000000003</v>
      </c>
    </row>
    <row r="4" spans="1:8" x14ac:dyDescent="0.6">
      <c r="A4" t="s">
        <v>7</v>
      </c>
      <c r="B4" s="5">
        <v>45443</v>
      </c>
      <c r="C4" s="1" t="s">
        <v>44</v>
      </c>
      <c r="D4" s="3">
        <f>'NH4'!F4</f>
        <v>126.8</v>
      </c>
      <c r="E4" s="9">
        <f>Ntotal!F4</f>
        <v>129</v>
      </c>
      <c r="F4">
        <f t="shared" ref="F4:F23" si="0">E4-D4</f>
        <v>2.2000000000000028</v>
      </c>
    </row>
    <row r="5" spans="1:8" x14ac:dyDescent="0.6">
      <c r="B5" s="5"/>
      <c r="C5" s="1" t="s">
        <v>45</v>
      </c>
      <c r="D5" s="3">
        <f>'NH4'!F5</f>
        <v>127.2</v>
      </c>
      <c r="E5" s="9">
        <f>Ntotal!F5</f>
        <v>135.29999999999998</v>
      </c>
      <c r="F5">
        <f t="shared" si="0"/>
        <v>8.0999999999999801</v>
      </c>
    </row>
    <row r="6" spans="1:8" x14ac:dyDescent="0.6">
      <c r="A6" t="s">
        <v>7</v>
      </c>
      <c r="B6" s="5">
        <v>45446</v>
      </c>
      <c r="C6" s="1" t="s">
        <v>46</v>
      </c>
      <c r="D6" s="3">
        <f>'NH4'!F6</f>
        <v>567</v>
      </c>
      <c r="E6" s="9">
        <f>Ntotal!F6</f>
        <v>450.59999999999997</v>
      </c>
      <c r="F6" s="34">
        <f t="shared" si="0"/>
        <v>-116.40000000000003</v>
      </c>
    </row>
    <row r="7" spans="1:8" x14ac:dyDescent="0.6">
      <c r="B7" s="5"/>
      <c r="C7" s="1" t="s">
        <v>47</v>
      </c>
      <c r="D7" s="3">
        <f>'NH4'!F7</f>
        <v>567</v>
      </c>
      <c r="E7" s="9">
        <f>Ntotal!F7</f>
        <v>456</v>
      </c>
      <c r="F7" s="34">
        <f t="shared" si="0"/>
        <v>-111</v>
      </c>
    </row>
    <row r="8" spans="1:8" x14ac:dyDescent="0.6">
      <c r="A8" t="s">
        <v>7</v>
      </c>
      <c r="B8" s="5">
        <v>45448</v>
      </c>
      <c r="C8" s="1" t="s">
        <v>48</v>
      </c>
      <c r="D8" s="3">
        <f>'NH4'!F8</f>
        <v>362</v>
      </c>
      <c r="E8" s="9">
        <f>Ntotal!F8</f>
        <v>324</v>
      </c>
      <c r="F8" s="34">
        <f t="shared" si="0"/>
        <v>-38</v>
      </c>
    </row>
    <row r="9" spans="1:8" x14ac:dyDescent="0.6">
      <c r="B9" s="5"/>
      <c r="C9" s="1" t="s">
        <v>49</v>
      </c>
      <c r="D9" s="3">
        <f>'NH4'!F9</f>
        <v>324</v>
      </c>
      <c r="E9" s="9">
        <f>Ntotal!F9</f>
        <v>306</v>
      </c>
      <c r="F9" s="34">
        <f>E9-D9</f>
        <v>-18</v>
      </c>
    </row>
    <row r="10" spans="1:8" x14ac:dyDescent="0.6">
      <c r="A10" t="s">
        <v>7</v>
      </c>
      <c r="B10" s="5">
        <v>45450</v>
      </c>
      <c r="C10" s="1" t="s">
        <v>50</v>
      </c>
      <c r="D10" s="3">
        <f>'NH4'!F10</f>
        <v>204</v>
      </c>
      <c r="E10" s="9">
        <f>Ntotal!F10</f>
        <v>198.9</v>
      </c>
      <c r="F10">
        <f t="shared" si="0"/>
        <v>-5.0999999999999943</v>
      </c>
    </row>
    <row r="11" spans="1:8" ht="15.9" thickBot="1" x14ac:dyDescent="0.65">
      <c r="A11" s="30"/>
      <c r="B11" s="31"/>
      <c r="C11" s="32" t="s">
        <v>51</v>
      </c>
      <c r="D11" s="12">
        <f>'NH4'!F11</f>
        <v>198.6</v>
      </c>
      <c r="E11" s="15">
        <f>Ntotal!F11</f>
        <v>194.4</v>
      </c>
      <c r="F11">
        <f t="shared" si="0"/>
        <v>-4.1999999999999886</v>
      </c>
    </row>
    <row r="12" spans="1:8" ht="15.9" thickTop="1" x14ac:dyDescent="0.6">
      <c r="A12" s="26" t="s">
        <v>15</v>
      </c>
      <c r="B12" s="27">
        <v>45455</v>
      </c>
      <c r="C12" s="28" t="s">
        <v>52</v>
      </c>
      <c r="D12" s="18">
        <f>'NH4'!F12</f>
        <v>330</v>
      </c>
      <c r="E12" s="33">
        <f>Ntotal!F12</f>
        <v>293.09999999999997</v>
      </c>
      <c r="F12" s="34">
        <f t="shared" si="0"/>
        <v>-36.900000000000034</v>
      </c>
    </row>
    <row r="13" spans="1:8" x14ac:dyDescent="0.6">
      <c r="B13" s="5"/>
      <c r="C13" s="1" t="s">
        <v>53</v>
      </c>
      <c r="D13" s="3">
        <f>'NH4'!F13</f>
        <v>326</v>
      </c>
      <c r="E13" s="9">
        <f>Ntotal!F13</f>
        <v>306</v>
      </c>
      <c r="F13" s="34">
        <f t="shared" si="0"/>
        <v>-20</v>
      </c>
    </row>
    <row r="14" spans="1:8" x14ac:dyDescent="0.6">
      <c r="A14" t="s">
        <v>15</v>
      </c>
      <c r="B14" s="5">
        <v>45457</v>
      </c>
      <c r="C14" s="1" t="s">
        <v>54</v>
      </c>
      <c r="D14" s="3">
        <f>'NH4'!F14</f>
        <v>74.8</v>
      </c>
      <c r="E14" s="9">
        <f>Ntotal!F14</f>
        <v>86.7</v>
      </c>
      <c r="F14">
        <f t="shared" si="0"/>
        <v>11.900000000000006</v>
      </c>
    </row>
    <row r="15" spans="1:8" x14ac:dyDescent="0.6">
      <c r="B15" s="5"/>
      <c r="C15" s="1" t="s">
        <v>55</v>
      </c>
      <c r="D15" s="3">
        <f>'NH4'!F15</f>
        <v>74.400000000000006</v>
      </c>
      <c r="E15" s="9">
        <f>Ntotal!F15</f>
        <v>85.8</v>
      </c>
      <c r="F15">
        <f t="shared" si="0"/>
        <v>11.399999999999991</v>
      </c>
    </row>
    <row r="16" spans="1:8" x14ac:dyDescent="0.6">
      <c r="A16" t="s">
        <v>15</v>
      </c>
      <c r="B16" s="5">
        <v>45460</v>
      </c>
      <c r="C16" s="1" t="s">
        <v>56</v>
      </c>
      <c r="D16" s="3">
        <f>'NH4'!F16</f>
        <v>423</v>
      </c>
      <c r="E16" s="9">
        <f>Ntotal!F16</f>
        <v>447</v>
      </c>
      <c r="F16">
        <f t="shared" si="0"/>
        <v>24</v>
      </c>
    </row>
    <row r="17" spans="1:6" x14ac:dyDescent="0.6">
      <c r="B17" s="5"/>
      <c r="C17" s="1" t="s">
        <v>57</v>
      </c>
      <c r="D17" s="3">
        <f>'NH4'!F17</f>
        <v>408.00000000000006</v>
      </c>
      <c r="E17" s="9">
        <f>Ntotal!F17</f>
        <v>426</v>
      </c>
      <c r="F17">
        <f t="shared" si="0"/>
        <v>17.999999999999943</v>
      </c>
    </row>
    <row r="18" spans="1:6" x14ac:dyDescent="0.6">
      <c r="A18" t="s">
        <v>15</v>
      </c>
      <c r="B18" s="5">
        <v>45462</v>
      </c>
      <c r="C18" s="1" t="s">
        <v>58</v>
      </c>
      <c r="D18" s="3">
        <f>'NH4'!F18</f>
        <v>426</v>
      </c>
      <c r="E18" s="9">
        <f>Ntotal!F18</f>
        <v>435</v>
      </c>
      <c r="F18">
        <f t="shared" si="0"/>
        <v>9</v>
      </c>
    </row>
    <row r="19" spans="1:6" x14ac:dyDescent="0.6">
      <c r="B19" s="5"/>
      <c r="C19" s="1" t="s">
        <v>59</v>
      </c>
      <c r="D19" s="3">
        <f>'NH4'!F19</f>
        <v>416.99999999999994</v>
      </c>
      <c r="E19" s="9">
        <f>Ntotal!F19</f>
        <v>432</v>
      </c>
      <c r="F19">
        <f t="shared" si="0"/>
        <v>15.000000000000057</v>
      </c>
    </row>
    <row r="20" spans="1:6" x14ac:dyDescent="0.6">
      <c r="A20" t="s">
        <v>15</v>
      </c>
      <c r="B20" s="5">
        <v>45467</v>
      </c>
      <c r="C20" s="1" t="s">
        <v>60</v>
      </c>
      <c r="D20" s="3">
        <f>'NH4'!F20</f>
        <v>374</v>
      </c>
      <c r="E20" s="9">
        <f>Ntotal!F20</f>
        <v>369</v>
      </c>
      <c r="F20" s="34">
        <f t="shared" si="0"/>
        <v>-5</v>
      </c>
    </row>
    <row r="21" spans="1:6" x14ac:dyDescent="0.6">
      <c r="B21" s="5"/>
      <c r="C21" s="1" t="s">
        <v>61</v>
      </c>
      <c r="D21" s="3">
        <f>'NH4'!F21</f>
        <v>372</v>
      </c>
      <c r="E21" s="9">
        <f>Ntotal!F21</f>
        <v>375</v>
      </c>
      <c r="F21">
        <f t="shared" si="0"/>
        <v>3</v>
      </c>
    </row>
    <row r="22" spans="1:6" x14ac:dyDescent="0.6">
      <c r="A22" t="s">
        <v>15</v>
      </c>
      <c r="B22" s="5">
        <v>45475</v>
      </c>
      <c r="C22" s="1" t="s">
        <v>62</v>
      </c>
      <c r="D22" s="3">
        <f>'NH4'!F22</f>
        <v>444.00000000000006</v>
      </c>
      <c r="E22" s="9">
        <f>Ntotal!F22</f>
        <v>420</v>
      </c>
      <c r="F22" s="34">
        <f t="shared" si="0"/>
        <v>-24.000000000000057</v>
      </c>
    </row>
    <row r="23" spans="1:6" x14ac:dyDescent="0.6">
      <c r="B23" s="5"/>
      <c r="C23" s="1" t="s">
        <v>63</v>
      </c>
      <c r="D23" s="3">
        <f>'NH4'!F23</f>
        <v>458</v>
      </c>
      <c r="E23" s="9">
        <f>Ntotal!F23</f>
        <v>420</v>
      </c>
      <c r="F23" s="34">
        <f t="shared" si="0"/>
        <v>-38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F5472B98498441B4A1BAC358ABA960" ma:contentTypeVersion="17" ma:contentTypeDescription="Ein neues Dokument erstellen." ma:contentTypeScope="" ma:versionID="36a717fb42dc34690412ceb807c86fd3">
  <xsd:schema xmlns:xsd="http://www.w3.org/2001/XMLSchema" xmlns:xs="http://www.w3.org/2001/XMLSchema" xmlns:p="http://schemas.microsoft.com/office/2006/metadata/properties" xmlns:ns2="669cc249-ff44-44bd-9245-9acaabead0fc" xmlns:ns3="68628b2f-7e15-4bb9-b45d-9b408bd3f434" xmlns:ns4="a93a847e-07ec-43eb-a88c-b18616081de6" targetNamespace="http://schemas.microsoft.com/office/2006/metadata/properties" ma:root="true" ma:fieldsID="ae743aa89e72b03c3906dc9cc64e335e" ns2:_="" ns3:_="" ns4:_="">
    <xsd:import namespace="669cc249-ff44-44bd-9245-9acaabead0fc"/>
    <xsd:import namespace="68628b2f-7e15-4bb9-b45d-9b408bd3f434"/>
    <xsd:import namespace="a93a847e-07ec-43eb-a88c-b18616081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cc249-ff44-44bd-9245-9acaabead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28b2f-7e15-4bb9-b45d-9b408bd3f43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b3fef38-8b2c-4616-b252-96f984329c4a}" ma:internalName="TaxCatchAll" ma:showField="CatchAllData" ma:web="a93a847e-07ec-43eb-a88c-b18616081d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a847e-07ec-43eb-a88c-b18616081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9cc249-ff44-44bd-9245-9acaabead0fc">
      <Terms xmlns="http://schemas.microsoft.com/office/infopath/2007/PartnerControls"/>
    </lcf76f155ced4ddcb4097134ff3c332f>
    <TaxCatchAll xmlns="68628b2f-7e15-4bb9-b45d-9b408bd3f434" xsi:nil="true"/>
  </documentManagement>
</p:properties>
</file>

<file path=customXml/itemProps1.xml><?xml version="1.0" encoding="utf-8"?>
<ds:datastoreItem xmlns:ds="http://schemas.openxmlformats.org/officeDocument/2006/customXml" ds:itemID="{FEDDF275-80D9-441F-AAAB-34E3B76FDA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04F95-25DB-447E-832D-499632EFE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cc249-ff44-44bd-9245-9acaabead0fc"/>
    <ds:schemaRef ds:uri="68628b2f-7e15-4bb9-b45d-9b408bd3f434"/>
    <ds:schemaRef ds:uri="a93a847e-07ec-43eb-a88c-b18616081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D8ECFD-1F13-4A3D-975E-FE3585945D9D}">
  <ds:schemaRefs>
    <ds:schemaRef ds:uri="http://schemas.microsoft.com/office/2006/metadata/properties"/>
    <ds:schemaRef ds:uri="http://schemas.microsoft.com/office/infopath/2007/PartnerControls"/>
    <ds:schemaRef ds:uri="669cc249-ff44-44bd-9245-9acaabead0fc"/>
    <ds:schemaRef ds:uri="68628b2f-7e15-4bb9-b45d-9b408bd3f4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Dryweight_CHN</vt:lpstr>
      <vt:lpstr>CHN</vt:lpstr>
      <vt:lpstr>NH4</vt:lpstr>
      <vt:lpstr>Ntotal</vt:lpstr>
      <vt:lpstr>FinalResult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Pfister Nathalie (pfia)</dc:creator>
  <cp:keywords/>
  <dc:description/>
  <cp:lastModifiedBy>Regazzoni Luca (regz)</cp:lastModifiedBy>
  <cp:revision/>
  <dcterms:created xsi:type="dcterms:W3CDTF">2024-10-08T10:50:58Z</dcterms:created>
  <dcterms:modified xsi:type="dcterms:W3CDTF">2025-03-06T11:35:25Z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2024-10-08T10:53:26Z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89bb63b6-6032-49b9-a1e2-90f08e44e552</vt:lpwstr>
  </property>
  <property fmtid="{D5CDD505-2E9C-101B-9397-08002B2CF9AE}" pid="8" name="MSIP_Label_10d9bad3-6dac-4e9a-89a3-89f3b8d247b2_ContentBits">
    <vt:lpwstr>0</vt:lpwstr>
  </property>
  <property fmtid="{D5CDD505-2E9C-101B-9397-08002B2CF9AE}" pid="9" name="ContentTypeId">
    <vt:lpwstr>0x0101000DF5472B98498441B4A1BAC358ABA960</vt:lpwstr>
  </property>
  <property fmtid="{D5CDD505-2E9C-101B-9397-08002B2CF9AE}" pid="10" name="MediaServiceImageTags">
    <vt:lpwstr/>
  </property>
</Properties>
</file>